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Fsgeedrt\directions\GEE MKTG_XPC DRT\Département CRM &amp; Data Performance\1. Pilotage\Part Variable\2020\PART\Animation PV nov-déc 2020\"/>
    </mc:Choice>
  </mc:AlternateContent>
  <bookViews>
    <workbookView showSheetTabs="0" xWindow="0" yWindow="0" windowWidth="28800" windowHeight="12000" activeTab="1"/>
  </bookViews>
  <sheets>
    <sheet name="Lexique" sheetId="21" r:id="rId1"/>
    <sheet name="Fiche Agence" sheetId="1" r:id="rId2"/>
    <sheet name="CUMUL résultats semaine" sheetId="4" r:id="rId3"/>
    <sheet name="PROD MRH4" sheetId="20" r:id="rId4"/>
    <sheet name="BAROM CA UC" sheetId="14" r:id="rId5"/>
    <sheet name="BAROM IZICARTES" sheetId="15" r:id="rId6"/>
    <sheet name="BAROM CARTES HDG" sheetId="16" r:id="rId7"/>
    <sheet name="S45" sheetId="7" r:id="rId8"/>
    <sheet name="S46" sheetId="8" r:id="rId9"/>
    <sheet name="S47" sheetId="9" r:id="rId10"/>
    <sheet name="S48" sheetId="10" r:id="rId11"/>
    <sheet name="S49" sheetId="11" r:id="rId12"/>
    <sheet name="S50" sheetId="12" r:id="rId13"/>
    <sheet name="Coller ici dernier suivi PV" sheetId="3" r:id="rId14"/>
    <sheet name="S0 remplacer avec S44" sheetId="6" r:id="rId15"/>
    <sheet name="ETP Challenge" sheetId="13" r:id="rId16"/>
    <sheet name="Meilleures perf" sheetId="18" r:id="rId17"/>
    <sheet name="Structures EDS" sheetId="17" r:id="rId18"/>
  </sheets>
  <externalReferences>
    <externalReference r:id="rId19"/>
  </externalReferences>
  <definedNames>
    <definedName name="_xlnm._FilterDatabase" localSheetId="15" hidden="1">'ETP Challenge'!$A$1:$F$291</definedName>
    <definedName name="_xlnm._FilterDatabase" localSheetId="16" hidden="1">'Meilleures perf'!$A$1:$G$1780</definedName>
    <definedName name="AUBE_HAUTE_MARNE">'Structures EDS'!$C$3:$C$4</definedName>
    <definedName name="BAS_RHIN">'Structures EDS'!$D$3:$D$5</definedName>
    <definedName name="CHALONS_EN_CHAMPAGNE">'Structures EDS'!$T$3:$T$12</definedName>
    <definedName name="CHARLEVILLE_MEZIERES">'Structures EDS'!$U$3:$U$16</definedName>
    <definedName name="CHAUMONT">'Structures EDS'!$M$3:$M$11</definedName>
    <definedName name="COLMAR">'Structures EDS'!$R$3:$R$17</definedName>
    <definedName name="EPINAL">'Structures EDS'!$AC$3:$AC$18</definedName>
    <definedName name="HAGUENAU">'Structures EDS'!$O$3:$O$20</definedName>
    <definedName name="HAUT_RHIN">'Structures EDS'!$E$3:$E$4</definedName>
    <definedName name="MARNE_ARDENNES">'Structures EDS'!$F$3:$F$5</definedName>
    <definedName name="METZ">'Structures EDS'!$Z$3:$Z$24</definedName>
    <definedName name="MEURTHE_ET_MOSELLE_MEUSE">'Structures EDS'!$G$3:$G$5</definedName>
    <definedName name="MOSELLE">'Structures EDS'!$H$3:$H$5</definedName>
    <definedName name="MOSELLE_EST">'Structures EDS'!$AA$3:$AA$19</definedName>
    <definedName name="MOSELLE_NORD">'Structures EDS'!$AB$3:$AB$21</definedName>
    <definedName name="MULHOUSE">'Structures EDS'!$S$3:$S$17</definedName>
    <definedName name="NANCY">'Structures EDS'!$W$3:$W$19</definedName>
    <definedName name="PONT_A_MOUSSON">'Structures EDS'!$X$3:$X$21</definedName>
    <definedName name="REIMS">'Structures EDS'!$V$3:$V$20</definedName>
    <definedName name="SAINT_DIE">'Structures EDS'!$AD$3:$AD$14</definedName>
    <definedName name="SELESTAT">'Structures EDS'!$P$3:$P$19</definedName>
    <definedName name="STRASBOURG">'Structures EDS'!$Q$3:$Q$22</definedName>
    <definedName name="TROYES">'Structures EDS'!$N$3:$N$17</definedName>
    <definedName name="VERDUN">'Structures EDS'!$Y$3:$Y$16</definedName>
    <definedName name="VOSGES">'Structures EDS'!$I$3:$I$4</definedName>
    <definedName name="_xlnm.Print_Area" localSheetId="1">'Fiche Agence'!$B$1:$S$59</definedName>
    <definedName name="_xlnm.Print_Area" localSheetId="0">Lexique!$A:$P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N297" i="16" l="1"/>
  <c r="M297" i="16"/>
  <c r="N296" i="16"/>
  <c r="M296" i="16"/>
  <c r="N295" i="16"/>
  <c r="M295" i="16"/>
  <c r="N294" i="16"/>
  <c r="M294" i="16"/>
  <c r="N293" i="16"/>
  <c r="M293" i="16"/>
  <c r="N292" i="16"/>
  <c r="M292" i="16"/>
  <c r="N291" i="16"/>
  <c r="M291" i="16"/>
  <c r="N290" i="16"/>
  <c r="M290" i="16"/>
  <c r="N289" i="16"/>
  <c r="M289" i="16"/>
  <c r="N288" i="16"/>
  <c r="M288" i="16"/>
  <c r="N287" i="16"/>
  <c r="M287" i="16"/>
  <c r="N286" i="16"/>
  <c r="M286" i="16"/>
  <c r="N285" i="16"/>
  <c r="M285" i="16"/>
  <c r="N284" i="16"/>
  <c r="M284" i="16"/>
  <c r="N283" i="16"/>
  <c r="M283" i="16"/>
  <c r="N282" i="16"/>
  <c r="M282" i="16"/>
  <c r="N281" i="16"/>
  <c r="M281" i="16"/>
  <c r="N280" i="16"/>
  <c r="M280" i="16"/>
  <c r="N279" i="16"/>
  <c r="M279" i="16"/>
  <c r="N278" i="16"/>
  <c r="M278" i="16"/>
  <c r="N277" i="16"/>
  <c r="M277" i="16"/>
  <c r="N276" i="16"/>
  <c r="M276" i="16"/>
  <c r="N275" i="16"/>
  <c r="M275" i="16"/>
  <c r="N274" i="16"/>
  <c r="M274" i="16"/>
  <c r="N273" i="16"/>
  <c r="M273" i="16"/>
  <c r="N272" i="16"/>
  <c r="M272" i="16"/>
  <c r="N271" i="16"/>
  <c r="M271" i="16"/>
  <c r="N270" i="16"/>
  <c r="M270" i="16"/>
  <c r="N269" i="16"/>
  <c r="M269" i="16"/>
  <c r="N268" i="16"/>
  <c r="M268" i="16"/>
  <c r="N267" i="16"/>
  <c r="M267" i="16"/>
  <c r="N266" i="16"/>
  <c r="M266" i="16"/>
  <c r="N265" i="16"/>
  <c r="M265" i="16"/>
  <c r="N264" i="16"/>
  <c r="M264" i="16"/>
  <c r="N263" i="16"/>
  <c r="M263" i="16"/>
  <c r="N262" i="16"/>
  <c r="M262" i="16"/>
  <c r="N261" i="16"/>
  <c r="M261" i="16"/>
  <c r="N260" i="16"/>
  <c r="M260" i="16"/>
  <c r="N259" i="16"/>
  <c r="M259" i="16"/>
  <c r="N258" i="16"/>
  <c r="M258" i="16"/>
  <c r="N257" i="16"/>
  <c r="M257" i="16"/>
  <c r="N256" i="16"/>
  <c r="M256" i="16"/>
  <c r="N255" i="16"/>
  <c r="M255" i="16"/>
  <c r="N254" i="16"/>
  <c r="M254" i="16"/>
  <c r="N253" i="16"/>
  <c r="M253" i="16"/>
  <c r="N252" i="16"/>
  <c r="M252" i="16"/>
  <c r="N251" i="16"/>
  <c r="M251" i="16"/>
  <c r="N250" i="16"/>
  <c r="M250" i="16"/>
  <c r="N249" i="16"/>
  <c r="M249" i="16"/>
  <c r="N248" i="16"/>
  <c r="M248" i="16"/>
  <c r="N247" i="16"/>
  <c r="M247" i="16"/>
  <c r="N246" i="16"/>
  <c r="M246" i="16"/>
  <c r="N245" i="16"/>
  <c r="M245" i="16"/>
  <c r="N244" i="16"/>
  <c r="M244" i="16"/>
  <c r="N243" i="16"/>
  <c r="M243" i="16"/>
  <c r="N242" i="16"/>
  <c r="M242" i="16"/>
  <c r="N241" i="16"/>
  <c r="M241" i="16"/>
  <c r="N240" i="16"/>
  <c r="M240" i="16"/>
  <c r="N239" i="16"/>
  <c r="M239" i="16"/>
  <c r="N238" i="16"/>
  <c r="M238" i="16"/>
  <c r="N237" i="16"/>
  <c r="M237" i="16"/>
  <c r="N236" i="16"/>
  <c r="M236" i="16"/>
  <c r="N235" i="16"/>
  <c r="M235" i="16"/>
  <c r="N234" i="16"/>
  <c r="M234" i="16"/>
  <c r="N233" i="16"/>
  <c r="M233" i="16"/>
  <c r="N232" i="16"/>
  <c r="M232" i="16"/>
  <c r="N231" i="16"/>
  <c r="M231" i="16"/>
  <c r="N230" i="16"/>
  <c r="M230" i="16"/>
  <c r="N229" i="16"/>
  <c r="M229" i="16"/>
  <c r="N228" i="16"/>
  <c r="M228" i="16"/>
  <c r="N227" i="16"/>
  <c r="M227" i="16"/>
  <c r="N226" i="16"/>
  <c r="M226" i="16"/>
  <c r="N225" i="16"/>
  <c r="M225" i="16"/>
  <c r="N224" i="16"/>
  <c r="M224" i="16"/>
  <c r="N223" i="16"/>
  <c r="M223" i="16"/>
  <c r="N222" i="16"/>
  <c r="M222" i="16"/>
  <c r="N221" i="16"/>
  <c r="M221" i="16"/>
  <c r="N220" i="16"/>
  <c r="M220" i="16"/>
  <c r="N219" i="16"/>
  <c r="M219" i="16"/>
  <c r="N218" i="16"/>
  <c r="M218" i="16"/>
  <c r="N217" i="16"/>
  <c r="M217" i="16"/>
  <c r="N216" i="16"/>
  <c r="M216" i="16"/>
  <c r="N215" i="16"/>
  <c r="M215" i="16"/>
  <c r="N214" i="16"/>
  <c r="M214" i="16"/>
  <c r="N213" i="16"/>
  <c r="M213" i="16"/>
  <c r="N212" i="16"/>
  <c r="M212" i="16"/>
  <c r="N211" i="16"/>
  <c r="M211" i="16"/>
  <c r="N210" i="16"/>
  <c r="M210" i="16"/>
  <c r="N209" i="16"/>
  <c r="M209" i="16"/>
  <c r="N208" i="16"/>
  <c r="M208" i="16"/>
  <c r="N207" i="16"/>
  <c r="M207" i="16"/>
  <c r="N206" i="16"/>
  <c r="M206" i="16"/>
  <c r="N205" i="16"/>
  <c r="M205" i="16"/>
  <c r="N204" i="16"/>
  <c r="M204" i="16"/>
  <c r="N203" i="16"/>
  <c r="M203" i="16"/>
  <c r="N202" i="16"/>
  <c r="M202" i="16"/>
  <c r="N201" i="16"/>
  <c r="M201" i="16"/>
  <c r="N200" i="16"/>
  <c r="M200" i="16"/>
  <c r="N199" i="16"/>
  <c r="M199" i="16"/>
  <c r="N198" i="16"/>
  <c r="M198" i="16"/>
  <c r="N197" i="16"/>
  <c r="M197" i="16"/>
  <c r="N196" i="16"/>
  <c r="M196" i="16"/>
  <c r="N195" i="16"/>
  <c r="M195" i="16"/>
  <c r="N194" i="16"/>
  <c r="M194" i="16"/>
  <c r="N193" i="16"/>
  <c r="M193" i="16"/>
  <c r="N192" i="16"/>
  <c r="M192" i="16"/>
  <c r="N191" i="16"/>
  <c r="M191" i="16"/>
  <c r="N190" i="16"/>
  <c r="M190" i="16"/>
  <c r="N189" i="16"/>
  <c r="M189" i="16"/>
  <c r="N188" i="16"/>
  <c r="M188" i="16"/>
  <c r="N187" i="16"/>
  <c r="M187" i="16"/>
  <c r="N186" i="16"/>
  <c r="M186" i="16"/>
  <c r="N185" i="16"/>
  <c r="M185" i="16"/>
  <c r="N184" i="16"/>
  <c r="M184" i="16"/>
  <c r="N183" i="16"/>
  <c r="M183" i="16"/>
  <c r="N182" i="16"/>
  <c r="M182" i="16"/>
  <c r="N181" i="16"/>
  <c r="M181" i="16"/>
  <c r="N180" i="16"/>
  <c r="M180" i="16"/>
  <c r="N179" i="16"/>
  <c r="M179" i="16"/>
  <c r="N178" i="16"/>
  <c r="M178" i="16"/>
  <c r="N177" i="16"/>
  <c r="M177" i="16"/>
  <c r="N176" i="16"/>
  <c r="M176" i="16"/>
  <c r="N175" i="16"/>
  <c r="M175" i="16"/>
  <c r="N174" i="16"/>
  <c r="M174" i="16"/>
  <c r="N173" i="16"/>
  <c r="M173" i="16"/>
  <c r="N172" i="16"/>
  <c r="M172" i="16"/>
  <c r="N171" i="16"/>
  <c r="M171" i="16"/>
  <c r="N170" i="16"/>
  <c r="M170" i="16"/>
  <c r="N169" i="16"/>
  <c r="M169" i="16"/>
  <c r="N168" i="16"/>
  <c r="M168" i="16"/>
  <c r="N167" i="16"/>
  <c r="M167" i="16"/>
  <c r="N166" i="16"/>
  <c r="M166" i="16"/>
  <c r="N165" i="16"/>
  <c r="M165" i="16"/>
  <c r="N164" i="16"/>
  <c r="M164" i="16"/>
  <c r="N163" i="16"/>
  <c r="M163" i="16"/>
  <c r="N162" i="16"/>
  <c r="M162" i="16"/>
  <c r="N161" i="16"/>
  <c r="M161" i="16"/>
  <c r="N160" i="16"/>
  <c r="M160" i="16"/>
  <c r="N159" i="16"/>
  <c r="M159" i="16"/>
  <c r="N158" i="16"/>
  <c r="M158" i="16"/>
  <c r="N157" i="16"/>
  <c r="M157" i="16"/>
  <c r="N156" i="16"/>
  <c r="M156" i="16"/>
  <c r="N155" i="16"/>
  <c r="M155" i="16"/>
  <c r="N154" i="16"/>
  <c r="M154" i="16"/>
  <c r="N153" i="16"/>
  <c r="M153" i="16"/>
  <c r="N152" i="16"/>
  <c r="M152" i="16"/>
  <c r="N151" i="16"/>
  <c r="M151" i="16"/>
  <c r="N150" i="16"/>
  <c r="M150" i="16"/>
  <c r="N149" i="16"/>
  <c r="M149" i="16"/>
  <c r="N148" i="16"/>
  <c r="M148" i="16"/>
  <c r="N147" i="16"/>
  <c r="M147" i="16"/>
  <c r="N146" i="16"/>
  <c r="M146" i="16"/>
  <c r="N145" i="16"/>
  <c r="M145" i="16"/>
  <c r="N144" i="16"/>
  <c r="M144" i="16"/>
  <c r="N143" i="16"/>
  <c r="M143" i="16"/>
  <c r="N142" i="16"/>
  <c r="M142" i="16"/>
  <c r="N141" i="16"/>
  <c r="M141" i="16"/>
  <c r="N140" i="16"/>
  <c r="M140" i="16"/>
  <c r="N139" i="16"/>
  <c r="M139" i="16"/>
  <c r="N138" i="16"/>
  <c r="M138" i="16"/>
  <c r="N137" i="16"/>
  <c r="M137" i="16"/>
  <c r="N136" i="16"/>
  <c r="M136" i="16"/>
  <c r="N135" i="16"/>
  <c r="M135" i="16"/>
  <c r="N134" i="16"/>
  <c r="M134" i="16"/>
  <c r="N133" i="16"/>
  <c r="M133" i="16"/>
  <c r="N132" i="16"/>
  <c r="M132" i="16"/>
  <c r="N131" i="16"/>
  <c r="M131" i="16"/>
  <c r="N130" i="16"/>
  <c r="M130" i="16"/>
  <c r="N129" i="16"/>
  <c r="M129" i="16"/>
  <c r="N128" i="16"/>
  <c r="M128" i="16"/>
  <c r="N127" i="16"/>
  <c r="M127" i="16"/>
  <c r="N126" i="16"/>
  <c r="M126" i="16"/>
  <c r="N125" i="16"/>
  <c r="M125" i="16"/>
  <c r="N124" i="16"/>
  <c r="M124" i="16"/>
  <c r="N123" i="16"/>
  <c r="M123" i="16"/>
  <c r="N122" i="16"/>
  <c r="M122" i="16"/>
  <c r="N121" i="16"/>
  <c r="M121" i="16"/>
  <c r="N120" i="16"/>
  <c r="M120" i="16"/>
  <c r="N119" i="16"/>
  <c r="M119" i="16"/>
  <c r="N118" i="16"/>
  <c r="M118" i="16"/>
  <c r="N117" i="16"/>
  <c r="M117" i="16"/>
  <c r="N116" i="16"/>
  <c r="M116" i="16"/>
  <c r="N115" i="16"/>
  <c r="M115" i="16"/>
  <c r="N114" i="16"/>
  <c r="M114" i="16"/>
  <c r="N113" i="16"/>
  <c r="M113" i="16"/>
  <c r="N112" i="16"/>
  <c r="M112" i="16"/>
  <c r="N111" i="16"/>
  <c r="M111" i="16"/>
  <c r="N110" i="16"/>
  <c r="M110" i="16"/>
  <c r="N109" i="16"/>
  <c r="M109" i="16"/>
  <c r="N108" i="16"/>
  <c r="M108" i="16"/>
  <c r="N107" i="16"/>
  <c r="M107" i="16"/>
  <c r="N106" i="16"/>
  <c r="M106" i="16"/>
  <c r="N105" i="16"/>
  <c r="M105" i="16"/>
  <c r="N104" i="16"/>
  <c r="M104" i="16"/>
  <c r="N103" i="16"/>
  <c r="M103" i="16"/>
  <c r="N102" i="16"/>
  <c r="M102" i="16"/>
  <c r="N101" i="16"/>
  <c r="M101" i="16"/>
  <c r="N100" i="16"/>
  <c r="M100" i="16"/>
  <c r="N99" i="16"/>
  <c r="M99" i="16"/>
  <c r="N98" i="16"/>
  <c r="M98" i="16"/>
  <c r="N97" i="16"/>
  <c r="M97" i="16"/>
  <c r="N96" i="16"/>
  <c r="M96" i="16"/>
  <c r="N95" i="16"/>
  <c r="M95" i="16"/>
  <c r="N94" i="16"/>
  <c r="M94" i="16"/>
  <c r="N93" i="16"/>
  <c r="M93" i="16"/>
  <c r="N92" i="16"/>
  <c r="M92" i="16"/>
  <c r="N91" i="16"/>
  <c r="M91" i="16"/>
  <c r="N90" i="16"/>
  <c r="M90" i="16"/>
  <c r="N89" i="16"/>
  <c r="M89" i="16"/>
  <c r="N88" i="16"/>
  <c r="M88" i="16"/>
  <c r="N87" i="16"/>
  <c r="M87" i="16"/>
  <c r="N86" i="16"/>
  <c r="N85" i="16"/>
  <c r="M85" i="16"/>
  <c r="N84" i="16"/>
  <c r="M84" i="16"/>
  <c r="N83" i="16"/>
  <c r="M83" i="16"/>
  <c r="N82" i="16"/>
  <c r="M82" i="16"/>
  <c r="N81" i="16"/>
  <c r="M81" i="16"/>
  <c r="N80" i="16"/>
  <c r="M80" i="16"/>
  <c r="N79" i="16"/>
  <c r="M79" i="16"/>
  <c r="N78" i="16"/>
  <c r="M78" i="16"/>
  <c r="N77" i="16"/>
  <c r="M77" i="16"/>
  <c r="N76" i="16"/>
  <c r="M76" i="16"/>
  <c r="N75" i="16"/>
  <c r="M75" i="16"/>
  <c r="N74" i="16"/>
  <c r="M74" i="16"/>
  <c r="N73" i="16"/>
  <c r="M73" i="16"/>
  <c r="N72" i="16"/>
  <c r="M72" i="16"/>
  <c r="N71" i="16"/>
  <c r="M71" i="16"/>
  <c r="N70" i="16"/>
  <c r="M70" i="16"/>
  <c r="N69" i="16"/>
  <c r="M69" i="16"/>
  <c r="N68" i="16"/>
  <c r="M68" i="16"/>
  <c r="N67" i="16"/>
  <c r="M67" i="16"/>
  <c r="N66" i="16"/>
  <c r="M66" i="16"/>
  <c r="N65" i="16"/>
  <c r="M65" i="16"/>
  <c r="N64" i="16"/>
  <c r="M64" i="16"/>
  <c r="N63" i="16"/>
  <c r="M63" i="16"/>
  <c r="N62" i="16"/>
  <c r="M62" i="16"/>
  <c r="N61" i="16"/>
  <c r="M61" i="16"/>
  <c r="N60" i="16"/>
  <c r="M60" i="16"/>
  <c r="N59" i="16"/>
  <c r="M59" i="16"/>
  <c r="N58" i="16"/>
  <c r="Y58" i="16" s="1"/>
  <c r="M58" i="16"/>
  <c r="N57" i="16"/>
  <c r="Y57" i="16" s="1"/>
  <c r="M57" i="16"/>
  <c r="N56" i="16"/>
  <c r="Y56" i="16" s="1"/>
  <c r="M56" i="16"/>
  <c r="N55" i="16"/>
  <c r="Y55" i="16" s="1"/>
  <c r="M55" i="16"/>
  <c r="N54" i="16"/>
  <c r="Y54" i="16" s="1"/>
  <c r="M54" i="16"/>
  <c r="N53" i="16"/>
  <c r="M53" i="16"/>
  <c r="N52" i="16"/>
  <c r="Y52" i="16" s="1"/>
  <c r="M52" i="16"/>
  <c r="N51" i="16"/>
  <c r="Y51" i="16" s="1"/>
  <c r="M51" i="16"/>
  <c r="N50" i="16"/>
  <c r="Y50" i="16" s="1"/>
  <c r="M50" i="16"/>
  <c r="N49" i="16"/>
  <c r="Y49" i="16" s="1"/>
  <c r="M49" i="16"/>
  <c r="N48" i="16"/>
  <c r="Y48" i="16" s="1"/>
  <c r="M48" i="16"/>
  <c r="N47" i="16"/>
  <c r="Y47" i="16" s="1"/>
  <c r="M47" i="16"/>
  <c r="N46" i="16"/>
  <c r="Y46" i="16" s="1"/>
  <c r="M46" i="16"/>
  <c r="N45" i="16"/>
  <c r="Y45" i="16" s="1"/>
  <c r="M45" i="16"/>
  <c r="N44" i="16"/>
  <c r="M44" i="16"/>
  <c r="N43" i="16"/>
  <c r="Y43" i="16" s="1"/>
  <c r="M43" i="16"/>
  <c r="N42" i="16"/>
  <c r="Y42" i="16" s="1"/>
  <c r="M42" i="16"/>
  <c r="N41" i="16"/>
  <c r="Y41" i="16" s="1"/>
  <c r="M41" i="16"/>
  <c r="N40" i="16"/>
  <c r="M40" i="16"/>
  <c r="N39" i="16"/>
  <c r="Y39" i="16" s="1"/>
  <c r="M39" i="16"/>
  <c r="N38" i="16"/>
  <c r="Y38" i="16" s="1"/>
  <c r="M38" i="16"/>
  <c r="N37" i="16"/>
  <c r="Y37" i="16" s="1"/>
  <c r="M37" i="16"/>
  <c r="N36" i="16"/>
  <c r="M36" i="16"/>
  <c r="N35" i="16"/>
  <c r="Y35" i="16" s="1"/>
  <c r="M35" i="16"/>
  <c r="N34" i="16"/>
  <c r="Y34" i="16" s="1"/>
  <c r="M34" i="16"/>
  <c r="N33" i="16"/>
  <c r="N32" i="16"/>
  <c r="Y32" i="16" s="1"/>
  <c r="M32" i="16"/>
  <c r="N31" i="16"/>
  <c r="Y31" i="16" s="1"/>
  <c r="M31" i="16"/>
  <c r="N30" i="16"/>
  <c r="X30" i="16" s="1"/>
  <c r="M30" i="16"/>
  <c r="N29" i="16"/>
  <c r="X29" i="16" s="1"/>
  <c r="M29" i="16"/>
  <c r="N28" i="16"/>
  <c r="X28" i="16" s="1"/>
  <c r="M28" i="16"/>
  <c r="N27" i="16"/>
  <c r="X27" i="16" s="1"/>
  <c r="M27" i="16"/>
  <c r="N26" i="16"/>
  <c r="X26" i="16" s="1"/>
  <c r="M26" i="16"/>
  <c r="N25" i="16"/>
  <c r="X25" i="16" s="1"/>
  <c r="M25" i="16"/>
  <c r="N24" i="16"/>
  <c r="X24" i="16" s="1"/>
  <c r="M24" i="16"/>
  <c r="N23" i="16"/>
  <c r="X23" i="16" s="1"/>
  <c r="M23" i="16"/>
  <c r="N22" i="16"/>
  <c r="X22" i="16" s="1"/>
  <c r="M22" i="16"/>
  <c r="N21" i="16"/>
  <c r="X21" i="16" s="1"/>
  <c r="M21" i="16"/>
  <c r="N20" i="16"/>
  <c r="X20" i="16" s="1"/>
  <c r="M20" i="16"/>
  <c r="N19" i="16"/>
  <c r="X19" i="16" s="1"/>
  <c r="M19" i="16"/>
  <c r="N18" i="16"/>
  <c r="X18" i="16" s="1"/>
  <c r="M18" i="16"/>
  <c r="N17" i="16"/>
  <c r="X17" i="16" s="1"/>
  <c r="M17" i="16"/>
  <c r="N16" i="16"/>
  <c r="X16" i="16" s="1"/>
  <c r="M16" i="16"/>
  <c r="N15" i="16"/>
  <c r="X15" i="16" s="1"/>
  <c r="M15" i="16"/>
  <c r="N14" i="16"/>
  <c r="X14" i="16" s="1"/>
  <c r="M14" i="16"/>
  <c r="N13" i="16"/>
  <c r="X13" i="16" s="1"/>
  <c r="M13" i="16"/>
  <c r="N12" i="16"/>
  <c r="X12" i="16" s="1"/>
  <c r="M12" i="16"/>
  <c r="N11" i="16"/>
  <c r="X11" i="16" s="1"/>
  <c r="M11" i="16"/>
  <c r="N10" i="16"/>
  <c r="X10" i="16" s="1"/>
  <c r="M10" i="16"/>
  <c r="N9" i="16"/>
  <c r="X9" i="16" s="1"/>
  <c r="M9" i="16"/>
  <c r="N8" i="16"/>
  <c r="X8" i="16" s="1"/>
  <c r="M8" i="16"/>
  <c r="N7" i="16"/>
  <c r="X7" i="16" s="1"/>
  <c r="M7" i="16"/>
  <c r="N6" i="16"/>
  <c r="X6" i="16" s="1"/>
  <c r="M6" i="16"/>
  <c r="T5" i="16"/>
  <c r="AA194" i="16" s="1"/>
  <c r="S5" i="16"/>
  <c r="Z193" i="16" s="1"/>
  <c r="R5" i="16"/>
  <c r="Y220" i="16" s="1"/>
  <c r="Q5" i="16"/>
  <c r="P5" i="16"/>
  <c r="O5" i="16"/>
  <c r="V198" i="16" s="1"/>
  <c r="N5" i="16"/>
  <c r="M5" i="16"/>
  <c r="T3" i="16"/>
  <c r="O3" i="16"/>
  <c r="M86" i="16" s="1"/>
  <c r="N3" i="16"/>
  <c r="M3" i="16"/>
  <c r="T2" i="16"/>
  <c r="X5" i="16" s="1"/>
  <c r="N297" i="15"/>
  <c r="M297" i="15"/>
  <c r="N296" i="15"/>
  <c r="M296" i="15"/>
  <c r="N295" i="15"/>
  <c r="M295" i="15"/>
  <c r="N294" i="15"/>
  <c r="M294" i="15"/>
  <c r="N293" i="15"/>
  <c r="M293" i="15"/>
  <c r="N292" i="15"/>
  <c r="M292" i="15"/>
  <c r="N291" i="15"/>
  <c r="M291" i="15"/>
  <c r="N290" i="15"/>
  <c r="M290" i="15"/>
  <c r="N289" i="15"/>
  <c r="M289" i="15"/>
  <c r="N288" i="15"/>
  <c r="M288" i="15"/>
  <c r="N287" i="15"/>
  <c r="M287" i="15"/>
  <c r="N286" i="15"/>
  <c r="M286" i="15"/>
  <c r="N285" i="15"/>
  <c r="M285" i="15"/>
  <c r="N284" i="15"/>
  <c r="M284" i="15"/>
  <c r="N283" i="15"/>
  <c r="M283" i="15"/>
  <c r="N282" i="15"/>
  <c r="M282" i="15"/>
  <c r="N281" i="15"/>
  <c r="M281" i="15"/>
  <c r="N280" i="15"/>
  <c r="M280" i="15"/>
  <c r="N279" i="15"/>
  <c r="M279" i="15"/>
  <c r="N278" i="15"/>
  <c r="M278" i="15"/>
  <c r="N277" i="15"/>
  <c r="M277" i="15"/>
  <c r="N276" i="15"/>
  <c r="M276" i="15"/>
  <c r="N275" i="15"/>
  <c r="M275" i="15"/>
  <c r="N274" i="15"/>
  <c r="M274" i="15"/>
  <c r="N273" i="15"/>
  <c r="M273" i="15"/>
  <c r="N272" i="15"/>
  <c r="M272" i="15"/>
  <c r="N271" i="15"/>
  <c r="M271" i="15"/>
  <c r="N270" i="15"/>
  <c r="M270" i="15"/>
  <c r="N269" i="15"/>
  <c r="M269" i="15"/>
  <c r="N268" i="15"/>
  <c r="M268" i="15"/>
  <c r="N267" i="15"/>
  <c r="M267" i="15"/>
  <c r="N266" i="15"/>
  <c r="M266" i="15"/>
  <c r="N265" i="15"/>
  <c r="M265" i="15"/>
  <c r="N264" i="15"/>
  <c r="M264" i="15"/>
  <c r="N263" i="15"/>
  <c r="M263" i="15"/>
  <c r="N262" i="15"/>
  <c r="M262" i="15"/>
  <c r="N261" i="15"/>
  <c r="M261" i="15"/>
  <c r="N260" i="15"/>
  <c r="M260" i="15"/>
  <c r="N259" i="15"/>
  <c r="M259" i="15"/>
  <c r="N258" i="15"/>
  <c r="M258" i="15"/>
  <c r="N257" i="15"/>
  <c r="M257" i="15"/>
  <c r="N256" i="15"/>
  <c r="M256" i="15"/>
  <c r="N255" i="15"/>
  <c r="M255" i="15"/>
  <c r="N254" i="15"/>
  <c r="M254" i="15"/>
  <c r="N253" i="15"/>
  <c r="M253" i="15"/>
  <c r="N252" i="15"/>
  <c r="M252" i="15"/>
  <c r="N251" i="15"/>
  <c r="M251" i="15"/>
  <c r="N250" i="15"/>
  <c r="M250" i="15"/>
  <c r="N249" i="15"/>
  <c r="M249" i="15"/>
  <c r="N248" i="15"/>
  <c r="M248" i="15"/>
  <c r="N247" i="15"/>
  <c r="M247" i="15"/>
  <c r="N246" i="15"/>
  <c r="M246" i="15"/>
  <c r="N245" i="15"/>
  <c r="M245" i="15"/>
  <c r="N244" i="15"/>
  <c r="M244" i="15"/>
  <c r="N243" i="15"/>
  <c r="M243" i="15"/>
  <c r="N242" i="15"/>
  <c r="M242" i="15"/>
  <c r="N241" i="15"/>
  <c r="M241" i="15"/>
  <c r="N240" i="15"/>
  <c r="M240" i="15"/>
  <c r="N239" i="15"/>
  <c r="M239" i="15"/>
  <c r="N238" i="15"/>
  <c r="M238" i="15"/>
  <c r="N237" i="15"/>
  <c r="M237" i="15"/>
  <c r="N236" i="15"/>
  <c r="M236" i="15"/>
  <c r="N235" i="15"/>
  <c r="M235" i="15"/>
  <c r="N234" i="15"/>
  <c r="M234" i="15"/>
  <c r="N233" i="15"/>
  <c r="M233" i="15"/>
  <c r="N232" i="15"/>
  <c r="M232" i="15"/>
  <c r="N231" i="15"/>
  <c r="M231" i="15"/>
  <c r="N230" i="15"/>
  <c r="M230" i="15"/>
  <c r="N229" i="15"/>
  <c r="M229" i="15"/>
  <c r="N228" i="15"/>
  <c r="M228" i="15"/>
  <c r="N227" i="15"/>
  <c r="M227" i="15"/>
  <c r="N226" i="15"/>
  <c r="M226" i="15"/>
  <c r="N225" i="15"/>
  <c r="M225" i="15"/>
  <c r="N224" i="15"/>
  <c r="M224" i="15"/>
  <c r="N223" i="15"/>
  <c r="M223" i="15"/>
  <c r="N222" i="15"/>
  <c r="M222" i="15"/>
  <c r="N221" i="15"/>
  <c r="M221" i="15"/>
  <c r="N220" i="15"/>
  <c r="M220" i="15"/>
  <c r="N219" i="15"/>
  <c r="M219" i="15"/>
  <c r="N218" i="15"/>
  <c r="M218" i="15"/>
  <c r="N217" i="15"/>
  <c r="M217" i="15"/>
  <c r="N216" i="15"/>
  <c r="M216" i="15"/>
  <c r="N215" i="15"/>
  <c r="M215" i="15"/>
  <c r="N214" i="15"/>
  <c r="M214" i="15"/>
  <c r="N213" i="15"/>
  <c r="M213" i="15"/>
  <c r="N212" i="15"/>
  <c r="M212" i="15"/>
  <c r="N211" i="15"/>
  <c r="M211" i="15"/>
  <c r="N210" i="15"/>
  <c r="M210" i="15"/>
  <c r="N209" i="15"/>
  <c r="M209" i="15"/>
  <c r="N208" i="15"/>
  <c r="M208" i="15"/>
  <c r="N207" i="15"/>
  <c r="M207" i="15"/>
  <c r="N206" i="15"/>
  <c r="M206" i="15"/>
  <c r="N205" i="15"/>
  <c r="M205" i="15"/>
  <c r="N204" i="15"/>
  <c r="M204" i="15"/>
  <c r="N203" i="15"/>
  <c r="M203" i="15"/>
  <c r="N202" i="15"/>
  <c r="M202" i="15"/>
  <c r="N201" i="15"/>
  <c r="M201" i="15"/>
  <c r="N200" i="15"/>
  <c r="M200" i="15"/>
  <c r="N199" i="15"/>
  <c r="M199" i="15"/>
  <c r="N198" i="15"/>
  <c r="M198" i="15"/>
  <c r="N197" i="15"/>
  <c r="M197" i="15"/>
  <c r="N196" i="15"/>
  <c r="M196" i="15"/>
  <c r="N195" i="15"/>
  <c r="M195" i="15"/>
  <c r="N194" i="15"/>
  <c r="M194" i="15"/>
  <c r="N193" i="15"/>
  <c r="M193" i="15"/>
  <c r="N192" i="15"/>
  <c r="M192" i="15"/>
  <c r="N191" i="15"/>
  <c r="M191" i="15"/>
  <c r="N190" i="15"/>
  <c r="M190" i="15"/>
  <c r="N189" i="15"/>
  <c r="M189" i="15"/>
  <c r="N188" i="15"/>
  <c r="M188" i="15"/>
  <c r="N187" i="15"/>
  <c r="M187" i="15"/>
  <c r="N186" i="15"/>
  <c r="M186" i="15"/>
  <c r="N185" i="15"/>
  <c r="M185" i="15"/>
  <c r="N184" i="15"/>
  <c r="M184" i="15"/>
  <c r="N183" i="15"/>
  <c r="M183" i="15"/>
  <c r="N182" i="15"/>
  <c r="M182" i="15"/>
  <c r="N181" i="15"/>
  <c r="M181" i="15"/>
  <c r="N180" i="15"/>
  <c r="M180" i="15"/>
  <c r="N179" i="15"/>
  <c r="M179" i="15"/>
  <c r="N178" i="15"/>
  <c r="M178" i="15"/>
  <c r="N177" i="15"/>
  <c r="M177" i="15"/>
  <c r="N176" i="15"/>
  <c r="M176" i="15"/>
  <c r="N175" i="15"/>
  <c r="M175" i="15"/>
  <c r="N174" i="15"/>
  <c r="M174" i="15"/>
  <c r="N173" i="15"/>
  <c r="M173" i="15"/>
  <c r="N172" i="15"/>
  <c r="N171" i="15"/>
  <c r="M171" i="15"/>
  <c r="N170" i="15"/>
  <c r="M170" i="15"/>
  <c r="N169" i="15"/>
  <c r="M169" i="15"/>
  <c r="N168" i="15"/>
  <c r="M168" i="15"/>
  <c r="N167" i="15"/>
  <c r="M167" i="15"/>
  <c r="N166" i="15"/>
  <c r="M166" i="15"/>
  <c r="N165" i="15"/>
  <c r="M165" i="15"/>
  <c r="N164" i="15"/>
  <c r="M164" i="15"/>
  <c r="N163" i="15"/>
  <c r="M163" i="15"/>
  <c r="N162" i="15"/>
  <c r="M162" i="15"/>
  <c r="N161" i="15"/>
  <c r="M161" i="15"/>
  <c r="N160" i="15"/>
  <c r="M160" i="15"/>
  <c r="N159" i="15"/>
  <c r="M159" i="15"/>
  <c r="N158" i="15"/>
  <c r="M158" i="15"/>
  <c r="N157" i="15"/>
  <c r="M157" i="15"/>
  <c r="N156" i="15"/>
  <c r="M156" i="15"/>
  <c r="N155" i="15"/>
  <c r="M155" i="15"/>
  <c r="N154" i="15"/>
  <c r="M154" i="15"/>
  <c r="N153" i="15"/>
  <c r="M153" i="15"/>
  <c r="N152" i="15"/>
  <c r="M152" i="15"/>
  <c r="N151" i="15"/>
  <c r="M151" i="15"/>
  <c r="N150" i="15"/>
  <c r="M150" i="15"/>
  <c r="N149" i="15"/>
  <c r="M149" i="15"/>
  <c r="N148" i="15"/>
  <c r="M148" i="15"/>
  <c r="N147" i="15"/>
  <c r="M147" i="15"/>
  <c r="N146" i="15"/>
  <c r="M146" i="15"/>
  <c r="N145" i="15"/>
  <c r="M145" i="15"/>
  <c r="N144" i="15"/>
  <c r="M144" i="15"/>
  <c r="N143" i="15"/>
  <c r="M143" i="15"/>
  <c r="N142" i="15"/>
  <c r="M142" i="15"/>
  <c r="N141" i="15"/>
  <c r="M141" i="15"/>
  <c r="N140" i="15"/>
  <c r="M140" i="15"/>
  <c r="N139" i="15"/>
  <c r="M139" i="15"/>
  <c r="N138" i="15"/>
  <c r="M138" i="15"/>
  <c r="N137" i="15"/>
  <c r="M137" i="15"/>
  <c r="N136" i="15"/>
  <c r="M136" i="15"/>
  <c r="N135" i="15"/>
  <c r="M135" i="15"/>
  <c r="N134" i="15"/>
  <c r="M134" i="15"/>
  <c r="N133" i="15"/>
  <c r="M133" i="15"/>
  <c r="N132" i="15"/>
  <c r="M132" i="15"/>
  <c r="N131" i="15"/>
  <c r="M131" i="15"/>
  <c r="N130" i="15"/>
  <c r="M130" i="15"/>
  <c r="N129" i="15"/>
  <c r="M129" i="15"/>
  <c r="N128" i="15"/>
  <c r="M128" i="15"/>
  <c r="N127" i="15"/>
  <c r="M127" i="15"/>
  <c r="N126" i="15"/>
  <c r="M126" i="15"/>
  <c r="N125" i="15"/>
  <c r="M125" i="15"/>
  <c r="N124" i="15"/>
  <c r="M124" i="15"/>
  <c r="N123" i="15"/>
  <c r="M123" i="15"/>
  <c r="N122" i="15"/>
  <c r="M122" i="15"/>
  <c r="N121" i="15"/>
  <c r="M121" i="15"/>
  <c r="N120" i="15"/>
  <c r="M120" i="15"/>
  <c r="N119" i="15"/>
  <c r="M119" i="15"/>
  <c r="N118" i="15"/>
  <c r="M118" i="15"/>
  <c r="N117" i="15"/>
  <c r="M117" i="15"/>
  <c r="N116" i="15"/>
  <c r="M116" i="15"/>
  <c r="N115" i="15"/>
  <c r="M115" i="15"/>
  <c r="N114" i="15"/>
  <c r="M114" i="15"/>
  <c r="N113" i="15"/>
  <c r="M113" i="15"/>
  <c r="N112" i="15"/>
  <c r="M112" i="15"/>
  <c r="N111" i="15"/>
  <c r="M111" i="15"/>
  <c r="N110" i="15"/>
  <c r="M110" i="15"/>
  <c r="N109" i="15"/>
  <c r="M109" i="15"/>
  <c r="N108" i="15"/>
  <c r="M108" i="15"/>
  <c r="N107" i="15"/>
  <c r="M107" i="15"/>
  <c r="N106" i="15"/>
  <c r="M106" i="15"/>
  <c r="N105" i="15"/>
  <c r="M105" i="15"/>
  <c r="N104" i="15"/>
  <c r="M104" i="15"/>
  <c r="N103" i="15"/>
  <c r="M103" i="15"/>
  <c r="N102" i="15"/>
  <c r="M102" i="15"/>
  <c r="N101" i="15"/>
  <c r="M101" i="15"/>
  <c r="N100" i="15"/>
  <c r="M100" i="15"/>
  <c r="N99" i="15"/>
  <c r="M99" i="15"/>
  <c r="N98" i="15"/>
  <c r="M98" i="15"/>
  <c r="N97" i="15"/>
  <c r="M97" i="15"/>
  <c r="N96" i="15"/>
  <c r="M96" i="15"/>
  <c r="N95" i="15"/>
  <c r="M95" i="15"/>
  <c r="N94" i="15"/>
  <c r="M94" i="15"/>
  <c r="N93" i="15"/>
  <c r="M93" i="15"/>
  <c r="N92" i="15"/>
  <c r="M92" i="15"/>
  <c r="N91" i="15"/>
  <c r="M91" i="15"/>
  <c r="N90" i="15"/>
  <c r="M90" i="15"/>
  <c r="N89" i="15"/>
  <c r="M89" i="15"/>
  <c r="N88" i="15"/>
  <c r="M88" i="15"/>
  <c r="N87" i="15"/>
  <c r="M87" i="15"/>
  <c r="N86" i="15"/>
  <c r="N85" i="15"/>
  <c r="M85" i="15"/>
  <c r="N84" i="15"/>
  <c r="M84" i="15"/>
  <c r="N83" i="15"/>
  <c r="M83" i="15"/>
  <c r="N82" i="15"/>
  <c r="M82" i="15"/>
  <c r="N81" i="15"/>
  <c r="M81" i="15"/>
  <c r="N80" i="15"/>
  <c r="M80" i="15"/>
  <c r="N79" i="15"/>
  <c r="M79" i="15"/>
  <c r="N78" i="15"/>
  <c r="M78" i="15"/>
  <c r="N77" i="15"/>
  <c r="M77" i="15"/>
  <c r="N76" i="15"/>
  <c r="M76" i="15"/>
  <c r="N75" i="15"/>
  <c r="M75" i="15"/>
  <c r="N74" i="15"/>
  <c r="M74" i="15"/>
  <c r="N73" i="15"/>
  <c r="M73" i="15"/>
  <c r="N72" i="15"/>
  <c r="M72" i="15"/>
  <c r="N71" i="15"/>
  <c r="M71" i="15"/>
  <c r="N70" i="15"/>
  <c r="M70" i="15"/>
  <c r="N69" i="15"/>
  <c r="M69" i="15"/>
  <c r="N68" i="15"/>
  <c r="M68" i="15"/>
  <c r="N67" i="15"/>
  <c r="M67" i="15"/>
  <c r="N66" i="15"/>
  <c r="M66" i="15"/>
  <c r="N65" i="15"/>
  <c r="M65" i="15"/>
  <c r="N64" i="15"/>
  <c r="M64" i="15"/>
  <c r="N63" i="15"/>
  <c r="M63" i="15"/>
  <c r="N62" i="15"/>
  <c r="M62" i="15"/>
  <c r="N61" i="15"/>
  <c r="M61" i="15"/>
  <c r="N60" i="15"/>
  <c r="M60" i="15"/>
  <c r="N59" i="15"/>
  <c r="M59" i="15"/>
  <c r="N58" i="15"/>
  <c r="M58" i="15"/>
  <c r="N57" i="15"/>
  <c r="M57" i="15"/>
  <c r="N56" i="15"/>
  <c r="M56" i="15"/>
  <c r="N55" i="15"/>
  <c r="M55" i="15"/>
  <c r="N54" i="15"/>
  <c r="M54" i="15"/>
  <c r="N53" i="15"/>
  <c r="M53" i="15"/>
  <c r="N52" i="15"/>
  <c r="M52" i="15"/>
  <c r="N51" i="15"/>
  <c r="M51" i="15"/>
  <c r="N50" i="15"/>
  <c r="M50" i="15"/>
  <c r="N49" i="15"/>
  <c r="M49" i="15"/>
  <c r="N48" i="15"/>
  <c r="M48" i="15"/>
  <c r="N47" i="15"/>
  <c r="M47" i="15"/>
  <c r="N46" i="15"/>
  <c r="M46" i="15"/>
  <c r="N45" i="15"/>
  <c r="M45" i="15"/>
  <c r="N44" i="15"/>
  <c r="M44" i="15"/>
  <c r="N43" i="15"/>
  <c r="M43" i="15"/>
  <c r="N42" i="15"/>
  <c r="M42" i="15"/>
  <c r="N41" i="15"/>
  <c r="M41" i="15"/>
  <c r="N40" i="15"/>
  <c r="M40" i="15"/>
  <c r="N39" i="15"/>
  <c r="M39" i="15"/>
  <c r="N38" i="15"/>
  <c r="M38" i="15"/>
  <c r="N37" i="15"/>
  <c r="M37" i="15"/>
  <c r="N36" i="15"/>
  <c r="M36" i="15"/>
  <c r="N35" i="15"/>
  <c r="M35" i="15"/>
  <c r="N34" i="15"/>
  <c r="M34" i="15"/>
  <c r="N33" i="15"/>
  <c r="M33" i="15"/>
  <c r="N32" i="15"/>
  <c r="M32" i="15"/>
  <c r="N31" i="15"/>
  <c r="M31" i="15"/>
  <c r="N30" i="15"/>
  <c r="M30" i="15"/>
  <c r="N29" i="15"/>
  <c r="M29" i="15"/>
  <c r="N28" i="15"/>
  <c r="M28" i="15"/>
  <c r="N27" i="15"/>
  <c r="M27" i="15"/>
  <c r="N26" i="15"/>
  <c r="M26" i="15"/>
  <c r="N25" i="15"/>
  <c r="M25" i="15"/>
  <c r="N24" i="15"/>
  <c r="M24" i="15"/>
  <c r="X24" i="15" s="1"/>
  <c r="N23" i="15"/>
  <c r="M23" i="15"/>
  <c r="X23" i="15" s="1"/>
  <c r="N22" i="15"/>
  <c r="M22" i="15"/>
  <c r="X22" i="15" s="1"/>
  <c r="N21" i="15"/>
  <c r="M21" i="15"/>
  <c r="X21" i="15" s="1"/>
  <c r="N20" i="15"/>
  <c r="M20" i="15"/>
  <c r="X20" i="15" s="1"/>
  <c r="N19" i="15"/>
  <c r="M19" i="15"/>
  <c r="X19" i="15" s="1"/>
  <c r="N18" i="15"/>
  <c r="M18" i="15"/>
  <c r="X18" i="15" s="1"/>
  <c r="N17" i="15"/>
  <c r="M17" i="15"/>
  <c r="X17" i="15" s="1"/>
  <c r="N16" i="15"/>
  <c r="M16" i="15"/>
  <c r="X16" i="15" s="1"/>
  <c r="N15" i="15"/>
  <c r="M15" i="15"/>
  <c r="X15" i="15" s="1"/>
  <c r="N14" i="15"/>
  <c r="M14" i="15"/>
  <c r="X14" i="15" s="1"/>
  <c r="N13" i="15"/>
  <c r="M13" i="15"/>
  <c r="X13" i="15" s="1"/>
  <c r="N12" i="15"/>
  <c r="M12" i="15"/>
  <c r="X12" i="15" s="1"/>
  <c r="N11" i="15"/>
  <c r="M11" i="15"/>
  <c r="X11" i="15" s="1"/>
  <c r="N10" i="15"/>
  <c r="M10" i="15"/>
  <c r="X10" i="15" s="1"/>
  <c r="N9" i="15"/>
  <c r="M9" i="15"/>
  <c r="X9" i="15" s="1"/>
  <c r="N8" i="15"/>
  <c r="M8" i="15"/>
  <c r="X8" i="15" s="1"/>
  <c r="N7" i="15"/>
  <c r="M7" i="15"/>
  <c r="X7" i="15" s="1"/>
  <c r="N6" i="15"/>
  <c r="M6" i="15"/>
  <c r="X6" i="15" s="1"/>
  <c r="X5" i="15"/>
  <c r="T5" i="15"/>
  <c r="AA51" i="15" s="1"/>
  <c r="S5" i="15"/>
  <c r="Z53" i="15" s="1"/>
  <c r="R5" i="15"/>
  <c r="Q5" i="15"/>
  <c r="X92" i="15" s="1"/>
  <c r="P5" i="15"/>
  <c r="W52" i="15" s="1"/>
  <c r="O5" i="15"/>
  <c r="V53" i="15" s="1"/>
  <c r="N5" i="15"/>
  <c r="M5" i="15"/>
  <c r="T3" i="15"/>
  <c r="O3" i="15"/>
  <c r="M172" i="15" s="1"/>
  <c r="N3" i="15"/>
  <c r="M3" i="15"/>
  <c r="T2" i="15"/>
  <c r="M297" i="14"/>
  <c r="M296" i="14"/>
  <c r="M295" i="14"/>
  <c r="M294" i="14"/>
  <c r="M293" i="14"/>
  <c r="M292" i="14"/>
  <c r="M291" i="14"/>
  <c r="M290" i="14"/>
  <c r="M289" i="14"/>
  <c r="M288" i="14"/>
  <c r="M287" i="14"/>
  <c r="M286" i="14"/>
  <c r="M285" i="14"/>
  <c r="M284" i="14"/>
  <c r="M283" i="14"/>
  <c r="M282" i="14"/>
  <c r="M281" i="14"/>
  <c r="M280" i="14"/>
  <c r="M279" i="14"/>
  <c r="M278" i="14"/>
  <c r="M277" i="14"/>
  <c r="M276" i="14"/>
  <c r="M275" i="14"/>
  <c r="M274" i="14"/>
  <c r="M273" i="14"/>
  <c r="M272" i="14"/>
  <c r="M271" i="14"/>
  <c r="M270" i="14"/>
  <c r="M269" i="14"/>
  <c r="M268" i="14"/>
  <c r="M267" i="14"/>
  <c r="M266" i="14"/>
  <c r="M265" i="14"/>
  <c r="M264" i="14"/>
  <c r="M263" i="14"/>
  <c r="M262" i="14"/>
  <c r="M261" i="14"/>
  <c r="M260" i="14"/>
  <c r="M259" i="14"/>
  <c r="M258" i="14"/>
  <c r="M257" i="14"/>
  <c r="M256" i="14"/>
  <c r="M255" i="14"/>
  <c r="M254" i="14"/>
  <c r="M253" i="14"/>
  <c r="M252" i="14"/>
  <c r="M251" i="14"/>
  <c r="M250" i="14"/>
  <c r="M249" i="14"/>
  <c r="M248" i="14"/>
  <c r="M247" i="14"/>
  <c r="M246" i="14"/>
  <c r="M245" i="14"/>
  <c r="M244" i="14"/>
  <c r="M243" i="14"/>
  <c r="M242" i="14"/>
  <c r="M241" i="14"/>
  <c r="M240" i="14"/>
  <c r="M239" i="14"/>
  <c r="M238" i="14"/>
  <c r="M237" i="14"/>
  <c r="M236" i="14"/>
  <c r="M235" i="14"/>
  <c r="M234" i="14"/>
  <c r="M233" i="14"/>
  <c r="M232" i="14"/>
  <c r="M231" i="14"/>
  <c r="M230" i="14"/>
  <c r="M229" i="14"/>
  <c r="M228" i="14"/>
  <c r="M227" i="14"/>
  <c r="M226" i="14"/>
  <c r="M225" i="14"/>
  <c r="M224" i="14"/>
  <c r="M223" i="14"/>
  <c r="M222" i="14"/>
  <c r="M221" i="14"/>
  <c r="M220" i="14"/>
  <c r="M219" i="14"/>
  <c r="M218" i="14"/>
  <c r="M217" i="14"/>
  <c r="M216" i="14"/>
  <c r="M215" i="14"/>
  <c r="M214" i="14"/>
  <c r="M213" i="14"/>
  <c r="M212" i="14"/>
  <c r="M211" i="14"/>
  <c r="M210" i="14"/>
  <c r="M209" i="14"/>
  <c r="M208" i="14"/>
  <c r="M207" i="14"/>
  <c r="M206" i="14"/>
  <c r="M205" i="14"/>
  <c r="M204" i="14"/>
  <c r="U203" i="14"/>
  <c r="M203" i="14"/>
  <c r="M202" i="14"/>
  <c r="M201" i="14"/>
  <c r="M200" i="14"/>
  <c r="M199" i="14"/>
  <c r="M198" i="14"/>
  <c r="M197" i="14"/>
  <c r="M196" i="14"/>
  <c r="M195" i="14"/>
  <c r="M194" i="14"/>
  <c r="M193" i="14"/>
  <c r="M192" i="14"/>
  <c r="M191" i="14"/>
  <c r="M190" i="14"/>
  <c r="M189" i="14"/>
  <c r="M188" i="14"/>
  <c r="M187" i="14"/>
  <c r="M186" i="14"/>
  <c r="M185" i="14"/>
  <c r="M184" i="14"/>
  <c r="M183" i="14"/>
  <c r="M182" i="14"/>
  <c r="M181" i="14"/>
  <c r="M180" i="14"/>
  <c r="M179" i="14"/>
  <c r="M178" i="14"/>
  <c r="M177" i="14"/>
  <c r="M176" i="14"/>
  <c r="M175" i="14"/>
  <c r="M174" i="14"/>
  <c r="M173" i="14"/>
  <c r="M172" i="14"/>
  <c r="M171" i="14"/>
  <c r="M170" i="14"/>
  <c r="M169" i="14"/>
  <c r="M168" i="14"/>
  <c r="M167" i="14"/>
  <c r="M166" i="14"/>
  <c r="M165" i="14"/>
  <c r="M164" i="14"/>
  <c r="M163" i="14"/>
  <c r="M162" i="14"/>
  <c r="M161" i="14"/>
  <c r="M160" i="14"/>
  <c r="M159" i="14"/>
  <c r="M158" i="14"/>
  <c r="U157" i="14"/>
  <c r="M157" i="14"/>
  <c r="M156" i="14"/>
  <c r="W155" i="14"/>
  <c r="M155" i="14"/>
  <c r="M154" i="14"/>
  <c r="M153" i="14"/>
  <c r="M152" i="14"/>
  <c r="M151" i="14"/>
  <c r="Z150" i="14"/>
  <c r="M150" i="14"/>
  <c r="U149" i="14"/>
  <c r="M149" i="14"/>
  <c r="M148" i="14"/>
  <c r="W147" i="14"/>
  <c r="M147" i="14"/>
  <c r="M146" i="14"/>
  <c r="M145" i="14"/>
  <c r="M144" i="14"/>
  <c r="M143" i="14"/>
  <c r="Z142" i="14"/>
  <c r="M142" i="14"/>
  <c r="U141" i="14"/>
  <c r="M141" i="14"/>
  <c r="M140" i="14"/>
  <c r="W139" i="14"/>
  <c r="M139" i="14"/>
  <c r="M138" i="14"/>
  <c r="M137" i="14"/>
  <c r="M136" i="14"/>
  <c r="M135" i="14"/>
  <c r="Z134" i="14"/>
  <c r="M134" i="14"/>
  <c r="U133" i="14"/>
  <c r="M133" i="14"/>
  <c r="M132" i="14"/>
  <c r="W131" i="14"/>
  <c r="M131" i="14"/>
  <c r="M130" i="14"/>
  <c r="M129" i="14"/>
  <c r="M128" i="14"/>
  <c r="M127" i="14"/>
  <c r="Z126" i="14"/>
  <c r="M126" i="14"/>
  <c r="U125" i="14"/>
  <c r="M125" i="14"/>
  <c r="M124" i="14"/>
  <c r="W123" i="14"/>
  <c r="M123" i="14"/>
  <c r="M122" i="14"/>
  <c r="M121" i="14"/>
  <c r="M120" i="14"/>
  <c r="M119" i="14"/>
  <c r="Z118" i="14"/>
  <c r="M118" i="14"/>
  <c r="U117" i="14"/>
  <c r="M117" i="14"/>
  <c r="M116" i="14"/>
  <c r="W115" i="14"/>
  <c r="M115" i="14"/>
  <c r="M114" i="14"/>
  <c r="M113" i="14"/>
  <c r="M112" i="14"/>
  <c r="M111" i="14"/>
  <c r="Z110" i="14"/>
  <c r="M110" i="14"/>
  <c r="U109" i="14"/>
  <c r="M109" i="14"/>
  <c r="M108" i="14"/>
  <c r="W107" i="14"/>
  <c r="M107" i="14"/>
  <c r="M106" i="14"/>
  <c r="M105" i="14"/>
  <c r="M104" i="14"/>
  <c r="M103" i="14"/>
  <c r="Z102" i="14"/>
  <c r="M102" i="14"/>
  <c r="U101" i="14"/>
  <c r="M101" i="14"/>
  <c r="M100" i="14"/>
  <c r="W99" i="14"/>
  <c r="M99" i="14"/>
  <c r="M98" i="14"/>
  <c r="M97" i="14"/>
  <c r="M96" i="14"/>
  <c r="M95" i="14"/>
  <c r="Z94" i="14"/>
  <c r="M94" i="14"/>
  <c r="U93" i="14"/>
  <c r="M93" i="14"/>
  <c r="M92" i="14"/>
  <c r="W91" i="14"/>
  <c r="M91" i="14"/>
  <c r="M90" i="14"/>
  <c r="M89" i="14"/>
  <c r="M88" i="14"/>
  <c r="M87" i="14"/>
  <c r="Z86" i="14"/>
  <c r="M86" i="14"/>
  <c r="U85" i="14"/>
  <c r="M85" i="14"/>
  <c r="M84" i="14"/>
  <c r="W83" i="14"/>
  <c r="M83" i="14"/>
  <c r="M82" i="14"/>
  <c r="M81" i="14"/>
  <c r="M80" i="14"/>
  <c r="M79" i="14"/>
  <c r="Z78" i="14"/>
  <c r="M78" i="14"/>
  <c r="U77" i="14"/>
  <c r="M77" i="14"/>
  <c r="M76" i="14"/>
  <c r="W75" i="14"/>
  <c r="M75" i="14"/>
  <c r="M74" i="14"/>
  <c r="M73" i="14"/>
  <c r="M72" i="14"/>
  <c r="M71" i="14"/>
  <c r="Z70" i="14"/>
  <c r="M70" i="14"/>
  <c r="U69" i="14"/>
  <c r="M69" i="14"/>
  <c r="M68" i="14"/>
  <c r="W67" i="14"/>
  <c r="M67" i="14"/>
  <c r="M66" i="14"/>
  <c r="M65" i="14"/>
  <c r="M64" i="14"/>
  <c r="M63" i="14"/>
  <c r="Z62" i="14"/>
  <c r="M62" i="14"/>
  <c r="Z61" i="14"/>
  <c r="V61" i="14"/>
  <c r="M61" i="14"/>
  <c r="Y60" i="14"/>
  <c r="U60" i="14"/>
  <c r="M60" i="14"/>
  <c r="M59" i="14"/>
  <c r="W58" i="14"/>
  <c r="M58" i="14"/>
  <c r="Z57" i="14"/>
  <c r="V57" i="14"/>
  <c r="M57" i="14"/>
  <c r="Y56" i="14"/>
  <c r="U56" i="14"/>
  <c r="M56" i="14"/>
  <c r="M55" i="14"/>
  <c r="W54" i="14"/>
  <c r="M54" i="14"/>
  <c r="Z53" i="14"/>
  <c r="V53" i="14"/>
  <c r="M53" i="14"/>
  <c r="Y52" i="14"/>
  <c r="U52" i="14"/>
  <c r="M52" i="14"/>
  <c r="M51" i="14"/>
  <c r="W50" i="14"/>
  <c r="M50" i="14"/>
  <c r="Z49" i="14"/>
  <c r="V49" i="14"/>
  <c r="M49" i="14"/>
  <c r="Y48" i="14"/>
  <c r="U48" i="14"/>
  <c r="M48" i="14"/>
  <c r="M47" i="14"/>
  <c r="W46" i="14"/>
  <c r="M46" i="14"/>
  <c r="Z45" i="14"/>
  <c r="V45" i="14"/>
  <c r="M45" i="14"/>
  <c r="Y44" i="14"/>
  <c r="U44" i="14"/>
  <c r="M44" i="14"/>
  <c r="M43" i="14"/>
  <c r="W42" i="14"/>
  <c r="M42" i="14"/>
  <c r="Z41" i="14"/>
  <c r="V41" i="14"/>
  <c r="M41" i="14"/>
  <c r="Y40" i="14"/>
  <c r="U40" i="14"/>
  <c r="M40" i="14"/>
  <c r="M39" i="14"/>
  <c r="W38" i="14"/>
  <c r="M38" i="14"/>
  <c r="Z37" i="14"/>
  <c r="V37" i="14"/>
  <c r="M37" i="14"/>
  <c r="Y36" i="14"/>
  <c r="U36" i="14"/>
  <c r="M36" i="14"/>
  <c r="M35" i="14"/>
  <c r="W34" i="14"/>
  <c r="M34" i="14"/>
  <c r="Z33" i="14"/>
  <c r="V33" i="14"/>
  <c r="M33" i="14"/>
  <c r="Y32" i="14"/>
  <c r="U32" i="14"/>
  <c r="M32" i="14"/>
  <c r="M31" i="14"/>
  <c r="W30" i="14"/>
  <c r="M30" i="14"/>
  <c r="Z29" i="14"/>
  <c r="V29" i="14"/>
  <c r="M29" i="14"/>
  <c r="Y28" i="14"/>
  <c r="U28" i="14"/>
  <c r="M28" i="14"/>
  <c r="M27" i="14"/>
  <c r="W26" i="14"/>
  <c r="M26" i="14"/>
  <c r="Z25" i="14"/>
  <c r="V25" i="14"/>
  <c r="M25" i="14"/>
  <c r="Y24" i="14"/>
  <c r="U24" i="14"/>
  <c r="M24" i="14"/>
  <c r="M23" i="14"/>
  <c r="W22" i="14"/>
  <c r="M22" i="14"/>
  <c r="Z21" i="14"/>
  <c r="V21" i="14"/>
  <c r="M21" i="14"/>
  <c r="Y20" i="14"/>
  <c r="U20" i="14"/>
  <c r="M20" i="14"/>
  <c r="M19" i="14"/>
  <c r="W18" i="14"/>
  <c r="M18" i="14"/>
  <c r="Z17" i="14"/>
  <c r="V17" i="14"/>
  <c r="M17" i="14"/>
  <c r="Y16" i="14"/>
  <c r="U16" i="14"/>
  <c r="M16" i="14"/>
  <c r="M15" i="14"/>
  <c r="W14" i="14"/>
  <c r="M14" i="14"/>
  <c r="Z13" i="14"/>
  <c r="V13" i="14"/>
  <c r="M13" i="14"/>
  <c r="Y12" i="14"/>
  <c r="U12" i="14"/>
  <c r="M12" i="14"/>
  <c r="M11" i="14"/>
  <c r="W10" i="14"/>
  <c r="M10" i="14"/>
  <c r="Z9" i="14"/>
  <c r="V9" i="14"/>
  <c r="M9" i="14"/>
  <c r="Y8" i="14"/>
  <c r="U8" i="14"/>
  <c r="M8" i="14"/>
  <c r="M7" i="14"/>
  <c r="W6" i="14"/>
  <c r="M6" i="14"/>
  <c r="S5" i="14"/>
  <c r="Z60" i="14" s="1"/>
  <c r="R5" i="14"/>
  <c r="Q5" i="14"/>
  <c r="X156" i="14" s="1"/>
  <c r="P5" i="14"/>
  <c r="W151" i="14" s="1"/>
  <c r="O5" i="14"/>
  <c r="V225" i="14" s="1"/>
  <c r="N5" i="14"/>
  <c r="U153" i="14" s="1"/>
  <c r="M5" i="14"/>
  <c r="Z5" i="14" s="1"/>
  <c r="O3" i="14"/>
  <c r="W297" i="16" l="1"/>
  <c r="W296" i="16"/>
  <c r="W295" i="16"/>
  <c r="W294" i="16"/>
  <c r="W293" i="16"/>
  <c r="W292" i="16"/>
  <c r="W291" i="16"/>
  <c r="W290" i="16"/>
  <c r="W289" i="16"/>
  <c r="W288" i="16"/>
  <c r="W287" i="16"/>
  <c r="W286" i="16"/>
  <c r="W285" i="16"/>
  <c r="W284" i="16"/>
  <c r="W283" i="16"/>
  <c r="W282" i="16"/>
  <c r="W281" i="16"/>
  <c r="W280" i="16"/>
  <c r="W279" i="16"/>
  <c r="W278" i="16"/>
  <c r="W277" i="16"/>
  <c r="W276" i="16"/>
  <c r="W275" i="16"/>
  <c r="W274" i="16"/>
  <c r="W273" i="16"/>
  <c r="W272" i="16"/>
  <c r="W271" i="16"/>
  <c r="W270" i="16"/>
  <c r="W269" i="16"/>
  <c r="W268" i="16"/>
  <c r="W267" i="16"/>
  <c r="W266" i="16"/>
  <c r="W265" i="16"/>
  <c r="W264" i="16"/>
  <c r="W263" i="16"/>
  <c r="W262" i="16"/>
  <c r="W261" i="16"/>
  <c r="W260" i="16"/>
  <c r="W259" i="16"/>
  <c r="W258" i="16"/>
  <c r="W257" i="16"/>
  <c r="W256" i="16"/>
  <c r="W255" i="16"/>
  <c r="W254" i="16"/>
  <c r="W253" i="16"/>
  <c r="W252" i="16"/>
  <c r="W251" i="16"/>
  <c r="W250" i="16"/>
  <c r="W249" i="16"/>
  <c r="W248" i="16"/>
  <c r="W247" i="16"/>
  <c r="W246" i="16"/>
  <c r="W245" i="16"/>
  <c r="W244" i="16"/>
  <c r="W243" i="16"/>
  <c r="W242" i="16"/>
  <c r="W241" i="16"/>
  <c r="W240" i="16"/>
  <c r="W239" i="16"/>
  <c r="W238" i="16"/>
  <c r="W237" i="16"/>
  <c r="W236" i="16"/>
  <c r="W235" i="16"/>
  <c r="W234" i="16"/>
  <c r="W232" i="16"/>
  <c r="W228" i="16"/>
  <c r="W224" i="16"/>
  <c r="W220" i="16"/>
  <c r="W216" i="16"/>
  <c r="W212" i="16"/>
  <c r="W208" i="16"/>
  <c r="W204" i="16"/>
  <c r="W200" i="16"/>
  <c r="W196" i="16"/>
  <c r="W192" i="16"/>
  <c r="W188" i="16"/>
  <c r="W184" i="16"/>
  <c r="W180" i="16"/>
  <c r="W176" i="16"/>
  <c r="W172" i="16"/>
  <c r="W168" i="16"/>
  <c r="W164" i="16"/>
  <c r="W163" i="16"/>
  <c r="W162" i="16"/>
  <c r="W161" i="16"/>
  <c r="W160" i="16"/>
  <c r="W159" i="16"/>
  <c r="W158" i="16"/>
  <c r="W157" i="16"/>
  <c r="W156" i="16"/>
  <c r="W155" i="16"/>
  <c r="W154" i="16"/>
  <c r="W153" i="16"/>
  <c r="W152" i="16"/>
  <c r="W151" i="16"/>
  <c r="W150" i="16"/>
  <c r="W149" i="16"/>
  <c r="W148" i="16"/>
  <c r="W147" i="16"/>
  <c r="W146" i="16"/>
  <c r="W145" i="16"/>
  <c r="W144" i="16"/>
  <c r="W143" i="16"/>
  <c r="W142" i="16"/>
  <c r="W141" i="16"/>
  <c r="W140" i="16"/>
  <c r="W139" i="16"/>
  <c r="W138" i="16"/>
  <c r="W137" i="16"/>
  <c r="W136" i="16"/>
  <c r="W135" i="16"/>
  <c r="W134" i="16"/>
  <c r="W133" i="16"/>
  <c r="W132" i="16"/>
  <c r="W131" i="16"/>
  <c r="W130" i="16"/>
  <c r="W129" i="16"/>
  <c r="W128" i="16"/>
  <c r="W127" i="16"/>
  <c r="W126" i="16"/>
  <c r="W125" i="16"/>
  <c r="W124" i="16"/>
  <c r="W231" i="16"/>
  <c r="W227" i="16"/>
  <c r="W225" i="16"/>
  <c r="W221" i="16"/>
  <c r="W217" i="16"/>
  <c r="W213" i="16"/>
  <c r="W209" i="16"/>
  <c r="W205" i="16"/>
  <c r="W201" i="16"/>
  <c r="W197" i="16"/>
  <c r="W193" i="16"/>
  <c r="W189" i="16"/>
  <c r="W185" i="16"/>
  <c r="W181" i="16"/>
  <c r="W177" i="16"/>
  <c r="W173" i="16"/>
  <c r="W169" i="16"/>
  <c r="W165" i="16"/>
  <c r="W230" i="16"/>
  <c r="W226" i="16"/>
  <c r="W222" i="16"/>
  <c r="W218" i="16"/>
  <c r="W214" i="16"/>
  <c r="W210" i="16"/>
  <c r="W206" i="16"/>
  <c r="W202" i="16"/>
  <c r="W198" i="16"/>
  <c r="W194" i="16"/>
  <c r="W190" i="16"/>
  <c r="W186" i="16"/>
  <c r="W182" i="16"/>
  <c r="W178" i="16"/>
  <c r="W174" i="16"/>
  <c r="W170" i="16"/>
  <c r="W166" i="16"/>
  <c r="W233" i="16"/>
  <c r="W211" i="16"/>
  <c r="W195" i="16"/>
  <c r="W179" i="16"/>
  <c r="W223" i="16"/>
  <c r="W207" i="16"/>
  <c r="W191" i="16"/>
  <c r="W175" i="16"/>
  <c r="W123" i="16"/>
  <c r="W122" i="16"/>
  <c r="W121" i="16"/>
  <c r="W120" i="16"/>
  <c r="W119" i="16"/>
  <c r="W118" i="16"/>
  <c r="W117" i="16"/>
  <c r="W116" i="16"/>
  <c r="W115" i="16"/>
  <c r="W114" i="16"/>
  <c r="W113" i="16"/>
  <c r="W112" i="16"/>
  <c r="W111" i="16"/>
  <c r="W110" i="16"/>
  <c r="W109" i="16"/>
  <c r="W108" i="16"/>
  <c r="W107" i="16"/>
  <c r="W106" i="16"/>
  <c r="W105" i="16"/>
  <c r="W104" i="16"/>
  <c r="W103" i="16"/>
  <c r="W102" i="16"/>
  <c r="W101" i="16"/>
  <c r="W100" i="16"/>
  <c r="W99" i="16"/>
  <c r="W98" i="16"/>
  <c r="W97" i="16"/>
  <c r="W96" i="16"/>
  <c r="W95" i="16"/>
  <c r="W94" i="16"/>
  <c r="W93" i="16"/>
  <c r="W92" i="16"/>
  <c r="W91" i="16"/>
  <c r="W90" i="16"/>
  <c r="W89" i="16"/>
  <c r="W88" i="16"/>
  <c r="W87" i="16"/>
  <c r="W86" i="16"/>
  <c r="W85" i="16"/>
  <c r="W84" i="16"/>
  <c r="W83" i="16"/>
  <c r="W82" i="16"/>
  <c r="W81" i="16"/>
  <c r="W80" i="16"/>
  <c r="W79" i="16"/>
  <c r="W219" i="16"/>
  <c r="W203" i="16"/>
  <c r="W187" i="16"/>
  <c r="W171" i="16"/>
  <c r="Y9" i="16"/>
  <c r="Y10" i="16"/>
  <c r="Y11" i="16"/>
  <c r="Y16" i="16"/>
  <c r="Y18" i="16"/>
  <c r="Y22" i="16"/>
  <c r="Y27" i="16"/>
  <c r="Y30" i="16"/>
  <c r="X60" i="16"/>
  <c r="X62" i="16"/>
  <c r="AA63" i="16"/>
  <c r="AA65" i="16"/>
  <c r="AA67" i="16"/>
  <c r="X70" i="16"/>
  <c r="X72" i="16"/>
  <c r="X74" i="16"/>
  <c r="X76" i="16"/>
  <c r="X78" i="16"/>
  <c r="Y106" i="16"/>
  <c r="Y114" i="16"/>
  <c r="X126" i="16"/>
  <c r="X134" i="16"/>
  <c r="X150" i="16"/>
  <c r="V166" i="16"/>
  <c r="W183" i="16"/>
  <c r="Z225" i="16"/>
  <c r="X259" i="16"/>
  <c r="X257" i="16"/>
  <c r="X255" i="16"/>
  <c r="X254" i="16"/>
  <c r="X253" i="16"/>
  <c r="X252" i="16"/>
  <c r="X251" i="16"/>
  <c r="X250" i="16"/>
  <c r="X249" i="16"/>
  <c r="X248" i="16"/>
  <c r="X247" i="16"/>
  <c r="X246" i="16"/>
  <c r="X245" i="16"/>
  <c r="X297" i="16"/>
  <c r="X296" i="16"/>
  <c r="X295" i="16"/>
  <c r="X294" i="16"/>
  <c r="X293" i="16"/>
  <c r="X292" i="16"/>
  <c r="X291" i="16"/>
  <c r="X290" i="16"/>
  <c r="X289" i="16"/>
  <c r="X288" i="16"/>
  <c r="X287" i="16"/>
  <c r="X286" i="16"/>
  <c r="X285" i="16"/>
  <c r="X284" i="16"/>
  <c r="X283" i="16"/>
  <c r="X282" i="16"/>
  <c r="X281" i="16"/>
  <c r="X280" i="16"/>
  <c r="X279" i="16"/>
  <c r="X278" i="16"/>
  <c r="X277" i="16"/>
  <c r="X276" i="16"/>
  <c r="X275" i="16"/>
  <c r="X274" i="16"/>
  <c r="X273" i="16"/>
  <c r="X272" i="16"/>
  <c r="X271" i="16"/>
  <c r="X270" i="16"/>
  <c r="X269" i="16"/>
  <c r="X268" i="16"/>
  <c r="X267" i="16"/>
  <c r="X266" i="16"/>
  <c r="X265" i="16"/>
  <c r="X264" i="16"/>
  <c r="X263" i="16"/>
  <c r="X262" i="16"/>
  <c r="X261" i="16"/>
  <c r="X260" i="16"/>
  <c r="X258" i="16"/>
  <c r="X256" i="16"/>
  <c r="X233" i="16"/>
  <c r="X232" i="16"/>
  <c r="X231" i="16"/>
  <c r="X230" i="16"/>
  <c r="X229" i="16"/>
  <c r="X228" i="16"/>
  <c r="X227" i="16"/>
  <c r="X226" i="16"/>
  <c r="X225" i="16"/>
  <c r="X224" i="16"/>
  <c r="X223" i="16"/>
  <c r="X222" i="16"/>
  <c r="X221" i="16"/>
  <c r="X220" i="16"/>
  <c r="X219" i="16"/>
  <c r="X218" i="16"/>
  <c r="X217" i="16"/>
  <c r="X216" i="16"/>
  <c r="X215" i="16"/>
  <c r="X214" i="16"/>
  <c r="X213" i="16"/>
  <c r="X212" i="16"/>
  <c r="X211" i="16"/>
  <c r="X210" i="16"/>
  <c r="X209" i="16"/>
  <c r="X208" i="16"/>
  <c r="X207" i="16"/>
  <c r="X206" i="16"/>
  <c r="X205" i="16"/>
  <c r="X204" i="16"/>
  <c r="X203" i="16"/>
  <c r="X202" i="16"/>
  <c r="X201" i="16"/>
  <c r="X200" i="16"/>
  <c r="X199" i="16"/>
  <c r="X198" i="16"/>
  <c r="X197" i="16"/>
  <c r="X196" i="16"/>
  <c r="X195" i="16"/>
  <c r="X194" i="16"/>
  <c r="X193" i="16"/>
  <c r="X192" i="16"/>
  <c r="X191" i="16"/>
  <c r="X190" i="16"/>
  <c r="X189" i="16"/>
  <c r="X188" i="16"/>
  <c r="X187" i="16"/>
  <c r="X186" i="16"/>
  <c r="X185" i="16"/>
  <c r="X184" i="16"/>
  <c r="X183" i="16"/>
  <c r="X182" i="16"/>
  <c r="X181" i="16"/>
  <c r="X180" i="16"/>
  <c r="X179" i="16"/>
  <c r="X178" i="16"/>
  <c r="X177" i="16"/>
  <c r="X176" i="16"/>
  <c r="X175" i="16"/>
  <c r="X174" i="16"/>
  <c r="X173" i="16"/>
  <c r="X172" i="16"/>
  <c r="X171" i="16"/>
  <c r="X170" i="16"/>
  <c r="X169" i="16"/>
  <c r="X168" i="16"/>
  <c r="X167" i="16"/>
  <c r="X166" i="16"/>
  <c r="X165" i="16"/>
  <c r="X164" i="16"/>
  <c r="X242" i="16"/>
  <c r="X238" i="16"/>
  <c r="X243" i="16"/>
  <c r="X239" i="16"/>
  <c r="X244" i="16"/>
  <c r="X240" i="16"/>
  <c r="X236" i="16"/>
  <c r="X235" i="16"/>
  <c r="X234" i="16"/>
  <c r="X163" i="16"/>
  <c r="X159" i="16"/>
  <c r="X155" i="16"/>
  <c r="X151" i="16"/>
  <c r="X147" i="16"/>
  <c r="X143" i="16"/>
  <c r="X139" i="16"/>
  <c r="X135" i="16"/>
  <c r="X123" i="16"/>
  <c r="X122" i="16"/>
  <c r="X121" i="16"/>
  <c r="X120" i="16"/>
  <c r="X119" i="16"/>
  <c r="X118" i="16"/>
  <c r="X117" i="16"/>
  <c r="X116" i="16"/>
  <c r="X115" i="16"/>
  <c r="X114" i="16"/>
  <c r="X113" i="16"/>
  <c r="X112" i="16"/>
  <c r="X111" i="16"/>
  <c r="X110" i="16"/>
  <c r="X109" i="16"/>
  <c r="X108" i="16"/>
  <c r="X107" i="16"/>
  <c r="X106" i="16"/>
  <c r="X105" i="16"/>
  <c r="X160" i="16"/>
  <c r="X156" i="16"/>
  <c r="X152" i="16"/>
  <c r="X148" i="16"/>
  <c r="X144" i="16"/>
  <c r="X140" i="16"/>
  <c r="X136" i="16"/>
  <c r="X241" i="16"/>
  <c r="X161" i="16"/>
  <c r="X157" i="16"/>
  <c r="X153" i="16"/>
  <c r="X149" i="16"/>
  <c r="X145" i="16"/>
  <c r="X141" i="16"/>
  <c r="X137" i="16"/>
  <c r="V5" i="16"/>
  <c r="Z5" i="16"/>
  <c r="V6" i="16"/>
  <c r="Z6" i="16"/>
  <c r="V7" i="16"/>
  <c r="Z7" i="16"/>
  <c r="V8" i="16"/>
  <c r="Z8" i="16"/>
  <c r="V9" i="16"/>
  <c r="Z9" i="16"/>
  <c r="V10" i="16"/>
  <c r="Z10" i="16"/>
  <c r="V11" i="16"/>
  <c r="Z11" i="16"/>
  <c r="V12" i="16"/>
  <c r="Z12" i="16"/>
  <c r="V13" i="16"/>
  <c r="Z13" i="16"/>
  <c r="V14" i="16"/>
  <c r="Z14" i="16"/>
  <c r="V15" i="16"/>
  <c r="Z15" i="16"/>
  <c r="V16" i="16"/>
  <c r="Z16" i="16"/>
  <c r="V17" i="16"/>
  <c r="Z17" i="16"/>
  <c r="V18" i="16"/>
  <c r="Z18" i="16"/>
  <c r="V19" i="16"/>
  <c r="Z19" i="16"/>
  <c r="V20" i="16"/>
  <c r="Z20" i="16"/>
  <c r="V21" i="16"/>
  <c r="Z21" i="16"/>
  <c r="V22" i="16"/>
  <c r="Z22" i="16"/>
  <c r="V23" i="16"/>
  <c r="Z23" i="16"/>
  <c r="V24" i="16"/>
  <c r="Z24" i="16"/>
  <c r="V25" i="16"/>
  <c r="Z25" i="16"/>
  <c r="V26" i="16"/>
  <c r="Z26" i="16"/>
  <c r="V27" i="16"/>
  <c r="Z27" i="16"/>
  <c r="V28" i="16"/>
  <c r="Z28" i="16"/>
  <c r="V29" i="16"/>
  <c r="Z29" i="16"/>
  <c r="V30" i="16"/>
  <c r="Z30" i="16"/>
  <c r="V31" i="16"/>
  <c r="Z31" i="16"/>
  <c r="V32" i="16"/>
  <c r="Z32" i="16"/>
  <c r="V34" i="16"/>
  <c r="Z34" i="16"/>
  <c r="V35" i="16"/>
  <c r="Z35" i="16"/>
  <c r="V36" i="16"/>
  <c r="Z36" i="16"/>
  <c r="V37" i="16"/>
  <c r="Z37" i="16"/>
  <c r="V38" i="16"/>
  <c r="Z38" i="16"/>
  <c r="V39" i="16"/>
  <c r="Z39" i="16"/>
  <c r="V40" i="16"/>
  <c r="Z40" i="16"/>
  <c r="V41" i="16"/>
  <c r="Z41" i="16"/>
  <c r="V42" i="16"/>
  <c r="Z42" i="16"/>
  <c r="V43" i="16"/>
  <c r="Z43" i="16"/>
  <c r="V44" i="16"/>
  <c r="Z44" i="16"/>
  <c r="V45" i="16"/>
  <c r="Z45" i="16"/>
  <c r="V46" i="16"/>
  <c r="Z46" i="16"/>
  <c r="V47" i="16"/>
  <c r="Z47" i="16"/>
  <c r="V48" i="16"/>
  <c r="Z48" i="16"/>
  <c r="V49" i="16"/>
  <c r="Z49" i="16"/>
  <c r="V50" i="16"/>
  <c r="Z50" i="16"/>
  <c r="V51" i="16"/>
  <c r="Z51" i="16"/>
  <c r="V52" i="16"/>
  <c r="Z52" i="16"/>
  <c r="V53" i="16"/>
  <c r="Z53" i="16"/>
  <c r="V54" i="16"/>
  <c r="Z54" i="16"/>
  <c r="V55" i="16"/>
  <c r="Z55" i="16"/>
  <c r="V56" i="16"/>
  <c r="Z56" i="16"/>
  <c r="V57" i="16"/>
  <c r="Z57" i="16"/>
  <c r="V58" i="16"/>
  <c r="Z58" i="16"/>
  <c r="W59" i="16"/>
  <c r="Y60" i="16"/>
  <c r="W61" i="16"/>
  <c r="Y62" i="16"/>
  <c r="W63" i="16"/>
  <c r="Y64" i="16"/>
  <c r="W65" i="16"/>
  <c r="Y66" i="16"/>
  <c r="W67" i="16"/>
  <c r="Y68" i="16"/>
  <c r="W69" i="16"/>
  <c r="Y70" i="16"/>
  <c r="W71" i="16"/>
  <c r="Y72" i="16"/>
  <c r="W73" i="16"/>
  <c r="Y74" i="16"/>
  <c r="W75" i="16"/>
  <c r="Y76" i="16"/>
  <c r="W77" i="16"/>
  <c r="Y78" i="16"/>
  <c r="X79" i="16"/>
  <c r="X80" i="16"/>
  <c r="X81" i="16"/>
  <c r="X82" i="16"/>
  <c r="X83" i="16"/>
  <c r="X84" i="16"/>
  <c r="X85" i="16"/>
  <c r="X86" i="16"/>
  <c r="X87" i="16"/>
  <c r="X88" i="16"/>
  <c r="X89" i="16"/>
  <c r="X90" i="16"/>
  <c r="X91" i="16"/>
  <c r="X92" i="16"/>
  <c r="X93" i="16"/>
  <c r="X94" i="16"/>
  <c r="X95" i="16"/>
  <c r="X96" i="16"/>
  <c r="X97" i="16"/>
  <c r="X98" i="16"/>
  <c r="X99" i="16"/>
  <c r="X100" i="16"/>
  <c r="X101" i="16"/>
  <c r="X102" i="16"/>
  <c r="X103" i="16"/>
  <c r="X104" i="16"/>
  <c r="Y105" i="16"/>
  <c r="Y109" i="16"/>
  <c r="Y113" i="16"/>
  <c r="Y117" i="16"/>
  <c r="Y121" i="16"/>
  <c r="X125" i="16"/>
  <c r="X129" i="16"/>
  <c r="X133" i="16"/>
  <c r="X138" i="16"/>
  <c r="X154" i="16"/>
  <c r="Z177" i="16"/>
  <c r="V182" i="16"/>
  <c r="W199" i="16"/>
  <c r="W229" i="16"/>
  <c r="AA297" i="16"/>
  <c r="AA296" i="16"/>
  <c r="AA295" i="16"/>
  <c r="AA294" i="16"/>
  <c r="AA293" i="16"/>
  <c r="AA292" i="16"/>
  <c r="AA291" i="16"/>
  <c r="AA290" i="16"/>
  <c r="AA289" i="16"/>
  <c r="AA288" i="16"/>
  <c r="AA287" i="16"/>
  <c r="AA286" i="16"/>
  <c r="AA285" i="16"/>
  <c r="AA284" i="16"/>
  <c r="AA283" i="16"/>
  <c r="AA282" i="16"/>
  <c r="AA281" i="16"/>
  <c r="AA280" i="16"/>
  <c r="AA279" i="16"/>
  <c r="AA278" i="16"/>
  <c r="AA277" i="16"/>
  <c r="AA276" i="16"/>
  <c r="AA275" i="16"/>
  <c r="AA274" i="16"/>
  <c r="AA273" i="16"/>
  <c r="AA272" i="16"/>
  <c r="AA271" i="16"/>
  <c r="AA270" i="16"/>
  <c r="AA269" i="16"/>
  <c r="AA268" i="16"/>
  <c r="AA267" i="16"/>
  <c r="AA266" i="16"/>
  <c r="AA265" i="16"/>
  <c r="AA264" i="16"/>
  <c r="AA263" i="16"/>
  <c r="AA262" i="16"/>
  <c r="AA261" i="16"/>
  <c r="AA260" i="16"/>
  <c r="AA259" i="16"/>
  <c r="AA258" i="16"/>
  <c r="AA257" i="16"/>
  <c r="AA256" i="16"/>
  <c r="AA255" i="16"/>
  <c r="AA254" i="16"/>
  <c r="AA253" i="16"/>
  <c r="AA252" i="16"/>
  <c r="AA251" i="16"/>
  <c r="AA250" i="16"/>
  <c r="AA249" i="16"/>
  <c r="AA248" i="16"/>
  <c r="AA247" i="16"/>
  <c r="AA246" i="16"/>
  <c r="AA245" i="16"/>
  <c r="AA244" i="16"/>
  <c r="AA243" i="16"/>
  <c r="AA242" i="16"/>
  <c r="AA241" i="16"/>
  <c r="AA240" i="16"/>
  <c r="AA239" i="16"/>
  <c r="AA238" i="16"/>
  <c r="AA237" i="16"/>
  <c r="AA236" i="16"/>
  <c r="AA235" i="16"/>
  <c r="AA234" i="16"/>
  <c r="AA230" i="16"/>
  <c r="AA226" i="16"/>
  <c r="AA223" i="16"/>
  <c r="AA219" i="16"/>
  <c r="AA215" i="16"/>
  <c r="AA211" i="16"/>
  <c r="AA207" i="16"/>
  <c r="AA203" i="16"/>
  <c r="AA199" i="16"/>
  <c r="AA195" i="16"/>
  <c r="AA191" i="16"/>
  <c r="AA187" i="16"/>
  <c r="AA183" i="16"/>
  <c r="AA179" i="16"/>
  <c r="AA175" i="16"/>
  <c r="AA171" i="16"/>
  <c r="AA167" i="16"/>
  <c r="AA163" i="16"/>
  <c r="AA162" i="16"/>
  <c r="AA161" i="16"/>
  <c r="AA160" i="16"/>
  <c r="AA159" i="16"/>
  <c r="AA158" i="16"/>
  <c r="AA157" i="16"/>
  <c r="AA156" i="16"/>
  <c r="AA155" i="16"/>
  <c r="AA154" i="16"/>
  <c r="AA153" i="16"/>
  <c r="AA152" i="16"/>
  <c r="AA151" i="16"/>
  <c r="AA150" i="16"/>
  <c r="AA149" i="16"/>
  <c r="AA148" i="16"/>
  <c r="AA147" i="16"/>
  <c r="AA146" i="16"/>
  <c r="AA145" i="16"/>
  <c r="AA144" i="16"/>
  <c r="AA143" i="16"/>
  <c r="AA142" i="16"/>
  <c r="AA141" i="16"/>
  <c r="AA140" i="16"/>
  <c r="AA139" i="16"/>
  <c r="AA138" i="16"/>
  <c r="AA137" i="16"/>
  <c r="AA136" i="16"/>
  <c r="AA135" i="16"/>
  <c r="AA134" i="16"/>
  <c r="AA133" i="16"/>
  <c r="AA132" i="16"/>
  <c r="AA131" i="16"/>
  <c r="AA130" i="16"/>
  <c r="AA129" i="16"/>
  <c r="AA128" i="16"/>
  <c r="AA127" i="16"/>
  <c r="AA126" i="16"/>
  <c r="AA125" i="16"/>
  <c r="AA124" i="16"/>
  <c r="AA123" i="16"/>
  <c r="AA233" i="16"/>
  <c r="AA229" i="16"/>
  <c r="AA224" i="16"/>
  <c r="AA220" i="16"/>
  <c r="AA216" i="16"/>
  <c r="AA212" i="16"/>
  <c r="AA208" i="16"/>
  <c r="AA204" i="16"/>
  <c r="AA200" i="16"/>
  <c r="AA196" i="16"/>
  <c r="AA192" i="16"/>
  <c r="AA188" i="16"/>
  <c r="AA184" i="16"/>
  <c r="AA180" i="16"/>
  <c r="AA176" i="16"/>
  <c r="AA172" i="16"/>
  <c r="AA168" i="16"/>
  <c r="AA164" i="16"/>
  <c r="AA232" i="16"/>
  <c r="AA228" i="16"/>
  <c r="AA225" i="16"/>
  <c r="AA221" i="16"/>
  <c r="AA217" i="16"/>
  <c r="AA213" i="16"/>
  <c r="AA209" i="16"/>
  <c r="AA205" i="16"/>
  <c r="AA201" i="16"/>
  <c r="AA197" i="16"/>
  <c r="AA193" i="16"/>
  <c r="AA189" i="16"/>
  <c r="AA185" i="16"/>
  <c r="AA181" i="16"/>
  <c r="AA177" i="16"/>
  <c r="AA173" i="16"/>
  <c r="AA169" i="16"/>
  <c r="AA165" i="16"/>
  <c r="AA222" i="16"/>
  <c r="AA206" i="16"/>
  <c r="AA190" i="16"/>
  <c r="AA174" i="16"/>
  <c r="AA227" i="16"/>
  <c r="AA218" i="16"/>
  <c r="AA202" i="16"/>
  <c r="AA186" i="16"/>
  <c r="AA170" i="16"/>
  <c r="AA122" i="16"/>
  <c r="AA121" i="16"/>
  <c r="AA120" i="16"/>
  <c r="AA119" i="16"/>
  <c r="AA118" i="16"/>
  <c r="AA117" i="16"/>
  <c r="AA116" i="16"/>
  <c r="AA115" i="16"/>
  <c r="AA114" i="16"/>
  <c r="AA113" i="16"/>
  <c r="AA112" i="16"/>
  <c r="AA111" i="16"/>
  <c r="AA110" i="16"/>
  <c r="AA109" i="16"/>
  <c r="AA108" i="16"/>
  <c r="AA107" i="16"/>
  <c r="AA106" i="16"/>
  <c r="AA105" i="16"/>
  <c r="AA104" i="16"/>
  <c r="AA103" i="16"/>
  <c r="AA102" i="16"/>
  <c r="AA101" i="16"/>
  <c r="AA100" i="16"/>
  <c r="AA99" i="16"/>
  <c r="AA98" i="16"/>
  <c r="AA97" i="16"/>
  <c r="AA96" i="16"/>
  <c r="AA95" i="16"/>
  <c r="AA94" i="16"/>
  <c r="AA93" i="16"/>
  <c r="AA92" i="16"/>
  <c r="AA91" i="16"/>
  <c r="AA90" i="16"/>
  <c r="AA89" i="16"/>
  <c r="AA88" i="16"/>
  <c r="AA87" i="16"/>
  <c r="AA86" i="16"/>
  <c r="AA85" i="16"/>
  <c r="AA84" i="16"/>
  <c r="AA83" i="16"/>
  <c r="AA82" i="16"/>
  <c r="AA81" i="16"/>
  <c r="AA80" i="16"/>
  <c r="AA79" i="16"/>
  <c r="AA231" i="16"/>
  <c r="AA214" i="16"/>
  <c r="AA198" i="16"/>
  <c r="AA182" i="16"/>
  <c r="AA166" i="16"/>
  <c r="Y6" i="16"/>
  <c r="Y7" i="16"/>
  <c r="Y13" i="16"/>
  <c r="Y14" i="16"/>
  <c r="Y17" i="16"/>
  <c r="Y20" i="16"/>
  <c r="Y23" i="16"/>
  <c r="Y26" i="16"/>
  <c r="Y28" i="16"/>
  <c r="AA59" i="16"/>
  <c r="AA61" i="16"/>
  <c r="X64" i="16"/>
  <c r="X66" i="16"/>
  <c r="X68" i="16"/>
  <c r="AA69" i="16"/>
  <c r="AA71" i="16"/>
  <c r="AA73" i="16"/>
  <c r="AA75" i="16"/>
  <c r="AA77" i="16"/>
  <c r="Y110" i="16"/>
  <c r="Y118" i="16"/>
  <c r="Y122" i="16"/>
  <c r="X130" i="16"/>
  <c r="AA178" i="16"/>
  <c r="Y204" i="16"/>
  <c r="Y232" i="16"/>
  <c r="Y297" i="16"/>
  <c r="Y296" i="16"/>
  <c r="Y295" i="16"/>
  <c r="Y294" i="16"/>
  <c r="Y293" i="16"/>
  <c r="Y292" i="16"/>
  <c r="Y291" i="16"/>
  <c r="Y290" i="16"/>
  <c r="Y289" i="16"/>
  <c r="Y288" i="16"/>
  <c r="Y287" i="16"/>
  <c r="Y286" i="16"/>
  <c r="Y285" i="16"/>
  <c r="Y284" i="16"/>
  <c r="Y283" i="16"/>
  <c r="Y282" i="16"/>
  <c r="Y281" i="16"/>
  <c r="Y280" i="16"/>
  <c r="Y279" i="16"/>
  <c r="Y278" i="16"/>
  <c r="Y277" i="16"/>
  <c r="Y276" i="16"/>
  <c r="Y275" i="16"/>
  <c r="Y274" i="16"/>
  <c r="Y273" i="16"/>
  <c r="Y272" i="16"/>
  <c r="Y271" i="16"/>
  <c r="Y270" i="16"/>
  <c r="Y269" i="16"/>
  <c r="Y268" i="16"/>
  <c r="Y267" i="16"/>
  <c r="Y266" i="16"/>
  <c r="Y265" i="16"/>
  <c r="Y264" i="16"/>
  <c r="Y263" i="16"/>
  <c r="Y262" i="16"/>
  <c r="Y261" i="16"/>
  <c r="Y260" i="16"/>
  <c r="Y258" i="16"/>
  <c r="Y256" i="16"/>
  <c r="Y254" i="16"/>
  <c r="Y250" i="16"/>
  <c r="Y246" i="16"/>
  <c r="Y235" i="16"/>
  <c r="Y252" i="16"/>
  <c r="Y248" i="16"/>
  <c r="Y244" i="16"/>
  <c r="Y243" i="16"/>
  <c r="Y242" i="16"/>
  <c r="Y241" i="16"/>
  <c r="Y240" i="16"/>
  <c r="Y239" i="16"/>
  <c r="Y238" i="16"/>
  <c r="Y237" i="16"/>
  <c r="Y236" i="16"/>
  <c r="Y234" i="16"/>
  <c r="Y259" i="16"/>
  <c r="Y251" i="16"/>
  <c r="Y231" i="16"/>
  <c r="Y227" i="16"/>
  <c r="Y225" i="16"/>
  <c r="Y221" i="16"/>
  <c r="Y217" i="16"/>
  <c r="Y213" i="16"/>
  <c r="Y209" i="16"/>
  <c r="Y205" i="16"/>
  <c r="Y201" i="16"/>
  <c r="Y197" i="16"/>
  <c r="Y193" i="16"/>
  <c r="Y189" i="16"/>
  <c r="Y185" i="16"/>
  <c r="Y181" i="16"/>
  <c r="Y177" i="16"/>
  <c r="Y173" i="16"/>
  <c r="Y169" i="16"/>
  <c r="Y165" i="16"/>
  <c r="Y257" i="16"/>
  <c r="Y249" i="16"/>
  <c r="Y230" i="16"/>
  <c r="Y226" i="16"/>
  <c r="Y222" i="16"/>
  <c r="Y218" i="16"/>
  <c r="Y214" i="16"/>
  <c r="Y210" i="16"/>
  <c r="Y206" i="16"/>
  <c r="Y202" i="16"/>
  <c r="Y198" i="16"/>
  <c r="Y194" i="16"/>
  <c r="Y190" i="16"/>
  <c r="Y186" i="16"/>
  <c r="Y182" i="16"/>
  <c r="Y178" i="16"/>
  <c r="Y174" i="16"/>
  <c r="Y170" i="16"/>
  <c r="Y166" i="16"/>
  <c r="Y255" i="16"/>
  <c r="Y247" i="16"/>
  <c r="Y233" i="16"/>
  <c r="Y229" i="16"/>
  <c r="Y223" i="16"/>
  <c r="Y219" i="16"/>
  <c r="Y215" i="16"/>
  <c r="Y211" i="16"/>
  <c r="Y207" i="16"/>
  <c r="Y203" i="16"/>
  <c r="Y199" i="16"/>
  <c r="Y195" i="16"/>
  <c r="Y191" i="16"/>
  <c r="Y187" i="16"/>
  <c r="Y183" i="16"/>
  <c r="Y179" i="16"/>
  <c r="Y175" i="16"/>
  <c r="Y171" i="16"/>
  <c r="Y167" i="16"/>
  <c r="Y163" i="16"/>
  <c r="Y162" i="16"/>
  <c r="Y161" i="16"/>
  <c r="Y160" i="16"/>
  <c r="Y159" i="16"/>
  <c r="Y158" i="16"/>
  <c r="Y157" i="16"/>
  <c r="Y156" i="16"/>
  <c r="Y155" i="16"/>
  <c r="Y154" i="16"/>
  <c r="Y153" i="16"/>
  <c r="Y152" i="16"/>
  <c r="Y151" i="16"/>
  <c r="Y150" i="16"/>
  <c r="Y149" i="16"/>
  <c r="Y148" i="16"/>
  <c r="Y147" i="16"/>
  <c r="Y146" i="16"/>
  <c r="Y145" i="16"/>
  <c r="Y144" i="16"/>
  <c r="Y143" i="16"/>
  <c r="Y142" i="16"/>
  <c r="Y141" i="16"/>
  <c r="Y140" i="16"/>
  <c r="Y139" i="16"/>
  <c r="Y138" i="16"/>
  <c r="Y137" i="16"/>
  <c r="Y136" i="16"/>
  <c r="Y135" i="16"/>
  <c r="Y134" i="16"/>
  <c r="Y253" i="16"/>
  <c r="Y216" i="16"/>
  <c r="Y200" i="16"/>
  <c r="Y184" i="16"/>
  <c r="Y168" i="16"/>
  <c r="Y245" i="16"/>
  <c r="Y212" i="16"/>
  <c r="Y196" i="16"/>
  <c r="Y180" i="16"/>
  <c r="Y164" i="16"/>
  <c r="Y228" i="16"/>
  <c r="Y224" i="16"/>
  <c r="Y208" i="16"/>
  <c r="Y192" i="16"/>
  <c r="Y176" i="16"/>
  <c r="Y133" i="16"/>
  <c r="Y132" i="16"/>
  <c r="Y131" i="16"/>
  <c r="Y130" i="16"/>
  <c r="Y129" i="16"/>
  <c r="Y128" i="16"/>
  <c r="Y127" i="16"/>
  <c r="Y126" i="16"/>
  <c r="Y125" i="16"/>
  <c r="Y124" i="16"/>
  <c r="W5" i="16"/>
  <c r="AA5" i="16"/>
  <c r="W6" i="16"/>
  <c r="AA6" i="16"/>
  <c r="W7" i="16"/>
  <c r="AA7" i="16"/>
  <c r="W8" i="16"/>
  <c r="AA8" i="16"/>
  <c r="W9" i="16"/>
  <c r="AA9" i="16"/>
  <c r="W10" i="16"/>
  <c r="AA10" i="16"/>
  <c r="W11" i="16"/>
  <c r="AA11" i="16"/>
  <c r="W12" i="16"/>
  <c r="AA12" i="16"/>
  <c r="W13" i="16"/>
  <c r="AA13" i="16"/>
  <c r="W14" i="16"/>
  <c r="AA14" i="16"/>
  <c r="W15" i="16"/>
  <c r="AA15" i="16"/>
  <c r="W16" i="16"/>
  <c r="AA16" i="16"/>
  <c r="W17" i="16"/>
  <c r="AA17" i="16"/>
  <c r="W18" i="16"/>
  <c r="AA18" i="16"/>
  <c r="W19" i="16"/>
  <c r="AA19" i="16"/>
  <c r="W20" i="16"/>
  <c r="AA20" i="16"/>
  <c r="W21" i="16"/>
  <c r="AA21" i="16"/>
  <c r="W22" i="16"/>
  <c r="AA22" i="16"/>
  <c r="W23" i="16"/>
  <c r="AA23" i="16"/>
  <c r="W24" i="16"/>
  <c r="AA24" i="16"/>
  <c r="W25" i="16"/>
  <c r="AA25" i="16"/>
  <c r="W26" i="16"/>
  <c r="AA26" i="16"/>
  <c r="W27" i="16"/>
  <c r="AA27" i="16"/>
  <c r="W28" i="16"/>
  <c r="AA28" i="16"/>
  <c r="W29" i="16"/>
  <c r="AA29" i="16"/>
  <c r="W30" i="16"/>
  <c r="AA30" i="16"/>
  <c r="W31" i="16"/>
  <c r="AA31" i="16"/>
  <c r="W32" i="16"/>
  <c r="AA32" i="16"/>
  <c r="AA33" i="16"/>
  <c r="W34" i="16"/>
  <c r="AA34" i="16"/>
  <c r="W35" i="16"/>
  <c r="AA35" i="16"/>
  <c r="W36" i="16"/>
  <c r="AA36" i="16"/>
  <c r="W37" i="16"/>
  <c r="AA37" i="16"/>
  <c r="W38" i="16"/>
  <c r="AA38" i="16"/>
  <c r="W39" i="16"/>
  <c r="AA39" i="16"/>
  <c r="W40" i="16"/>
  <c r="AA40" i="16"/>
  <c r="W41" i="16"/>
  <c r="AA41" i="16"/>
  <c r="W42" i="16"/>
  <c r="AA42" i="16"/>
  <c r="W43" i="16"/>
  <c r="AA43" i="16"/>
  <c r="W44" i="16"/>
  <c r="AA44" i="16"/>
  <c r="W45" i="16"/>
  <c r="AA45" i="16"/>
  <c r="W46" i="16"/>
  <c r="AA46" i="16"/>
  <c r="W47" i="16"/>
  <c r="AA47" i="16"/>
  <c r="W48" i="16"/>
  <c r="AA48" i="16"/>
  <c r="W49" i="16"/>
  <c r="AA49" i="16"/>
  <c r="W50" i="16"/>
  <c r="AA50" i="16"/>
  <c r="W51" i="16"/>
  <c r="AA51" i="16"/>
  <c r="W52" i="16"/>
  <c r="AA52" i="16"/>
  <c r="W53" i="16"/>
  <c r="AA53" i="16"/>
  <c r="W54" i="16"/>
  <c r="AA54" i="16"/>
  <c r="W55" i="16"/>
  <c r="AA55" i="16"/>
  <c r="W56" i="16"/>
  <c r="AA56" i="16"/>
  <c r="W57" i="16"/>
  <c r="AA57" i="16"/>
  <c r="W58" i="16"/>
  <c r="AA58" i="16"/>
  <c r="X59" i="16"/>
  <c r="AA60" i="16"/>
  <c r="X61" i="16"/>
  <c r="AA62" i="16"/>
  <c r="X63" i="16"/>
  <c r="AA64" i="16"/>
  <c r="X65" i="16"/>
  <c r="AA66" i="16"/>
  <c r="X67" i="16"/>
  <c r="AA68" i="16"/>
  <c r="X69" i="16"/>
  <c r="AA70" i="16"/>
  <c r="X71" i="16"/>
  <c r="AA72" i="16"/>
  <c r="X73" i="16"/>
  <c r="AA74" i="16"/>
  <c r="X75" i="16"/>
  <c r="AA76" i="16"/>
  <c r="X77" i="16"/>
  <c r="AA78" i="16"/>
  <c r="Y79" i="16"/>
  <c r="Y80" i="16"/>
  <c r="Y81" i="16"/>
  <c r="Y82" i="16"/>
  <c r="Y83" i="16"/>
  <c r="Y84" i="16"/>
  <c r="Y85" i="16"/>
  <c r="Y86" i="16"/>
  <c r="Y87" i="16"/>
  <c r="Y88" i="16"/>
  <c r="Y89" i="16"/>
  <c r="Y90" i="16"/>
  <c r="Y91" i="16"/>
  <c r="Y92" i="16"/>
  <c r="Y93" i="16"/>
  <c r="Y94" i="16"/>
  <c r="Y95" i="16"/>
  <c r="Y96" i="16"/>
  <c r="Y97" i="16"/>
  <c r="Y98" i="16"/>
  <c r="Y99" i="16"/>
  <c r="Y100" i="16"/>
  <c r="Y101" i="16"/>
  <c r="Y102" i="16"/>
  <c r="Y103" i="16"/>
  <c r="Y104" i="16"/>
  <c r="Y108" i="16"/>
  <c r="Y112" i="16"/>
  <c r="Y116" i="16"/>
  <c r="Y120" i="16"/>
  <c r="X124" i="16"/>
  <c r="X128" i="16"/>
  <c r="X132" i="16"/>
  <c r="X142" i="16"/>
  <c r="X158" i="16"/>
  <c r="Y172" i="16"/>
  <c r="AA210" i="16"/>
  <c r="W215" i="16"/>
  <c r="Y5" i="16"/>
  <c r="Y8" i="16"/>
  <c r="Y12" i="16"/>
  <c r="Y15" i="16"/>
  <c r="Y19" i="16"/>
  <c r="Y21" i="16"/>
  <c r="Y24" i="16"/>
  <c r="Y25" i="16"/>
  <c r="Y29" i="16"/>
  <c r="Y36" i="16"/>
  <c r="Y40" i="16"/>
  <c r="Y44" i="16"/>
  <c r="Y53" i="16"/>
  <c r="V297" i="16"/>
  <c r="V296" i="16"/>
  <c r="V295" i="16"/>
  <c r="V294" i="16"/>
  <c r="V293" i="16"/>
  <c r="V292" i="16"/>
  <c r="V291" i="16"/>
  <c r="V290" i="16"/>
  <c r="V289" i="16"/>
  <c r="V288" i="16"/>
  <c r="V287" i="16"/>
  <c r="V286" i="16"/>
  <c r="V285" i="16"/>
  <c r="V284" i="16"/>
  <c r="V283" i="16"/>
  <c r="V282" i="16"/>
  <c r="V281" i="16"/>
  <c r="V280" i="16"/>
  <c r="V279" i="16"/>
  <c r="V278" i="16"/>
  <c r="V277" i="16"/>
  <c r="V276" i="16"/>
  <c r="V275" i="16"/>
  <c r="V274" i="16"/>
  <c r="V273" i="16"/>
  <c r="V272" i="16"/>
  <c r="V271" i="16"/>
  <c r="V270" i="16"/>
  <c r="V269" i="16"/>
  <c r="V268" i="16"/>
  <c r="V267" i="16"/>
  <c r="V266" i="16"/>
  <c r="V265" i="16"/>
  <c r="V264" i="16"/>
  <c r="V263" i="16"/>
  <c r="V262" i="16"/>
  <c r="V261" i="16"/>
  <c r="V259" i="16"/>
  <c r="V257" i="16"/>
  <c r="V255" i="16"/>
  <c r="V254" i="16"/>
  <c r="V253" i="16"/>
  <c r="V252" i="16"/>
  <c r="V251" i="16"/>
  <c r="V250" i="16"/>
  <c r="V249" i="16"/>
  <c r="V248" i="16"/>
  <c r="V247" i="16"/>
  <c r="V246" i="16"/>
  <c r="V245" i="16"/>
  <c r="V244" i="16"/>
  <c r="V243" i="16"/>
  <c r="V242" i="16"/>
  <c r="V241" i="16"/>
  <c r="V240" i="16"/>
  <c r="V239" i="16"/>
  <c r="V238" i="16"/>
  <c r="V237" i="16"/>
  <c r="V258" i="16"/>
  <c r="V236" i="16"/>
  <c r="V234" i="16"/>
  <c r="V233" i="16"/>
  <c r="V232" i="16"/>
  <c r="V231" i="16"/>
  <c r="V230" i="16"/>
  <c r="V229" i="16"/>
  <c r="V228" i="16"/>
  <c r="V227" i="16"/>
  <c r="V260" i="16"/>
  <c r="V256" i="16"/>
  <c r="V235" i="16"/>
  <c r="V223" i="16"/>
  <c r="V219" i="16"/>
  <c r="V215" i="16"/>
  <c r="V211" i="16"/>
  <c r="V207" i="16"/>
  <c r="V203" i="16"/>
  <c r="V199" i="16"/>
  <c r="V195" i="16"/>
  <c r="V191" i="16"/>
  <c r="V187" i="16"/>
  <c r="V183" i="16"/>
  <c r="V179" i="16"/>
  <c r="V175" i="16"/>
  <c r="V171" i="16"/>
  <c r="V167" i="16"/>
  <c r="V224" i="16"/>
  <c r="V220" i="16"/>
  <c r="V216" i="16"/>
  <c r="V212" i="16"/>
  <c r="V208" i="16"/>
  <c r="V204" i="16"/>
  <c r="V200" i="16"/>
  <c r="V196" i="16"/>
  <c r="V192" i="16"/>
  <c r="V188" i="16"/>
  <c r="V184" i="16"/>
  <c r="V180" i="16"/>
  <c r="V176" i="16"/>
  <c r="V172" i="16"/>
  <c r="V168" i="16"/>
  <c r="V164" i="16"/>
  <c r="V163" i="16"/>
  <c r="V162" i="16"/>
  <c r="V161" i="16"/>
  <c r="V160" i="16"/>
  <c r="V159" i="16"/>
  <c r="V158" i="16"/>
  <c r="V157" i="16"/>
  <c r="V156" i="16"/>
  <c r="V155" i="16"/>
  <c r="V154" i="16"/>
  <c r="V153" i="16"/>
  <c r="V152" i="16"/>
  <c r="V151" i="16"/>
  <c r="V150" i="16"/>
  <c r="V149" i="16"/>
  <c r="V148" i="16"/>
  <c r="V147" i="16"/>
  <c r="V146" i="16"/>
  <c r="V145" i="16"/>
  <c r="V144" i="16"/>
  <c r="V143" i="16"/>
  <c r="V142" i="16"/>
  <c r="V141" i="16"/>
  <c r="V140" i="16"/>
  <c r="V139" i="16"/>
  <c r="V138" i="16"/>
  <c r="V137" i="16"/>
  <c r="V136" i="16"/>
  <c r="V135" i="16"/>
  <c r="V134" i="16"/>
  <c r="V133" i="16"/>
  <c r="V132" i="16"/>
  <c r="V131" i="16"/>
  <c r="V130" i="16"/>
  <c r="V129" i="16"/>
  <c r="V128" i="16"/>
  <c r="V127" i="16"/>
  <c r="V126" i="16"/>
  <c r="V125" i="16"/>
  <c r="V124" i="16"/>
  <c r="V225" i="16"/>
  <c r="V221" i="16"/>
  <c r="V217" i="16"/>
  <c r="V213" i="16"/>
  <c r="V209" i="16"/>
  <c r="V205" i="16"/>
  <c r="V201" i="16"/>
  <c r="V197" i="16"/>
  <c r="V193" i="16"/>
  <c r="V189" i="16"/>
  <c r="V185" i="16"/>
  <c r="V181" i="16"/>
  <c r="V177" i="16"/>
  <c r="V173" i="16"/>
  <c r="V169" i="16"/>
  <c r="V165" i="16"/>
  <c r="V226" i="16"/>
  <c r="V210" i="16"/>
  <c r="V194" i="16"/>
  <c r="V178" i="16"/>
  <c r="V222" i="16"/>
  <c r="V206" i="16"/>
  <c r="V190" i="16"/>
  <c r="V174" i="16"/>
  <c r="V218" i="16"/>
  <c r="V202" i="16"/>
  <c r="V186" i="16"/>
  <c r="V170" i="16"/>
  <c r="V123" i="16"/>
  <c r="V122" i="16"/>
  <c r="V121" i="16"/>
  <c r="V120" i="16"/>
  <c r="V119" i="16"/>
  <c r="V118" i="16"/>
  <c r="V117" i="16"/>
  <c r="V116" i="16"/>
  <c r="V115" i="16"/>
  <c r="V114" i="16"/>
  <c r="V113" i="16"/>
  <c r="V112" i="16"/>
  <c r="V111" i="16"/>
  <c r="V110" i="16"/>
  <c r="V109" i="16"/>
  <c r="V108" i="16"/>
  <c r="V107" i="16"/>
  <c r="V106" i="16"/>
  <c r="V105" i="16"/>
  <c r="V104" i="16"/>
  <c r="V103" i="16"/>
  <c r="V102" i="16"/>
  <c r="V101" i="16"/>
  <c r="V100" i="16"/>
  <c r="V99" i="16"/>
  <c r="V98" i="16"/>
  <c r="V97" i="16"/>
  <c r="V96" i="16"/>
  <c r="V95" i="16"/>
  <c r="V94" i="16"/>
  <c r="V93" i="16"/>
  <c r="V92" i="16"/>
  <c r="V91" i="16"/>
  <c r="V90" i="16"/>
  <c r="V89" i="16"/>
  <c r="V88" i="16"/>
  <c r="V87" i="16"/>
  <c r="V86" i="16"/>
  <c r="V85" i="16"/>
  <c r="V84" i="16"/>
  <c r="V83" i="16"/>
  <c r="V82" i="16"/>
  <c r="V81" i="16"/>
  <c r="V80" i="16"/>
  <c r="V79" i="16"/>
  <c r="V78" i="16"/>
  <c r="V77" i="16"/>
  <c r="V76" i="16"/>
  <c r="V75" i="16"/>
  <c r="V74" i="16"/>
  <c r="V73" i="16"/>
  <c r="V72" i="16"/>
  <c r="V71" i="16"/>
  <c r="V70" i="16"/>
  <c r="V69" i="16"/>
  <c r="V68" i="16"/>
  <c r="V67" i="16"/>
  <c r="V66" i="16"/>
  <c r="V65" i="16"/>
  <c r="V64" i="16"/>
  <c r="V63" i="16"/>
  <c r="V62" i="16"/>
  <c r="V61" i="16"/>
  <c r="V60" i="16"/>
  <c r="V59" i="16"/>
  <c r="Z297" i="16"/>
  <c r="Z296" i="16"/>
  <c r="Z295" i="16"/>
  <c r="Z294" i="16"/>
  <c r="Z293" i="16"/>
  <c r="Z292" i="16"/>
  <c r="Z291" i="16"/>
  <c r="Z290" i="16"/>
  <c r="Z289" i="16"/>
  <c r="Z288" i="16"/>
  <c r="Z287" i="16"/>
  <c r="Z286" i="16"/>
  <c r="Z285" i="16"/>
  <c r="Z284" i="16"/>
  <c r="Z283" i="16"/>
  <c r="Z282" i="16"/>
  <c r="Z281" i="16"/>
  <c r="Z280" i="16"/>
  <c r="Z279" i="16"/>
  <c r="Z278" i="16"/>
  <c r="Z277" i="16"/>
  <c r="Z276" i="16"/>
  <c r="Z275" i="16"/>
  <c r="Z274" i="16"/>
  <c r="Z273" i="16"/>
  <c r="Z272" i="16"/>
  <c r="Z271" i="16"/>
  <c r="Z270" i="16"/>
  <c r="Z269" i="16"/>
  <c r="Z268" i="16"/>
  <c r="Z267" i="16"/>
  <c r="Z266" i="16"/>
  <c r="Z265" i="16"/>
  <c r="Z264" i="16"/>
  <c r="Z263" i="16"/>
  <c r="Z262" i="16"/>
  <c r="Z261" i="16"/>
  <c r="Z260" i="16"/>
  <c r="Z258" i="16"/>
  <c r="Z256" i="16"/>
  <c r="Z259" i="16"/>
  <c r="Z257" i="16"/>
  <c r="Z255" i="16"/>
  <c r="Z254" i="16"/>
  <c r="Z253" i="16"/>
  <c r="Z252" i="16"/>
  <c r="Z251" i="16"/>
  <c r="Z250" i="16"/>
  <c r="Z249" i="16"/>
  <c r="Z248" i="16"/>
  <c r="Z247" i="16"/>
  <c r="Z246" i="16"/>
  <c r="Z245" i="16"/>
  <c r="Z244" i="16"/>
  <c r="Z243" i="16"/>
  <c r="Z242" i="16"/>
  <c r="Z241" i="16"/>
  <c r="Z240" i="16"/>
  <c r="Z239" i="16"/>
  <c r="Z238" i="16"/>
  <c r="Z237" i="16"/>
  <c r="Z236" i="16"/>
  <c r="Z233" i="16"/>
  <c r="Z232" i="16"/>
  <c r="Z231" i="16"/>
  <c r="Z230" i="16"/>
  <c r="Z229" i="16"/>
  <c r="Z228" i="16"/>
  <c r="Z227" i="16"/>
  <c r="Z226" i="16"/>
  <c r="Z222" i="16"/>
  <c r="Z218" i="16"/>
  <c r="Z214" i="16"/>
  <c r="Z210" i="16"/>
  <c r="Z206" i="16"/>
  <c r="Z202" i="16"/>
  <c r="Z198" i="16"/>
  <c r="Z194" i="16"/>
  <c r="Z190" i="16"/>
  <c r="Z186" i="16"/>
  <c r="Z182" i="16"/>
  <c r="Z178" i="16"/>
  <c r="Z174" i="16"/>
  <c r="Z170" i="16"/>
  <c r="Z166" i="16"/>
  <c r="Z235" i="16"/>
  <c r="Z234" i="16"/>
  <c r="Z223" i="16"/>
  <c r="Z219" i="16"/>
  <c r="Z215" i="16"/>
  <c r="Z211" i="16"/>
  <c r="Z207" i="16"/>
  <c r="Z203" i="16"/>
  <c r="Z199" i="16"/>
  <c r="Z195" i="16"/>
  <c r="Z191" i="16"/>
  <c r="Z187" i="16"/>
  <c r="Z183" i="16"/>
  <c r="Z179" i="16"/>
  <c r="Z175" i="16"/>
  <c r="Z171" i="16"/>
  <c r="Z167" i="16"/>
  <c r="Z163" i="16"/>
  <c r="Z162" i="16"/>
  <c r="Z161" i="16"/>
  <c r="Z160" i="16"/>
  <c r="Z159" i="16"/>
  <c r="Z158" i="16"/>
  <c r="Z157" i="16"/>
  <c r="Z156" i="16"/>
  <c r="Z155" i="16"/>
  <c r="Z154" i="16"/>
  <c r="Z153" i="16"/>
  <c r="Z152" i="16"/>
  <c r="Z151" i="16"/>
  <c r="Z150" i="16"/>
  <c r="Z149" i="16"/>
  <c r="Z148" i="16"/>
  <c r="Z147" i="16"/>
  <c r="Z146" i="16"/>
  <c r="Z145" i="16"/>
  <c r="Z144" i="16"/>
  <c r="Z143" i="16"/>
  <c r="Z142" i="16"/>
  <c r="Z141" i="16"/>
  <c r="Z140" i="16"/>
  <c r="Z139" i="16"/>
  <c r="Z138" i="16"/>
  <c r="Z137" i="16"/>
  <c r="Z136" i="16"/>
  <c r="Z135" i="16"/>
  <c r="Z134" i="16"/>
  <c r="Z133" i="16"/>
  <c r="Z132" i="16"/>
  <c r="Z131" i="16"/>
  <c r="Z130" i="16"/>
  <c r="Z129" i="16"/>
  <c r="Z128" i="16"/>
  <c r="Z127" i="16"/>
  <c r="Z126" i="16"/>
  <c r="Z125" i="16"/>
  <c r="Z124" i="16"/>
  <c r="Z224" i="16"/>
  <c r="Z220" i="16"/>
  <c r="Z216" i="16"/>
  <c r="Z212" i="16"/>
  <c r="Z208" i="16"/>
  <c r="Z204" i="16"/>
  <c r="Z200" i="16"/>
  <c r="Z196" i="16"/>
  <c r="Z192" i="16"/>
  <c r="Z188" i="16"/>
  <c r="Z184" i="16"/>
  <c r="Z180" i="16"/>
  <c r="Z176" i="16"/>
  <c r="Z172" i="16"/>
  <c r="Z168" i="16"/>
  <c r="Z164" i="16"/>
  <c r="Z221" i="16"/>
  <c r="Z205" i="16"/>
  <c r="Z189" i="16"/>
  <c r="Z173" i="16"/>
  <c r="Z217" i="16"/>
  <c r="Z201" i="16"/>
  <c r="Z185" i="16"/>
  <c r="Z169" i="16"/>
  <c r="Z213" i="16"/>
  <c r="Z197" i="16"/>
  <c r="Z181" i="16"/>
  <c r="Z165" i="16"/>
  <c r="Z123" i="16"/>
  <c r="Z122" i="16"/>
  <c r="Z121" i="16"/>
  <c r="Z120" i="16"/>
  <c r="Z119" i="16"/>
  <c r="Z118" i="16"/>
  <c r="Z117" i="16"/>
  <c r="Z116" i="16"/>
  <c r="Z115" i="16"/>
  <c r="Z114" i="16"/>
  <c r="Z113" i="16"/>
  <c r="Z112" i="16"/>
  <c r="Z111" i="16"/>
  <c r="Z110" i="16"/>
  <c r="Z109" i="16"/>
  <c r="Z108" i="16"/>
  <c r="Z107" i="16"/>
  <c r="Z106" i="16"/>
  <c r="Z105" i="16"/>
  <c r="Z104" i="16"/>
  <c r="Z103" i="16"/>
  <c r="Z102" i="16"/>
  <c r="Z101" i="16"/>
  <c r="Z100" i="16"/>
  <c r="Z99" i="16"/>
  <c r="Z98" i="16"/>
  <c r="Z97" i="16"/>
  <c r="Z96" i="16"/>
  <c r="Z95" i="16"/>
  <c r="Z94" i="16"/>
  <c r="Z93" i="16"/>
  <c r="Z92" i="16"/>
  <c r="Z91" i="16"/>
  <c r="Z90" i="16"/>
  <c r="Z89" i="16"/>
  <c r="Z88" i="16"/>
  <c r="Z87" i="16"/>
  <c r="Z86" i="16"/>
  <c r="Z85" i="16"/>
  <c r="Z84" i="16"/>
  <c r="Z83" i="16"/>
  <c r="Z82" i="16"/>
  <c r="Z81" i="16"/>
  <c r="Z80" i="16"/>
  <c r="Z79" i="16"/>
  <c r="Z78" i="16"/>
  <c r="Z77" i="16"/>
  <c r="Z76" i="16"/>
  <c r="Z75" i="16"/>
  <c r="Z74" i="16"/>
  <c r="Z73" i="16"/>
  <c r="Z72" i="16"/>
  <c r="Z71" i="16"/>
  <c r="Z70" i="16"/>
  <c r="Z69" i="16"/>
  <c r="Z68" i="16"/>
  <c r="Z67" i="16"/>
  <c r="Z66" i="16"/>
  <c r="Z65" i="16"/>
  <c r="Z64" i="16"/>
  <c r="Z63" i="16"/>
  <c r="Z62" i="16"/>
  <c r="Z61" i="16"/>
  <c r="Z60" i="16"/>
  <c r="Z59" i="16"/>
  <c r="X31" i="16"/>
  <c r="X32" i="16"/>
  <c r="M33" i="16"/>
  <c r="Y33" i="16" s="1"/>
  <c r="X34" i="16"/>
  <c r="X35" i="16"/>
  <c r="X36" i="16"/>
  <c r="X37" i="16"/>
  <c r="X38" i="16"/>
  <c r="X39" i="16"/>
  <c r="X40" i="16"/>
  <c r="X41" i="16"/>
  <c r="X42" i="16"/>
  <c r="X43" i="16"/>
  <c r="X44" i="16"/>
  <c r="X45" i="16"/>
  <c r="X46" i="16"/>
  <c r="X47" i="16"/>
  <c r="X48" i="16"/>
  <c r="X49" i="16"/>
  <c r="X50" i="16"/>
  <c r="X51" i="16"/>
  <c r="X52" i="16"/>
  <c r="X53" i="16"/>
  <c r="X54" i="16"/>
  <c r="X55" i="16"/>
  <c r="X56" i="16"/>
  <c r="X57" i="16"/>
  <c r="X58" i="16"/>
  <c r="Y59" i="16"/>
  <c r="W60" i="16"/>
  <c r="Y61" i="16"/>
  <c r="W62" i="16"/>
  <c r="Y63" i="16"/>
  <c r="W64" i="16"/>
  <c r="Y65" i="16"/>
  <c r="W66" i="16"/>
  <c r="Y67" i="16"/>
  <c r="W68" i="16"/>
  <c r="Y69" i="16"/>
  <c r="W70" i="16"/>
  <c r="Y71" i="16"/>
  <c r="W72" i="16"/>
  <c r="Y73" i="16"/>
  <c r="W74" i="16"/>
  <c r="Y75" i="16"/>
  <c r="W76" i="16"/>
  <c r="Y77" i="16"/>
  <c r="W78" i="16"/>
  <c r="Y107" i="16"/>
  <c r="Y111" i="16"/>
  <c r="Y115" i="16"/>
  <c r="Y119" i="16"/>
  <c r="Y123" i="16"/>
  <c r="X127" i="16"/>
  <c r="X131" i="16"/>
  <c r="X146" i="16"/>
  <c r="X162" i="16"/>
  <c r="W167" i="16"/>
  <c r="Y188" i="16"/>
  <c r="Z209" i="16"/>
  <c r="V214" i="16"/>
  <c r="X237" i="16"/>
  <c r="Y297" i="15"/>
  <c r="Y296" i="15"/>
  <c r="Y295" i="15"/>
  <c r="Y294" i="15"/>
  <c r="Y293" i="15"/>
  <c r="Y292" i="15"/>
  <c r="Y291" i="15"/>
  <c r="Y290" i="15"/>
  <c r="Y289" i="15"/>
  <c r="Y288" i="15"/>
  <c r="Y287" i="15"/>
  <c r="Y286" i="15"/>
  <c r="Y285" i="15"/>
  <c r="Y284" i="15"/>
  <c r="Y283" i="15"/>
  <c r="Y282" i="15"/>
  <c r="Y281" i="15"/>
  <c r="Y280" i="15"/>
  <c r="Y279" i="15"/>
  <c r="Y278" i="15"/>
  <c r="Y277" i="15"/>
  <c r="Y276" i="15"/>
  <c r="Y275" i="15"/>
  <c r="Y274" i="15"/>
  <c r="Y273" i="15"/>
  <c r="Y272" i="15"/>
  <c r="Y271" i="15"/>
  <c r="Y270" i="15"/>
  <c r="Y269" i="15"/>
  <c r="Y268" i="15"/>
  <c r="Y267" i="15"/>
  <c r="Y266" i="15"/>
  <c r="Y265" i="15"/>
  <c r="Y264" i="15"/>
  <c r="Y263" i="15"/>
  <c r="Y262" i="15"/>
  <c r="Y261" i="15"/>
  <c r="Y260" i="15"/>
  <c r="Y259" i="15"/>
  <c r="Y257" i="15"/>
  <c r="Y255" i="15"/>
  <c r="Y254" i="15"/>
  <c r="Y253" i="15"/>
  <c r="Y252" i="15"/>
  <c r="Y251" i="15"/>
  <c r="Y250" i="15"/>
  <c r="Y249" i="15"/>
  <c r="Y248" i="15"/>
  <c r="Y247" i="15"/>
  <c r="Y246" i="15"/>
  <c r="Y245" i="15"/>
  <c r="Y244" i="15"/>
  <c r="Y243" i="15"/>
  <c r="Y242" i="15"/>
  <c r="Y241" i="15"/>
  <c r="Y240" i="15"/>
  <c r="Y239" i="15"/>
  <c r="Y238" i="15"/>
  <c r="Y237" i="15"/>
  <c r="Y236" i="15"/>
  <c r="Y235" i="15"/>
  <c r="Y234" i="15"/>
  <c r="Y233" i="15"/>
  <c r="Y232" i="15"/>
  <c r="Y231" i="15"/>
  <c r="Y230" i="15"/>
  <c r="Y229" i="15"/>
  <c r="Y228" i="15"/>
  <c r="Y227" i="15"/>
  <c r="Y226" i="15"/>
  <c r="Y225" i="15"/>
  <c r="Y224" i="15"/>
  <c r="Y223" i="15"/>
  <c r="Y222" i="15"/>
  <c r="Y221" i="15"/>
  <c r="Y220" i="15"/>
  <c r="Y219" i="15"/>
  <c r="Y218" i="15"/>
  <c r="Y217" i="15"/>
  <c r="Y216" i="15"/>
  <c r="Y215" i="15"/>
  <c r="Y214" i="15"/>
  <c r="Y213" i="15"/>
  <c r="Y258" i="15"/>
  <c r="Y256" i="15"/>
  <c r="Y191" i="15"/>
  <c r="Y190" i="15"/>
  <c r="Y189" i="15"/>
  <c r="Y188" i="15"/>
  <c r="Y187" i="15"/>
  <c r="Y186" i="15"/>
  <c r="Y185" i="15"/>
  <c r="Y184" i="15"/>
  <c r="Y183" i="15"/>
  <c r="Y182" i="15"/>
  <c r="Y181" i="15"/>
  <c r="Y180" i="15"/>
  <c r="Y179" i="15"/>
  <c r="Y178" i="15"/>
  <c r="Y177" i="15"/>
  <c r="Y212" i="15"/>
  <c r="Y210" i="15"/>
  <c r="Y208" i="15"/>
  <c r="Y206" i="15"/>
  <c r="Y204" i="15"/>
  <c r="Y202" i="15"/>
  <c r="Y200" i="15"/>
  <c r="Y198" i="15"/>
  <c r="Y196" i="15"/>
  <c r="Y194" i="15"/>
  <c r="Y192" i="15"/>
  <c r="Y211" i="15"/>
  <c r="Y209" i="15"/>
  <c r="Y207" i="15"/>
  <c r="Y205" i="15"/>
  <c r="Y203" i="15"/>
  <c r="Y201" i="15"/>
  <c r="Y199" i="15"/>
  <c r="Y197" i="15"/>
  <c r="Y195" i="15"/>
  <c r="Y193" i="15"/>
  <c r="Y176" i="15"/>
  <c r="Y175" i="15"/>
  <c r="Y173" i="15"/>
  <c r="Y171" i="15"/>
  <c r="Y174" i="15"/>
  <c r="Y172" i="15"/>
  <c r="Y170" i="15"/>
  <c r="Y169" i="15"/>
  <c r="Y168" i="15"/>
  <c r="Y167" i="15"/>
  <c r="Y166" i="15"/>
  <c r="Y165" i="15"/>
  <c r="Y164" i="15"/>
  <c r="Y163" i="15"/>
  <c r="Y162" i="15"/>
  <c r="Y161" i="15"/>
  <c r="Y160" i="15"/>
  <c r="Y159" i="15"/>
  <c r="Y158" i="15"/>
  <c r="Y157" i="15"/>
  <c r="Y156" i="15"/>
  <c r="Y155" i="15"/>
  <c r="Y154" i="15"/>
  <c r="Y153" i="15"/>
  <c r="Y152" i="15"/>
  <c r="Y151" i="15"/>
  <c r="Y150" i="15"/>
  <c r="Y149" i="15"/>
  <c r="Y148" i="15"/>
  <c r="Y147" i="15"/>
  <c r="Y141" i="15"/>
  <c r="Y139" i="15"/>
  <c r="Y137" i="15"/>
  <c r="Y135" i="15"/>
  <c r="Y133" i="15"/>
  <c r="Y146" i="15"/>
  <c r="Y145" i="15"/>
  <c r="Y144" i="15"/>
  <c r="Y143" i="15"/>
  <c r="Y131" i="15"/>
  <c r="Y130" i="15"/>
  <c r="Y129" i="15"/>
  <c r="Y128" i="15"/>
  <c r="Y127" i="15"/>
  <c r="Y126" i="15"/>
  <c r="Y125" i="15"/>
  <c r="Y124" i="15"/>
  <c r="Y123" i="15"/>
  <c r="Y122" i="15"/>
  <c r="Y121" i="15"/>
  <c r="Y120" i="15"/>
  <c r="Y119" i="15"/>
  <c r="Y118" i="15"/>
  <c r="Y117" i="15"/>
  <c r="Y116" i="15"/>
  <c r="Y115" i="15"/>
  <c r="Y114" i="15"/>
  <c r="Y113" i="15"/>
  <c r="Y112" i="15"/>
  <c r="Y111" i="15"/>
  <c r="Y110" i="15"/>
  <c r="Y109" i="15"/>
  <c r="Y108" i="15"/>
  <c r="Y107" i="15"/>
  <c r="Y106" i="15"/>
  <c r="Y105" i="15"/>
  <c r="Y104" i="15"/>
  <c r="Y103" i="15"/>
  <c r="Y102" i="15"/>
  <c r="Y101" i="15"/>
  <c r="Y100" i="15"/>
  <c r="Y99" i="15"/>
  <c r="Y98" i="15"/>
  <c r="Y97" i="15"/>
  <c r="Y96" i="15"/>
  <c r="Y95" i="15"/>
  <c r="Y94" i="15"/>
  <c r="Y93" i="15"/>
  <c r="Y92" i="15"/>
  <c r="Y91" i="15"/>
  <c r="Y90" i="15"/>
  <c r="Y142" i="15"/>
  <c r="Y140" i="15"/>
  <c r="Y138" i="15"/>
  <c r="Y136" i="15"/>
  <c r="Y134" i="15"/>
  <c r="Y132" i="15"/>
  <c r="W5" i="15"/>
  <c r="AA5" i="15"/>
  <c r="W6" i="15"/>
  <c r="AA6" i="15"/>
  <c r="W7" i="15"/>
  <c r="AA7" i="15"/>
  <c r="W8" i="15"/>
  <c r="AA8" i="15"/>
  <c r="W9" i="15"/>
  <c r="AA9" i="15"/>
  <c r="W10" i="15"/>
  <c r="AA10" i="15"/>
  <c r="W11" i="15"/>
  <c r="AA11" i="15"/>
  <c r="W12" i="15"/>
  <c r="AA12" i="15"/>
  <c r="W13" i="15"/>
  <c r="AA13" i="15"/>
  <c r="W14" i="15"/>
  <c r="AA14" i="15"/>
  <c r="W15" i="15"/>
  <c r="AA15" i="15"/>
  <c r="W16" i="15"/>
  <c r="AA16" i="15"/>
  <c r="W17" i="15"/>
  <c r="AA17" i="15"/>
  <c r="W18" i="15"/>
  <c r="AA18" i="15"/>
  <c r="W19" i="15"/>
  <c r="AA19" i="15"/>
  <c r="W20" i="15"/>
  <c r="AA20" i="15"/>
  <c r="W21" i="15"/>
  <c r="AA21" i="15"/>
  <c r="W22" i="15"/>
  <c r="AA22" i="15"/>
  <c r="W23" i="15"/>
  <c r="AA23" i="15"/>
  <c r="W24" i="15"/>
  <c r="AA24" i="15"/>
  <c r="W25" i="15"/>
  <c r="AA25" i="15"/>
  <c r="W26" i="15"/>
  <c r="AA26" i="15"/>
  <c r="W27" i="15"/>
  <c r="AA27" i="15"/>
  <c r="W28" i="15"/>
  <c r="AA28" i="15"/>
  <c r="W29" i="15"/>
  <c r="AA29" i="15"/>
  <c r="W30" i="15"/>
  <c r="AA30" i="15"/>
  <c r="W31" i="15"/>
  <c r="AA31" i="15"/>
  <c r="W32" i="15"/>
  <c r="AA32" i="15"/>
  <c r="W33" i="15"/>
  <c r="AA33" i="15"/>
  <c r="W34" i="15"/>
  <c r="AA34" i="15"/>
  <c r="W35" i="15"/>
  <c r="AA35" i="15"/>
  <c r="W36" i="15"/>
  <c r="AA36" i="15"/>
  <c r="W37" i="15"/>
  <c r="AA37" i="15"/>
  <c r="W38" i="15"/>
  <c r="AA38" i="15"/>
  <c r="W39" i="15"/>
  <c r="AA39" i="15"/>
  <c r="W40" i="15"/>
  <c r="AA40" i="15"/>
  <c r="W41" i="15"/>
  <c r="AA41" i="15"/>
  <c r="W42" i="15"/>
  <c r="AA42" i="15"/>
  <c r="W43" i="15"/>
  <c r="AA43" i="15"/>
  <c r="W44" i="15"/>
  <c r="AA44" i="15"/>
  <c r="W45" i="15"/>
  <c r="AA45" i="15"/>
  <c r="W46" i="15"/>
  <c r="AA46" i="15"/>
  <c r="W47" i="15"/>
  <c r="AA47" i="15"/>
  <c r="W48" i="15"/>
  <c r="AA48" i="15"/>
  <c r="W49" i="15"/>
  <c r="AA49" i="15"/>
  <c r="W50" i="15"/>
  <c r="AA50" i="15"/>
  <c r="W51" i="15"/>
  <c r="Y53" i="15"/>
  <c r="X54" i="15"/>
  <c r="X55" i="15"/>
  <c r="X56" i="15"/>
  <c r="X57" i="15"/>
  <c r="X58" i="15"/>
  <c r="X59" i="15"/>
  <c r="X60" i="15"/>
  <c r="X61" i="15"/>
  <c r="X62" i="15"/>
  <c r="X63" i="15"/>
  <c r="X64" i="15"/>
  <c r="X65" i="15"/>
  <c r="X66" i="15"/>
  <c r="X67" i="15"/>
  <c r="X68" i="15"/>
  <c r="X69" i="15"/>
  <c r="X70" i="15"/>
  <c r="X71" i="15"/>
  <c r="X72" i="15"/>
  <c r="X73" i="15"/>
  <c r="X74" i="15"/>
  <c r="X75" i="15"/>
  <c r="X76" i="15"/>
  <c r="X77" i="15"/>
  <c r="X78" i="15"/>
  <c r="X79" i="15"/>
  <c r="X80" i="15"/>
  <c r="X81" i="15"/>
  <c r="X82" i="15"/>
  <c r="X83" i="15"/>
  <c r="X84" i="15"/>
  <c r="X85" i="15"/>
  <c r="X87" i="15"/>
  <c r="X88" i="15"/>
  <c r="X89" i="15"/>
  <c r="X90" i="15"/>
  <c r="X25" i="15"/>
  <c r="X26" i="15"/>
  <c r="X27" i="15"/>
  <c r="X28" i="15"/>
  <c r="X29" i="15"/>
  <c r="X30" i="15"/>
  <c r="X31" i="15"/>
  <c r="X32" i="15"/>
  <c r="X33" i="15"/>
  <c r="X34" i="15"/>
  <c r="X35" i="15"/>
  <c r="X36" i="15"/>
  <c r="X37" i="15"/>
  <c r="X38" i="15"/>
  <c r="X39" i="15"/>
  <c r="X40" i="15"/>
  <c r="X41" i="15"/>
  <c r="X42" i="15"/>
  <c r="X43" i="15"/>
  <c r="X44" i="15"/>
  <c r="X45" i="15"/>
  <c r="X46" i="15"/>
  <c r="X47" i="15"/>
  <c r="X48" i="15"/>
  <c r="X49" i="15"/>
  <c r="X50" i="15"/>
  <c r="X51" i="15"/>
  <c r="X52" i="15"/>
  <c r="Y54" i="15"/>
  <c r="Y55" i="15"/>
  <c r="Y56" i="15"/>
  <c r="Y57" i="15"/>
  <c r="Y58" i="15"/>
  <c r="Y59" i="15"/>
  <c r="Y60" i="15"/>
  <c r="Y61" i="15"/>
  <c r="Y62" i="15"/>
  <c r="Y63" i="15"/>
  <c r="Y64" i="15"/>
  <c r="Y65" i="15"/>
  <c r="Y66" i="15"/>
  <c r="Y67" i="15"/>
  <c r="Y68" i="15"/>
  <c r="Y69" i="15"/>
  <c r="Y70" i="15"/>
  <c r="Y71" i="15"/>
  <c r="Y72" i="15"/>
  <c r="Y73" i="15"/>
  <c r="Y74" i="15"/>
  <c r="Y75" i="15"/>
  <c r="Y76" i="15"/>
  <c r="Y77" i="15"/>
  <c r="Y78" i="15"/>
  <c r="Y79" i="15"/>
  <c r="Y80" i="15"/>
  <c r="Y81" i="15"/>
  <c r="Y82" i="15"/>
  <c r="Y83" i="15"/>
  <c r="Y84" i="15"/>
  <c r="Y85" i="15"/>
  <c r="Y87" i="15"/>
  <c r="Y88" i="15"/>
  <c r="Y89" i="15"/>
  <c r="Z297" i="15"/>
  <c r="Z296" i="15"/>
  <c r="Z295" i="15"/>
  <c r="Z294" i="15"/>
  <c r="Z293" i="15"/>
  <c r="Z292" i="15"/>
  <c r="Z291" i="15"/>
  <c r="Z290" i="15"/>
  <c r="Z289" i="15"/>
  <c r="Z288" i="15"/>
  <c r="Z287" i="15"/>
  <c r="Z286" i="15"/>
  <c r="Z285" i="15"/>
  <c r="Z284" i="15"/>
  <c r="Z283" i="15"/>
  <c r="Z282" i="15"/>
  <c r="Z281" i="15"/>
  <c r="Z280" i="15"/>
  <c r="Z279" i="15"/>
  <c r="Z278" i="15"/>
  <c r="Z277" i="15"/>
  <c r="Z276" i="15"/>
  <c r="Z275" i="15"/>
  <c r="Z274" i="15"/>
  <c r="Z273" i="15"/>
  <c r="Z272" i="15"/>
  <c r="Z271" i="15"/>
  <c r="Z270" i="15"/>
  <c r="Z269" i="15"/>
  <c r="Z268" i="15"/>
  <c r="Z267" i="15"/>
  <c r="Z266" i="15"/>
  <c r="Z265" i="15"/>
  <c r="Z264" i="15"/>
  <c r="Z263" i="15"/>
  <c r="Z262" i="15"/>
  <c r="Z261" i="15"/>
  <c r="Z260" i="15"/>
  <c r="Z259" i="15"/>
  <c r="Z257" i="15"/>
  <c r="Z255" i="15"/>
  <c r="Z254" i="15"/>
  <c r="Z253" i="15"/>
  <c r="Z252" i="15"/>
  <c r="Z251" i="15"/>
  <c r="Z250" i="15"/>
  <c r="Z249" i="15"/>
  <c r="Z248" i="15"/>
  <c r="Z247" i="15"/>
  <c r="Z246" i="15"/>
  <c r="Z245" i="15"/>
  <c r="Z244" i="15"/>
  <c r="Z243" i="15"/>
  <c r="Z242" i="15"/>
  <c r="Z241" i="15"/>
  <c r="Z240" i="15"/>
  <c r="Z239" i="15"/>
  <c r="Z238" i="15"/>
  <c r="Z237" i="15"/>
  <c r="Z236" i="15"/>
  <c r="Z235" i="15"/>
  <c r="Z234" i="15"/>
  <c r="Z233" i="15"/>
  <c r="Z232" i="15"/>
  <c r="Z231" i="15"/>
  <c r="Z230" i="15"/>
  <c r="Z229" i="15"/>
  <c r="Z228" i="15"/>
  <c r="Z227" i="15"/>
  <c r="Z226" i="15"/>
  <c r="Z225" i="15"/>
  <c r="Z224" i="15"/>
  <c r="Z223" i="15"/>
  <c r="Z222" i="15"/>
  <c r="Z221" i="15"/>
  <c r="Z220" i="15"/>
  <c r="Z219" i="15"/>
  <c r="Z218" i="15"/>
  <c r="Z217" i="15"/>
  <c r="Z216" i="15"/>
  <c r="Z215" i="15"/>
  <c r="Z214" i="15"/>
  <c r="Z213" i="15"/>
  <c r="Z212" i="15"/>
  <c r="Z211" i="15"/>
  <c r="Z210" i="15"/>
  <c r="Z209" i="15"/>
  <c r="Z208" i="15"/>
  <c r="Z207" i="15"/>
  <c r="Z206" i="15"/>
  <c r="Z205" i="15"/>
  <c r="Z204" i="15"/>
  <c r="Z203" i="15"/>
  <c r="Z202" i="15"/>
  <c r="Z201" i="15"/>
  <c r="Z200" i="15"/>
  <c r="Z199" i="15"/>
  <c r="Z198" i="15"/>
  <c r="Z197" i="15"/>
  <c r="Z196" i="15"/>
  <c r="Z195" i="15"/>
  <c r="Z194" i="15"/>
  <c r="Z193" i="15"/>
  <c r="Z192" i="15"/>
  <c r="Z258" i="15"/>
  <c r="Z256" i="15"/>
  <c r="Z191" i="15"/>
  <c r="Z190" i="15"/>
  <c r="Z189" i="15"/>
  <c r="Z188" i="15"/>
  <c r="Z187" i="15"/>
  <c r="Z186" i="15"/>
  <c r="Z185" i="15"/>
  <c r="Z184" i="15"/>
  <c r="Z183" i="15"/>
  <c r="Z182" i="15"/>
  <c r="Z181" i="15"/>
  <c r="Z180" i="15"/>
  <c r="Z179" i="15"/>
  <c r="Z178" i="15"/>
  <c r="Z177" i="15"/>
  <c r="Z176" i="15"/>
  <c r="Z175" i="15"/>
  <c r="Z174" i="15"/>
  <c r="Z172" i="15"/>
  <c r="Z170" i="15"/>
  <c r="Z169" i="15"/>
  <c r="Z168" i="15"/>
  <c r="Z167" i="15"/>
  <c r="Z166" i="15"/>
  <c r="Z165" i="15"/>
  <c r="Z164" i="15"/>
  <c r="Z163" i="15"/>
  <c r="Z162" i="15"/>
  <c r="Z161" i="15"/>
  <c r="Z160" i="15"/>
  <c r="Z159" i="15"/>
  <c r="Z158" i="15"/>
  <c r="Z157" i="15"/>
  <c r="Z156" i="15"/>
  <c r="Z155" i="15"/>
  <c r="Z154" i="15"/>
  <c r="Z153" i="15"/>
  <c r="Z152" i="15"/>
  <c r="Z151" i="15"/>
  <c r="Z150" i="15"/>
  <c r="Z149" i="15"/>
  <c r="Z148" i="15"/>
  <c r="Z147" i="15"/>
  <c r="Z146" i="15"/>
  <c r="Z145" i="15"/>
  <c r="Z144" i="15"/>
  <c r="Z143" i="15"/>
  <c r="Z173" i="15"/>
  <c r="Z171" i="15"/>
  <c r="Z141" i="15"/>
  <c r="Z139" i="15"/>
  <c r="Z137" i="15"/>
  <c r="Z135" i="15"/>
  <c r="Z133" i="15"/>
  <c r="Z131" i="15"/>
  <c r="Z130" i="15"/>
  <c r="Z129" i="15"/>
  <c r="Z128" i="15"/>
  <c r="Z127" i="15"/>
  <c r="Z126" i="15"/>
  <c r="Z125" i="15"/>
  <c r="Z124" i="15"/>
  <c r="Z123" i="15"/>
  <c r="Z122" i="15"/>
  <c r="Z121" i="15"/>
  <c r="Z120" i="15"/>
  <c r="Z119" i="15"/>
  <c r="Z118" i="15"/>
  <c r="Z117" i="15"/>
  <c r="Z116" i="15"/>
  <c r="Z115" i="15"/>
  <c r="Z114" i="15"/>
  <c r="Z113" i="15"/>
  <c r="Z112" i="15"/>
  <c r="Z111" i="15"/>
  <c r="Z110" i="15"/>
  <c r="Z109" i="15"/>
  <c r="Z108" i="15"/>
  <c r="Z107" i="15"/>
  <c r="Z106" i="15"/>
  <c r="Z105" i="15"/>
  <c r="Z104" i="15"/>
  <c r="Z103" i="15"/>
  <c r="Z102" i="15"/>
  <c r="Z101" i="15"/>
  <c r="Z100" i="15"/>
  <c r="Z99" i="15"/>
  <c r="Z98" i="15"/>
  <c r="Z97" i="15"/>
  <c r="Z96" i="15"/>
  <c r="Z95" i="15"/>
  <c r="Z94" i="15"/>
  <c r="Z93" i="15"/>
  <c r="Z92" i="15"/>
  <c r="Z91" i="15"/>
  <c r="Z90" i="15"/>
  <c r="Z89" i="15"/>
  <c r="Z88" i="15"/>
  <c r="Z87" i="15"/>
  <c r="Z85" i="15"/>
  <c r="Z84" i="15"/>
  <c r="Z83" i="15"/>
  <c r="Z82" i="15"/>
  <c r="Z81" i="15"/>
  <c r="Z80" i="15"/>
  <c r="Z79" i="15"/>
  <c r="Z78" i="15"/>
  <c r="Z77" i="15"/>
  <c r="Z76" i="15"/>
  <c r="Z75" i="15"/>
  <c r="Z74" i="15"/>
  <c r="Z73" i="15"/>
  <c r="Z72" i="15"/>
  <c r="Z71" i="15"/>
  <c r="Z70" i="15"/>
  <c r="Z69" i="15"/>
  <c r="Z68" i="15"/>
  <c r="Z67" i="15"/>
  <c r="Z66" i="15"/>
  <c r="Z65" i="15"/>
  <c r="Z64" i="15"/>
  <c r="Z63" i="15"/>
  <c r="Z62" i="15"/>
  <c r="Z61" i="15"/>
  <c r="Z60" i="15"/>
  <c r="Z59" i="15"/>
  <c r="Z58" i="15"/>
  <c r="Z57" i="15"/>
  <c r="Z56" i="15"/>
  <c r="Z55" i="15"/>
  <c r="Z54" i="15"/>
  <c r="Z142" i="15"/>
  <c r="Z140" i="15"/>
  <c r="Z138" i="15"/>
  <c r="Z136" i="15"/>
  <c r="Z134" i="15"/>
  <c r="Z132" i="15"/>
  <c r="W297" i="15"/>
  <c r="W296" i="15"/>
  <c r="W295" i="15"/>
  <c r="W294" i="15"/>
  <c r="W293" i="15"/>
  <c r="W292" i="15"/>
  <c r="W291" i="15"/>
  <c r="W290" i="15"/>
  <c r="W289" i="15"/>
  <c r="W288" i="15"/>
  <c r="W287" i="15"/>
  <c r="W286" i="15"/>
  <c r="W285" i="15"/>
  <c r="W284" i="15"/>
  <c r="W283" i="15"/>
  <c r="W282" i="15"/>
  <c r="W281" i="15"/>
  <c r="W280" i="15"/>
  <c r="W279" i="15"/>
  <c r="W278" i="15"/>
  <c r="W277" i="15"/>
  <c r="W276" i="15"/>
  <c r="W275" i="15"/>
  <c r="W274" i="15"/>
  <c r="W273" i="15"/>
  <c r="W272" i="15"/>
  <c r="W271" i="15"/>
  <c r="W270" i="15"/>
  <c r="W269" i="15"/>
  <c r="W268" i="15"/>
  <c r="W267" i="15"/>
  <c r="W266" i="15"/>
  <c r="W265" i="15"/>
  <c r="W264" i="15"/>
  <c r="W263" i="15"/>
  <c r="W262" i="15"/>
  <c r="W261" i="15"/>
  <c r="W260" i="15"/>
  <c r="W259" i="15"/>
  <c r="W258" i="15"/>
  <c r="W257" i="15"/>
  <c r="W256" i="15"/>
  <c r="W255" i="15"/>
  <c r="W254" i="15"/>
  <c r="W253" i="15"/>
  <c r="W252" i="15"/>
  <c r="W251" i="15"/>
  <c r="W250" i="15"/>
  <c r="W249" i="15"/>
  <c r="W248" i="15"/>
  <c r="W247" i="15"/>
  <c r="W246" i="15"/>
  <c r="W245" i="15"/>
  <c r="W244" i="15"/>
  <c r="W243" i="15"/>
  <c r="W242" i="15"/>
  <c r="W238" i="15"/>
  <c r="W234" i="15"/>
  <c r="W230" i="15"/>
  <c r="W226" i="15"/>
  <c r="W222" i="15"/>
  <c r="W218" i="15"/>
  <c r="W214" i="15"/>
  <c r="W241" i="15"/>
  <c r="W237" i="15"/>
  <c r="W233" i="15"/>
  <c r="W229" i="15"/>
  <c r="W225" i="15"/>
  <c r="W221" i="15"/>
  <c r="W217" i="15"/>
  <c r="W213" i="15"/>
  <c r="W211" i="15"/>
  <c r="W209" i="15"/>
  <c r="W207" i="15"/>
  <c r="W205" i="15"/>
  <c r="W203" i="15"/>
  <c r="W201" i="15"/>
  <c r="W199" i="15"/>
  <c r="W197" i="15"/>
  <c r="W195" i="15"/>
  <c r="W193" i="15"/>
  <c r="W240" i="15"/>
  <c r="W236" i="15"/>
  <c r="W232" i="15"/>
  <c r="W228" i="15"/>
  <c r="W224" i="15"/>
  <c r="W220" i="15"/>
  <c r="W216" i="15"/>
  <c r="W191" i="15"/>
  <c r="W190" i="15"/>
  <c r="W189" i="15"/>
  <c r="W188" i="15"/>
  <c r="W187" i="15"/>
  <c r="W186" i="15"/>
  <c r="W185" i="15"/>
  <c r="W184" i="15"/>
  <c r="W183" i="15"/>
  <c r="W182" i="15"/>
  <c r="W181" i="15"/>
  <c r="W180" i="15"/>
  <c r="W179" i="15"/>
  <c r="W178" i="15"/>
  <c r="W177" i="15"/>
  <c r="W176" i="15"/>
  <c r="W175" i="15"/>
  <c r="W174" i="15"/>
  <c r="W173" i="15"/>
  <c r="W172" i="15"/>
  <c r="W171" i="15"/>
  <c r="W239" i="15"/>
  <c r="W235" i="15"/>
  <c r="W231" i="15"/>
  <c r="W227" i="15"/>
  <c r="W223" i="15"/>
  <c r="W219" i="15"/>
  <c r="W215" i="15"/>
  <c r="W212" i="15"/>
  <c r="W210" i="15"/>
  <c r="W208" i="15"/>
  <c r="W206" i="15"/>
  <c r="W204" i="15"/>
  <c r="W202" i="15"/>
  <c r="W200" i="15"/>
  <c r="W198" i="15"/>
  <c r="W196" i="15"/>
  <c r="W194" i="15"/>
  <c r="W192" i="15"/>
  <c r="W170" i="15"/>
  <c r="W169" i="15"/>
  <c r="W168" i="15"/>
  <c r="W167" i="15"/>
  <c r="W166" i="15"/>
  <c r="W165" i="15"/>
  <c r="W164" i="15"/>
  <c r="W163" i="15"/>
  <c r="W162" i="15"/>
  <c r="W161" i="15"/>
  <c r="W160" i="15"/>
  <c r="W159" i="15"/>
  <c r="W158" i="15"/>
  <c r="W157" i="15"/>
  <c r="W156" i="15"/>
  <c r="W155" i="15"/>
  <c r="W154" i="15"/>
  <c r="W153" i="15"/>
  <c r="W152" i="15"/>
  <c r="W151" i="15"/>
  <c r="W150" i="15"/>
  <c r="W149" i="15"/>
  <c r="W148" i="15"/>
  <c r="W147" i="15"/>
  <c r="W146" i="15"/>
  <c r="W145" i="15"/>
  <c r="W144" i="15"/>
  <c r="W143" i="15"/>
  <c r="W142" i="15"/>
  <c r="W141" i="15"/>
  <c r="W140" i="15"/>
  <c r="W139" i="15"/>
  <c r="W138" i="15"/>
  <c r="W137" i="15"/>
  <c r="W136" i="15"/>
  <c r="W135" i="15"/>
  <c r="W134" i="15"/>
  <c r="W133" i="15"/>
  <c r="W132" i="15"/>
  <c r="W131" i="15"/>
  <c r="W130" i="15"/>
  <c r="W129" i="15"/>
  <c r="W128" i="15"/>
  <c r="W127" i="15"/>
  <c r="W126" i="15"/>
  <c r="W125" i="15"/>
  <c r="W124" i="15"/>
  <c r="W123" i="15"/>
  <c r="W122" i="15"/>
  <c r="W121" i="15"/>
  <c r="W120" i="15"/>
  <c r="W119" i="15"/>
  <c r="W118" i="15"/>
  <c r="W117" i="15"/>
  <c r="W116" i="15"/>
  <c r="W115" i="15"/>
  <c r="W114" i="15"/>
  <c r="W113" i="15"/>
  <c r="W112" i="15"/>
  <c r="W111" i="15"/>
  <c r="W110" i="15"/>
  <c r="W109" i="15"/>
  <c r="W108" i="15"/>
  <c r="W107" i="15"/>
  <c r="W106" i="15"/>
  <c r="W105" i="15"/>
  <c r="W104" i="15"/>
  <c r="W103" i="15"/>
  <c r="W102" i="15"/>
  <c r="W101" i="15"/>
  <c r="W100" i="15"/>
  <c r="W99" i="15"/>
  <c r="W98" i="15"/>
  <c r="W97" i="15"/>
  <c r="W96" i="15"/>
  <c r="W95" i="15"/>
  <c r="W94" i="15"/>
  <c r="W93" i="15"/>
  <c r="W92" i="15"/>
  <c r="W91" i="15"/>
  <c r="W90" i="15"/>
  <c r="W89" i="15"/>
  <c r="W88" i="15"/>
  <c r="W87" i="15"/>
  <c r="W85" i="15"/>
  <c r="W84" i="15"/>
  <c r="W83" i="15"/>
  <c r="W82" i="15"/>
  <c r="W81" i="15"/>
  <c r="W80" i="15"/>
  <c r="W79" i="15"/>
  <c r="W78" i="15"/>
  <c r="W77" i="15"/>
  <c r="W76" i="15"/>
  <c r="W75" i="15"/>
  <c r="W74" i="15"/>
  <c r="W73" i="15"/>
  <c r="W72" i="15"/>
  <c r="W71" i="15"/>
  <c r="W70" i="15"/>
  <c r="W69" i="15"/>
  <c r="W68" i="15"/>
  <c r="W67" i="15"/>
  <c r="W66" i="15"/>
  <c r="W65" i="15"/>
  <c r="W64" i="15"/>
  <c r="W63" i="15"/>
  <c r="W62" i="15"/>
  <c r="W61" i="15"/>
  <c r="W60" i="15"/>
  <c r="W59" i="15"/>
  <c r="W58" i="15"/>
  <c r="W57" i="15"/>
  <c r="W56" i="15"/>
  <c r="W55" i="15"/>
  <c r="W54" i="15"/>
  <c r="W53" i="15"/>
  <c r="AA297" i="15"/>
  <c r="AA296" i="15"/>
  <c r="AA295" i="15"/>
  <c r="AA294" i="15"/>
  <c r="AA293" i="15"/>
  <c r="AA292" i="15"/>
  <c r="AA291" i="15"/>
  <c r="AA290" i="15"/>
  <c r="AA289" i="15"/>
  <c r="AA288" i="15"/>
  <c r="AA287" i="15"/>
  <c r="AA286" i="15"/>
  <c r="AA285" i="15"/>
  <c r="AA284" i="15"/>
  <c r="AA283" i="15"/>
  <c r="AA282" i="15"/>
  <c r="AA281" i="15"/>
  <c r="AA280" i="15"/>
  <c r="AA279" i="15"/>
  <c r="AA278" i="15"/>
  <c r="AA277" i="15"/>
  <c r="AA276" i="15"/>
  <c r="AA275" i="15"/>
  <c r="AA274" i="15"/>
  <c r="AA273" i="15"/>
  <c r="AA272" i="15"/>
  <c r="AA271" i="15"/>
  <c r="AA270" i="15"/>
  <c r="AA269" i="15"/>
  <c r="AA268" i="15"/>
  <c r="AA267" i="15"/>
  <c r="AA266" i="15"/>
  <c r="AA265" i="15"/>
  <c r="AA264" i="15"/>
  <c r="AA263" i="15"/>
  <c r="AA262" i="15"/>
  <c r="AA261" i="15"/>
  <c r="AA260" i="15"/>
  <c r="AA259" i="15"/>
  <c r="AA258" i="15"/>
  <c r="AA257" i="15"/>
  <c r="AA256" i="15"/>
  <c r="AA255" i="15"/>
  <c r="AA254" i="15"/>
  <c r="AA253" i="15"/>
  <c r="AA252" i="15"/>
  <c r="AA251" i="15"/>
  <c r="AA240" i="15"/>
  <c r="AA236" i="15"/>
  <c r="AA232" i="15"/>
  <c r="AA228" i="15"/>
  <c r="AA224" i="15"/>
  <c r="AA220" i="15"/>
  <c r="AA216" i="15"/>
  <c r="AA212" i="15"/>
  <c r="AA210" i="15"/>
  <c r="AA208" i="15"/>
  <c r="AA206" i="15"/>
  <c r="AA204" i="15"/>
  <c r="AA202" i="15"/>
  <c r="AA200" i="15"/>
  <c r="AA198" i="15"/>
  <c r="AA196" i="15"/>
  <c r="AA194" i="15"/>
  <c r="AA192" i="15"/>
  <c r="AA239" i="15"/>
  <c r="AA235" i="15"/>
  <c r="AA231" i="15"/>
  <c r="AA227" i="15"/>
  <c r="AA223" i="15"/>
  <c r="AA219" i="15"/>
  <c r="AA215" i="15"/>
  <c r="AA238" i="15"/>
  <c r="AA234" i="15"/>
  <c r="AA230" i="15"/>
  <c r="AA226" i="15"/>
  <c r="AA222" i="15"/>
  <c r="AA218" i="15"/>
  <c r="AA214" i="15"/>
  <c r="AA211" i="15"/>
  <c r="AA209" i="15"/>
  <c r="AA207" i="15"/>
  <c r="AA205" i="15"/>
  <c r="AA203" i="15"/>
  <c r="AA201" i="15"/>
  <c r="AA199" i="15"/>
  <c r="AA197" i="15"/>
  <c r="AA195" i="15"/>
  <c r="AA193" i="15"/>
  <c r="AA191" i="15"/>
  <c r="AA190" i="15"/>
  <c r="AA189" i="15"/>
  <c r="AA188" i="15"/>
  <c r="AA187" i="15"/>
  <c r="AA186" i="15"/>
  <c r="AA185" i="15"/>
  <c r="AA184" i="15"/>
  <c r="AA183" i="15"/>
  <c r="AA182" i="15"/>
  <c r="AA181" i="15"/>
  <c r="AA180" i="15"/>
  <c r="AA179" i="15"/>
  <c r="AA178" i="15"/>
  <c r="AA177" i="15"/>
  <c r="AA176" i="15"/>
  <c r="AA175" i="15"/>
  <c r="AA174" i="15"/>
  <c r="AA173" i="15"/>
  <c r="AA172" i="15"/>
  <c r="AA171" i="15"/>
  <c r="AA250" i="15"/>
  <c r="AA249" i="15"/>
  <c r="AA248" i="15"/>
  <c r="AA247" i="15"/>
  <c r="AA246" i="15"/>
  <c r="AA245" i="15"/>
  <c r="AA244" i="15"/>
  <c r="AA243" i="15"/>
  <c r="AA242" i="15"/>
  <c r="AA241" i="15"/>
  <c r="AA237" i="15"/>
  <c r="AA233" i="15"/>
  <c r="AA229" i="15"/>
  <c r="AA225" i="15"/>
  <c r="AA221" i="15"/>
  <c r="AA217" i="15"/>
  <c r="AA213" i="15"/>
  <c r="AA170" i="15"/>
  <c r="AA169" i="15"/>
  <c r="AA168" i="15"/>
  <c r="AA167" i="15"/>
  <c r="AA166" i="15"/>
  <c r="AA165" i="15"/>
  <c r="AA164" i="15"/>
  <c r="AA163" i="15"/>
  <c r="AA162" i="15"/>
  <c r="AA161" i="15"/>
  <c r="AA160" i="15"/>
  <c r="AA159" i="15"/>
  <c r="AA158" i="15"/>
  <c r="AA157" i="15"/>
  <c r="AA156" i="15"/>
  <c r="AA155" i="15"/>
  <c r="AA154" i="15"/>
  <c r="AA153" i="15"/>
  <c r="AA152" i="15"/>
  <c r="AA151" i="15"/>
  <c r="AA150" i="15"/>
  <c r="AA149" i="15"/>
  <c r="AA148" i="15"/>
  <c r="AA147" i="15"/>
  <c r="AA146" i="15"/>
  <c r="AA145" i="15"/>
  <c r="AA144" i="15"/>
  <c r="AA143" i="15"/>
  <c r="AA142" i="15"/>
  <c r="AA141" i="15"/>
  <c r="AA140" i="15"/>
  <c r="AA139" i="15"/>
  <c r="AA138" i="15"/>
  <c r="AA137" i="15"/>
  <c r="AA136" i="15"/>
  <c r="AA135" i="15"/>
  <c r="AA134" i="15"/>
  <c r="AA133" i="15"/>
  <c r="AA132" i="15"/>
  <c r="AA131" i="15"/>
  <c r="AA130" i="15"/>
  <c r="AA129" i="15"/>
  <c r="AA128" i="15"/>
  <c r="AA127" i="15"/>
  <c r="AA126" i="15"/>
  <c r="AA125" i="15"/>
  <c r="AA124" i="15"/>
  <c r="AA123" i="15"/>
  <c r="AA122" i="15"/>
  <c r="AA121" i="15"/>
  <c r="AA120" i="15"/>
  <c r="AA119" i="15"/>
  <c r="AA118" i="15"/>
  <c r="AA117" i="15"/>
  <c r="AA116" i="15"/>
  <c r="AA115" i="15"/>
  <c r="AA114" i="15"/>
  <c r="AA113" i="15"/>
  <c r="AA112" i="15"/>
  <c r="AA111" i="15"/>
  <c r="AA110" i="15"/>
  <c r="AA109" i="15"/>
  <c r="AA108" i="15"/>
  <c r="AA107" i="15"/>
  <c r="AA106" i="15"/>
  <c r="AA105" i="15"/>
  <c r="AA104" i="15"/>
  <c r="AA103" i="15"/>
  <c r="AA102" i="15"/>
  <c r="AA101" i="15"/>
  <c r="AA100" i="15"/>
  <c r="AA99" i="15"/>
  <c r="AA98" i="15"/>
  <c r="AA97" i="15"/>
  <c r="AA96" i="15"/>
  <c r="AA95" i="15"/>
  <c r="AA94" i="15"/>
  <c r="AA93" i="15"/>
  <c r="AA92" i="15"/>
  <c r="AA91" i="15"/>
  <c r="AA90" i="15"/>
  <c r="AA89" i="15"/>
  <c r="AA88" i="15"/>
  <c r="AA87" i="15"/>
  <c r="AA85" i="15"/>
  <c r="AA84" i="15"/>
  <c r="AA83" i="15"/>
  <c r="AA82" i="15"/>
  <c r="AA81" i="15"/>
  <c r="AA80" i="15"/>
  <c r="AA79" i="15"/>
  <c r="AA78" i="15"/>
  <c r="AA77" i="15"/>
  <c r="AA76" i="15"/>
  <c r="AA75" i="15"/>
  <c r="AA74" i="15"/>
  <c r="AA73" i="15"/>
  <c r="AA72" i="15"/>
  <c r="AA71" i="15"/>
  <c r="AA70" i="15"/>
  <c r="AA69" i="15"/>
  <c r="AA68" i="15"/>
  <c r="AA67" i="15"/>
  <c r="AA66" i="15"/>
  <c r="AA65" i="15"/>
  <c r="AA64" i="15"/>
  <c r="AA63" i="15"/>
  <c r="AA62" i="15"/>
  <c r="AA61" i="15"/>
  <c r="AA60" i="15"/>
  <c r="AA59" i="15"/>
  <c r="AA58" i="15"/>
  <c r="AA57" i="15"/>
  <c r="AA56" i="15"/>
  <c r="AA55" i="15"/>
  <c r="AA54" i="15"/>
  <c r="AA53" i="15"/>
  <c r="AA52" i="15"/>
  <c r="Y5" i="15"/>
  <c r="Y6" i="15"/>
  <c r="Y7" i="15"/>
  <c r="Y8" i="15"/>
  <c r="Y9" i="15"/>
  <c r="Y10" i="15"/>
  <c r="Y11" i="15"/>
  <c r="Y12" i="15"/>
  <c r="Y13" i="15"/>
  <c r="Y14" i="15"/>
  <c r="Y15" i="15"/>
  <c r="Y16" i="15"/>
  <c r="Y17" i="15"/>
  <c r="Y18" i="15"/>
  <c r="Y19" i="15"/>
  <c r="Y20" i="15"/>
  <c r="Y21" i="15"/>
  <c r="Y22" i="15"/>
  <c r="Y23" i="15"/>
  <c r="Y24" i="15"/>
  <c r="Y25" i="15"/>
  <c r="Y26" i="15"/>
  <c r="Y27" i="15"/>
  <c r="Y28" i="15"/>
  <c r="Y29" i="15"/>
  <c r="Y30" i="15"/>
  <c r="Y31" i="15"/>
  <c r="Y32" i="15"/>
  <c r="Y33" i="15"/>
  <c r="Y34" i="15"/>
  <c r="Y35" i="15"/>
  <c r="Y36" i="15"/>
  <c r="Y37" i="15"/>
  <c r="Y38" i="15"/>
  <c r="Y39" i="15"/>
  <c r="Y40" i="15"/>
  <c r="Y41" i="15"/>
  <c r="Y42" i="15"/>
  <c r="Y43" i="15"/>
  <c r="Y44" i="15"/>
  <c r="Y45" i="15"/>
  <c r="Y46" i="15"/>
  <c r="Y47" i="15"/>
  <c r="Y48" i="15"/>
  <c r="Y49" i="15"/>
  <c r="Y50" i="15"/>
  <c r="Y51" i="15"/>
  <c r="Y52" i="15"/>
  <c r="M86" i="15"/>
  <c r="Z86" i="15" s="1"/>
  <c r="V297" i="15"/>
  <c r="V296" i="15"/>
  <c r="V295" i="15"/>
  <c r="V294" i="15"/>
  <c r="V293" i="15"/>
  <c r="V292" i="15"/>
  <c r="V291" i="15"/>
  <c r="V290" i="15"/>
  <c r="V289" i="15"/>
  <c r="V288" i="15"/>
  <c r="V287" i="15"/>
  <c r="V286" i="15"/>
  <c r="V285" i="15"/>
  <c r="V284" i="15"/>
  <c r="V283" i="15"/>
  <c r="V282" i="15"/>
  <c r="V281" i="15"/>
  <c r="V280" i="15"/>
  <c r="V279" i="15"/>
  <c r="V278" i="15"/>
  <c r="V277" i="15"/>
  <c r="V276" i="15"/>
  <c r="V275" i="15"/>
  <c r="V274" i="15"/>
  <c r="V273" i="15"/>
  <c r="V272" i="15"/>
  <c r="V271" i="15"/>
  <c r="V270" i="15"/>
  <c r="V269" i="15"/>
  <c r="V268" i="15"/>
  <c r="V267" i="15"/>
  <c r="V266" i="15"/>
  <c r="V265" i="15"/>
  <c r="V264" i="15"/>
  <c r="V263" i="15"/>
  <c r="V262" i="15"/>
  <c r="V261" i="15"/>
  <c r="V260" i="15"/>
  <c r="V255" i="15"/>
  <c r="V254" i="15"/>
  <c r="V253" i="15"/>
  <c r="V252" i="15"/>
  <c r="V251" i="15"/>
  <c r="V250" i="15"/>
  <c r="V249" i="15"/>
  <c r="V248" i="15"/>
  <c r="V247" i="15"/>
  <c r="V246" i="15"/>
  <c r="V245" i="15"/>
  <c r="V244" i="15"/>
  <c r="V243" i="15"/>
  <c r="V242" i="15"/>
  <c r="V241" i="15"/>
  <c r="V240" i="15"/>
  <c r="V239" i="15"/>
  <c r="V238" i="15"/>
  <c r="V237" i="15"/>
  <c r="V236" i="15"/>
  <c r="V235" i="15"/>
  <c r="V234" i="15"/>
  <c r="V233" i="15"/>
  <c r="V232" i="15"/>
  <c r="V231" i="15"/>
  <c r="V230" i="15"/>
  <c r="V229" i="15"/>
  <c r="V228" i="15"/>
  <c r="V227" i="15"/>
  <c r="V226" i="15"/>
  <c r="V225" i="15"/>
  <c r="V224" i="15"/>
  <c r="V223" i="15"/>
  <c r="V222" i="15"/>
  <c r="V221" i="15"/>
  <c r="V220" i="15"/>
  <c r="V219" i="15"/>
  <c r="V218" i="15"/>
  <c r="V217" i="15"/>
  <c r="V216" i="15"/>
  <c r="V215" i="15"/>
  <c r="V214" i="15"/>
  <c r="V213" i="15"/>
  <c r="V212" i="15"/>
  <c r="V211" i="15"/>
  <c r="V210" i="15"/>
  <c r="V209" i="15"/>
  <c r="V208" i="15"/>
  <c r="V207" i="15"/>
  <c r="V206" i="15"/>
  <c r="V205" i="15"/>
  <c r="V204" i="15"/>
  <c r="V203" i="15"/>
  <c r="V202" i="15"/>
  <c r="V201" i="15"/>
  <c r="V200" i="15"/>
  <c r="V199" i="15"/>
  <c r="V198" i="15"/>
  <c r="V197" i="15"/>
  <c r="V196" i="15"/>
  <c r="V195" i="15"/>
  <c r="V194" i="15"/>
  <c r="V193" i="15"/>
  <c r="V192" i="15"/>
  <c r="V258" i="15"/>
  <c r="V256" i="15"/>
  <c r="V259" i="15"/>
  <c r="V257" i="15"/>
  <c r="V191" i="15"/>
  <c r="V190" i="15"/>
  <c r="V189" i="15"/>
  <c r="V188" i="15"/>
  <c r="V187" i="15"/>
  <c r="V186" i="15"/>
  <c r="V185" i="15"/>
  <c r="V184" i="15"/>
  <c r="V183" i="15"/>
  <c r="V182" i="15"/>
  <c r="V181" i="15"/>
  <c r="V180" i="15"/>
  <c r="V179" i="15"/>
  <c r="V178" i="15"/>
  <c r="V177" i="15"/>
  <c r="V176" i="15"/>
  <c r="V174" i="15"/>
  <c r="V172" i="15"/>
  <c r="V175" i="15"/>
  <c r="V173" i="15"/>
  <c r="V171" i="15"/>
  <c r="V170" i="15"/>
  <c r="V169" i="15"/>
  <c r="V168" i="15"/>
  <c r="V167" i="15"/>
  <c r="V166" i="15"/>
  <c r="V165" i="15"/>
  <c r="V164" i="15"/>
  <c r="V163" i="15"/>
  <c r="V162" i="15"/>
  <c r="V161" i="15"/>
  <c r="V160" i="15"/>
  <c r="V159" i="15"/>
  <c r="V158" i="15"/>
  <c r="V157" i="15"/>
  <c r="V156" i="15"/>
  <c r="V155" i="15"/>
  <c r="V154" i="15"/>
  <c r="V153" i="15"/>
  <c r="V152" i="15"/>
  <c r="V151" i="15"/>
  <c r="V150" i="15"/>
  <c r="V149" i="15"/>
  <c r="V148" i="15"/>
  <c r="V147" i="15"/>
  <c r="V146" i="15"/>
  <c r="V145" i="15"/>
  <c r="V144" i="15"/>
  <c r="V143" i="15"/>
  <c r="V142" i="15"/>
  <c r="V140" i="15"/>
  <c r="V138" i="15"/>
  <c r="V136" i="15"/>
  <c r="V134" i="15"/>
  <c r="V132" i="15"/>
  <c r="V131" i="15"/>
  <c r="V130" i="15"/>
  <c r="V129" i="15"/>
  <c r="V128" i="15"/>
  <c r="V127" i="15"/>
  <c r="V126" i="15"/>
  <c r="V125" i="15"/>
  <c r="V124" i="15"/>
  <c r="V123" i="15"/>
  <c r="V122" i="15"/>
  <c r="V121" i="15"/>
  <c r="V120" i="15"/>
  <c r="V119" i="15"/>
  <c r="V118" i="15"/>
  <c r="V117" i="15"/>
  <c r="V116" i="15"/>
  <c r="V115" i="15"/>
  <c r="V114" i="15"/>
  <c r="V113" i="15"/>
  <c r="V112" i="15"/>
  <c r="V111" i="15"/>
  <c r="V110" i="15"/>
  <c r="V109" i="15"/>
  <c r="V108" i="15"/>
  <c r="V107" i="15"/>
  <c r="V106" i="15"/>
  <c r="V105" i="15"/>
  <c r="V104" i="15"/>
  <c r="V103" i="15"/>
  <c r="V102" i="15"/>
  <c r="V101" i="15"/>
  <c r="V100" i="15"/>
  <c r="V99" i="15"/>
  <c r="V98" i="15"/>
  <c r="V97" i="15"/>
  <c r="V96" i="15"/>
  <c r="V95" i="15"/>
  <c r="V94" i="15"/>
  <c r="V93" i="15"/>
  <c r="V92" i="15"/>
  <c r="V91" i="15"/>
  <c r="V90" i="15"/>
  <c r="V89" i="15"/>
  <c r="V88" i="15"/>
  <c r="V87" i="15"/>
  <c r="V86" i="15"/>
  <c r="V85" i="15"/>
  <c r="V84" i="15"/>
  <c r="V83" i="15"/>
  <c r="V82" i="15"/>
  <c r="V81" i="15"/>
  <c r="V80" i="15"/>
  <c r="V79" i="15"/>
  <c r="V78" i="15"/>
  <c r="V77" i="15"/>
  <c r="V76" i="15"/>
  <c r="V75" i="15"/>
  <c r="V74" i="15"/>
  <c r="V73" i="15"/>
  <c r="V72" i="15"/>
  <c r="V71" i="15"/>
  <c r="V70" i="15"/>
  <c r="V69" i="15"/>
  <c r="V68" i="15"/>
  <c r="V67" i="15"/>
  <c r="V66" i="15"/>
  <c r="V65" i="15"/>
  <c r="V64" i="15"/>
  <c r="V63" i="15"/>
  <c r="V62" i="15"/>
  <c r="V61" i="15"/>
  <c r="V60" i="15"/>
  <c r="V59" i="15"/>
  <c r="V58" i="15"/>
  <c r="V57" i="15"/>
  <c r="V56" i="15"/>
  <c r="V55" i="15"/>
  <c r="V54" i="15"/>
  <c r="V141" i="15"/>
  <c r="V139" i="15"/>
  <c r="V137" i="15"/>
  <c r="V135" i="15"/>
  <c r="V133" i="15"/>
  <c r="X258" i="15"/>
  <c r="X256" i="15"/>
  <c r="X297" i="15"/>
  <c r="X296" i="15"/>
  <c r="X295" i="15"/>
  <c r="X294" i="15"/>
  <c r="X293" i="15"/>
  <c r="X292" i="15"/>
  <c r="X291" i="15"/>
  <c r="X290" i="15"/>
  <c r="X289" i="15"/>
  <c r="X288" i="15"/>
  <c r="X287" i="15"/>
  <c r="X286" i="15"/>
  <c r="X285" i="15"/>
  <c r="X284" i="15"/>
  <c r="X283" i="15"/>
  <c r="X282" i="15"/>
  <c r="X281" i="15"/>
  <c r="X280" i="15"/>
  <c r="X279" i="15"/>
  <c r="X278" i="15"/>
  <c r="X277" i="15"/>
  <c r="X276" i="15"/>
  <c r="X275" i="15"/>
  <c r="X274" i="15"/>
  <c r="X273" i="15"/>
  <c r="X272" i="15"/>
  <c r="X271" i="15"/>
  <c r="X270" i="15"/>
  <c r="X269" i="15"/>
  <c r="X268" i="15"/>
  <c r="X267" i="15"/>
  <c r="X266" i="15"/>
  <c r="X265" i="15"/>
  <c r="X264" i="15"/>
  <c r="X263" i="15"/>
  <c r="X262" i="15"/>
  <c r="X261" i="15"/>
  <c r="X260" i="15"/>
  <c r="X259" i="15"/>
  <c r="X257" i="15"/>
  <c r="X255" i="15"/>
  <c r="X254" i="15"/>
  <c r="X253" i="15"/>
  <c r="X252" i="15"/>
  <c r="X251" i="15"/>
  <c r="X250" i="15"/>
  <c r="X249" i="15"/>
  <c r="X248" i="15"/>
  <c r="X247" i="15"/>
  <c r="X246" i="15"/>
  <c r="X245" i="15"/>
  <c r="X244" i="15"/>
  <c r="X243" i="15"/>
  <c r="X242" i="15"/>
  <c r="X241" i="15"/>
  <c r="X237" i="15"/>
  <c r="X233" i="15"/>
  <c r="X229" i="15"/>
  <c r="X225" i="15"/>
  <c r="X221" i="15"/>
  <c r="X217" i="15"/>
  <c r="X213" i="15"/>
  <c r="X211" i="15"/>
  <c r="X209" i="15"/>
  <c r="X207" i="15"/>
  <c r="X205" i="15"/>
  <c r="X203" i="15"/>
  <c r="X201" i="15"/>
  <c r="X199" i="15"/>
  <c r="X197" i="15"/>
  <c r="X195" i="15"/>
  <c r="X193" i="15"/>
  <c r="X240" i="15"/>
  <c r="X236" i="15"/>
  <c r="X232" i="15"/>
  <c r="X228" i="15"/>
  <c r="X224" i="15"/>
  <c r="X220" i="15"/>
  <c r="X216" i="15"/>
  <c r="X191" i="15"/>
  <c r="X190" i="15"/>
  <c r="X189" i="15"/>
  <c r="X188" i="15"/>
  <c r="X187" i="15"/>
  <c r="X186" i="15"/>
  <c r="X185" i="15"/>
  <c r="X184" i="15"/>
  <c r="X183" i="15"/>
  <c r="X182" i="15"/>
  <c r="X181" i="15"/>
  <c r="X180" i="15"/>
  <c r="X179" i="15"/>
  <c r="X239" i="15"/>
  <c r="X235" i="15"/>
  <c r="X231" i="15"/>
  <c r="X227" i="15"/>
  <c r="X223" i="15"/>
  <c r="X219" i="15"/>
  <c r="X215" i="15"/>
  <c r="X212" i="15"/>
  <c r="X210" i="15"/>
  <c r="X208" i="15"/>
  <c r="X206" i="15"/>
  <c r="X204" i="15"/>
  <c r="X202" i="15"/>
  <c r="X200" i="15"/>
  <c r="X198" i="15"/>
  <c r="X196" i="15"/>
  <c r="X194" i="15"/>
  <c r="X192" i="15"/>
  <c r="X238" i="15"/>
  <c r="X234" i="15"/>
  <c r="X230" i="15"/>
  <c r="X226" i="15"/>
  <c r="X222" i="15"/>
  <c r="X218" i="15"/>
  <c r="X214" i="15"/>
  <c r="X170" i="15"/>
  <c r="X169" i="15"/>
  <c r="X168" i="15"/>
  <c r="X167" i="15"/>
  <c r="X166" i="15"/>
  <c r="X165" i="15"/>
  <c r="X164" i="15"/>
  <c r="X163" i="15"/>
  <c r="X162" i="15"/>
  <c r="X161" i="15"/>
  <c r="X160" i="15"/>
  <c r="X177" i="15"/>
  <c r="X176" i="15"/>
  <c r="X175" i="15"/>
  <c r="X173" i="15"/>
  <c r="X171" i="15"/>
  <c r="X178" i="15"/>
  <c r="X174" i="15"/>
  <c r="X172" i="15"/>
  <c r="X156" i="15"/>
  <c r="X152" i="15"/>
  <c r="X148" i="15"/>
  <c r="X142" i="15"/>
  <c r="X140" i="15"/>
  <c r="X138" i="15"/>
  <c r="X136" i="15"/>
  <c r="X134" i="15"/>
  <c r="X132" i="15"/>
  <c r="X157" i="15"/>
  <c r="X153" i="15"/>
  <c r="X149" i="15"/>
  <c r="X158" i="15"/>
  <c r="X154" i="15"/>
  <c r="X150" i="15"/>
  <c r="X141" i="15"/>
  <c r="X139" i="15"/>
  <c r="X137" i="15"/>
  <c r="X135" i="15"/>
  <c r="X133" i="15"/>
  <c r="X159" i="15"/>
  <c r="X155" i="15"/>
  <c r="X151" i="15"/>
  <c r="X147" i="15"/>
  <c r="X146" i="15"/>
  <c r="X145" i="15"/>
  <c r="X144" i="15"/>
  <c r="X143" i="15"/>
  <c r="X131" i="15"/>
  <c r="X130" i="15"/>
  <c r="X129" i="15"/>
  <c r="X128" i="15"/>
  <c r="X127" i="15"/>
  <c r="X126" i="15"/>
  <c r="X125" i="15"/>
  <c r="X124" i="15"/>
  <c r="X123" i="15"/>
  <c r="X122" i="15"/>
  <c r="X121" i="15"/>
  <c r="X120" i="15"/>
  <c r="X119" i="15"/>
  <c r="X118" i="15"/>
  <c r="X117" i="15"/>
  <c r="X116" i="15"/>
  <c r="X115" i="15"/>
  <c r="X114" i="15"/>
  <c r="X113" i="15"/>
  <c r="X112" i="15"/>
  <c r="X111" i="15"/>
  <c r="X110" i="15"/>
  <c r="X109" i="15"/>
  <c r="X108" i="15"/>
  <c r="X107" i="15"/>
  <c r="X106" i="15"/>
  <c r="X105" i="15"/>
  <c r="X104" i="15"/>
  <c r="X103" i="15"/>
  <c r="X102" i="15"/>
  <c r="X101" i="15"/>
  <c r="X100" i="15"/>
  <c r="X99" i="15"/>
  <c r="X98" i="15"/>
  <c r="X97" i="15"/>
  <c r="X96" i="15"/>
  <c r="X95" i="15"/>
  <c r="X94" i="15"/>
  <c r="X93" i="15"/>
  <c r="V5" i="15"/>
  <c r="Z5" i="15"/>
  <c r="V6" i="15"/>
  <c r="Z6" i="15"/>
  <c r="V7" i="15"/>
  <c r="Z7" i="15"/>
  <c r="V8" i="15"/>
  <c r="Z8" i="15"/>
  <c r="V9" i="15"/>
  <c r="Z9" i="15"/>
  <c r="V10" i="15"/>
  <c r="Z10" i="15"/>
  <c r="V11" i="15"/>
  <c r="Z11" i="15"/>
  <c r="V12" i="15"/>
  <c r="Z12" i="15"/>
  <c r="V13" i="15"/>
  <c r="Z13" i="15"/>
  <c r="V14" i="15"/>
  <c r="Z14" i="15"/>
  <c r="V15" i="15"/>
  <c r="Z15" i="15"/>
  <c r="V16" i="15"/>
  <c r="Z16" i="15"/>
  <c r="V17" i="15"/>
  <c r="Z17" i="15"/>
  <c r="V18" i="15"/>
  <c r="Z18" i="15"/>
  <c r="V19" i="15"/>
  <c r="Z19" i="15"/>
  <c r="V20" i="15"/>
  <c r="Z20" i="15"/>
  <c r="V21" i="15"/>
  <c r="Z21" i="15"/>
  <c r="V22" i="15"/>
  <c r="Z22" i="15"/>
  <c r="V23" i="15"/>
  <c r="Z23" i="15"/>
  <c r="V24" i="15"/>
  <c r="Z24" i="15"/>
  <c r="V25" i="15"/>
  <c r="Z25" i="15"/>
  <c r="V26" i="15"/>
  <c r="Z26" i="15"/>
  <c r="V27" i="15"/>
  <c r="Z27" i="15"/>
  <c r="V28" i="15"/>
  <c r="Z28" i="15"/>
  <c r="V29" i="15"/>
  <c r="Z29" i="15"/>
  <c r="V30" i="15"/>
  <c r="Z30" i="15"/>
  <c r="V31" i="15"/>
  <c r="Z31" i="15"/>
  <c r="V32" i="15"/>
  <c r="Z32" i="15"/>
  <c r="V33" i="15"/>
  <c r="Z33" i="15"/>
  <c r="V34" i="15"/>
  <c r="Z34" i="15"/>
  <c r="V35" i="15"/>
  <c r="Z35" i="15"/>
  <c r="V36" i="15"/>
  <c r="Z36" i="15"/>
  <c r="V37" i="15"/>
  <c r="Z37" i="15"/>
  <c r="V38" i="15"/>
  <c r="Z38" i="15"/>
  <c r="V39" i="15"/>
  <c r="Z39" i="15"/>
  <c r="V40" i="15"/>
  <c r="Z40" i="15"/>
  <c r="V41" i="15"/>
  <c r="Z41" i="15"/>
  <c r="V42" i="15"/>
  <c r="Z42" i="15"/>
  <c r="V43" i="15"/>
  <c r="Z43" i="15"/>
  <c r="V44" i="15"/>
  <c r="Z44" i="15"/>
  <c r="V45" i="15"/>
  <c r="Z45" i="15"/>
  <c r="V46" i="15"/>
  <c r="Z46" i="15"/>
  <c r="V47" i="15"/>
  <c r="Z47" i="15"/>
  <c r="V48" i="15"/>
  <c r="Z48" i="15"/>
  <c r="V49" i="15"/>
  <c r="Z49" i="15"/>
  <c r="V50" i="15"/>
  <c r="Z50" i="15"/>
  <c r="V51" i="15"/>
  <c r="Z51" i="15"/>
  <c r="V52" i="15"/>
  <c r="Z52" i="15"/>
  <c r="X53" i="15"/>
  <c r="X91" i="15"/>
  <c r="X7" i="14"/>
  <c r="X15" i="14"/>
  <c r="X23" i="14"/>
  <c r="X35" i="14"/>
  <c r="X43" i="14"/>
  <c r="X51" i="14"/>
  <c r="X88" i="14"/>
  <c r="X96" i="14"/>
  <c r="X144" i="14"/>
  <c r="X152" i="14"/>
  <c r="Y296" i="14"/>
  <c r="Y292" i="14"/>
  <c r="Y288" i="14"/>
  <c r="Y284" i="14"/>
  <c r="Y280" i="14"/>
  <c r="Y276" i="14"/>
  <c r="Y272" i="14"/>
  <c r="Y268" i="14"/>
  <c r="Y264" i="14"/>
  <c r="Y260" i="14"/>
  <c r="Y256" i="14"/>
  <c r="Y252" i="14"/>
  <c r="Y248" i="14"/>
  <c r="Y244" i="14"/>
  <c r="Y297" i="14"/>
  <c r="Y293" i="14"/>
  <c r="Y289" i="14"/>
  <c r="Y285" i="14"/>
  <c r="Y281" i="14"/>
  <c r="Y277" i="14"/>
  <c r="Y273" i="14"/>
  <c r="Y269" i="14"/>
  <c r="Y265" i="14"/>
  <c r="Y261" i="14"/>
  <c r="Y257" i="14"/>
  <c r="Y253" i="14"/>
  <c r="Y249" i="14"/>
  <c r="Y245" i="14"/>
  <c r="Y294" i="14"/>
  <c r="Y290" i="14"/>
  <c r="Y286" i="14"/>
  <c r="Y282" i="14"/>
  <c r="Y278" i="14"/>
  <c r="Y274" i="14"/>
  <c r="Y270" i="14"/>
  <c r="Y266" i="14"/>
  <c r="Y262" i="14"/>
  <c r="Y258" i="14"/>
  <c r="Y254" i="14"/>
  <c r="Y250" i="14"/>
  <c r="Y246" i="14"/>
  <c r="Y242" i="14"/>
  <c r="Y237" i="14"/>
  <c r="Y233" i="14"/>
  <c r="Y229" i="14"/>
  <c r="Y225" i="14"/>
  <c r="Y221" i="14"/>
  <c r="Y217" i="14"/>
  <c r="Y213" i="14"/>
  <c r="Y209" i="14"/>
  <c r="Y205" i="14"/>
  <c r="Y295" i="14"/>
  <c r="Y287" i="14"/>
  <c r="Y279" i="14"/>
  <c r="Y271" i="14"/>
  <c r="Y263" i="14"/>
  <c r="Y255" i="14"/>
  <c r="Y247" i="14"/>
  <c r="Y241" i="14"/>
  <c r="Y238" i="14"/>
  <c r="Y234" i="14"/>
  <c r="Y230" i="14"/>
  <c r="Y226" i="14"/>
  <c r="Y222" i="14"/>
  <c r="Y218" i="14"/>
  <c r="Y214" i="14"/>
  <c r="Y210" i="14"/>
  <c r="Y206" i="14"/>
  <c r="Y202" i="14"/>
  <c r="Y239" i="14"/>
  <c r="Y235" i="14"/>
  <c r="Y231" i="14"/>
  <c r="Y227" i="14"/>
  <c r="Y223" i="14"/>
  <c r="Y219" i="14"/>
  <c r="Y215" i="14"/>
  <c r="Y211" i="14"/>
  <c r="Y207" i="14"/>
  <c r="Y203" i="14"/>
  <c r="Y198" i="14"/>
  <c r="Y194" i="14"/>
  <c r="Y190" i="14"/>
  <c r="Y186" i="14"/>
  <c r="Y182" i="14"/>
  <c r="Y178" i="14"/>
  <c r="Y174" i="14"/>
  <c r="Y170" i="14"/>
  <c r="Y166" i="14"/>
  <c r="Y162" i="14"/>
  <c r="Y158" i="14"/>
  <c r="Y283" i="14"/>
  <c r="Y267" i="14"/>
  <c r="Y251" i="14"/>
  <c r="Y240" i="14"/>
  <c r="Y232" i="14"/>
  <c r="Y224" i="14"/>
  <c r="Y216" i="14"/>
  <c r="Y208" i="14"/>
  <c r="Y199" i="14"/>
  <c r="Y195" i="14"/>
  <c r="Y191" i="14"/>
  <c r="Y187" i="14"/>
  <c r="Y183" i="14"/>
  <c r="Y179" i="14"/>
  <c r="Y175" i="14"/>
  <c r="Y171" i="14"/>
  <c r="Y167" i="14"/>
  <c r="Y163" i="14"/>
  <c r="Y159" i="14"/>
  <c r="Y200" i="14"/>
  <c r="Y196" i="14"/>
  <c r="Y192" i="14"/>
  <c r="Y188" i="14"/>
  <c r="Y184" i="14"/>
  <c r="Y180" i="14"/>
  <c r="Y176" i="14"/>
  <c r="Y172" i="14"/>
  <c r="Y168" i="14"/>
  <c r="Y164" i="14"/>
  <c r="Y160" i="14"/>
  <c r="Y275" i="14"/>
  <c r="Y243" i="14"/>
  <c r="Y154" i="14"/>
  <c r="Y150" i="14"/>
  <c r="Y146" i="14"/>
  <c r="Y142" i="14"/>
  <c r="Y138" i="14"/>
  <c r="Y134" i="14"/>
  <c r="Y130" i="14"/>
  <c r="Y126" i="14"/>
  <c r="Y122" i="14"/>
  <c r="Y118" i="14"/>
  <c r="Y114" i="14"/>
  <c r="Y110" i="14"/>
  <c r="Y106" i="14"/>
  <c r="Y102" i="14"/>
  <c r="Y98" i="14"/>
  <c r="Y94" i="14"/>
  <c r="Y90" i="14"/>
  <c r="Y86" i="14"/>
  <c r="Y82" i="14"/>
  <c r="Y78" i="14"/>
  <c r="Y74" i="14"/>
  <c r="Y70" i="14"/>
  <c r="Y66" i="14"/>
  <c r="Y62" i="14"/>
  <c r="Y236" i="14"/>
  <c r="Y220" i="14"/>
  <c r="Y204" i="14"/>
  <c r="Y197" i="14"/>
  <c r="Y189" i="14"/>
  <c r="Y181" i="14"/>
  <c r="Y173" i="14"/>
  <c r="Y165" i="14"/>
  <c r="Y155" i="14"/>
  <c r="Y151" i="14"/>
  <c r="Y147" i="14"/>
  <c r="Y143" i="14"/>
  <c r="Y139" i="14"/>
  <c r="Y135" i="14"/>
  <c r="Y131" i="14"/>
  <c r="Y127" i="14"/>
  <c r="Y123" i="14"/>
  <c r="Y119" i="14"/>
  <c r="Y115" i="14"/>
  <c r="Y111" i="14"/>
  <c r="Y107" i="14"/>
  <c r="Y103" i="14"/>
  <c r="Y99" i="14"/>
  <c r="Y95" i="14"/>
  <c r="Y91" i="14"/>
  <c r="Y87" i="14"/>
  <c r="Y83" i="14"/>
  <c r="Y79" i="14"/>
  <c r="Y75" i="14"/>
  <c r="Y71" i="14"/>
  <c r="Y67" i="14"/>
  <c r="Y63" i="14"/>
  <c r="Y291" i="14"/>
  <c r="Y259" i="14"/>
  <c r="Y156" i="14"/>
  <c r="Y152" i="14"/>
  <c r="Y148" i="14"/>
  <c r="Y144" i="14"/>
  <c r="Y140" i="14"/>
  <c r="Y136" i="14"/>
  <c r="Y132" i="14"/>
  <c r="Y128" i="14"/>
  <c r="Y124" i="14"/>
  <c r="Y120" i="14"/>
  <c r="Y116" i="14"/>
  <c r="Y112" i="14"/>
  <c r="Y108" i="14"/>
  <c r="Y104" i="14"/>
  <c r="Y100" i="14"/>
  <c r="Y96" i="14"/>
  <c r="Y92" i="14"/>
  <c r="Y88" i="14"/>
  <c r="Y84" i="14"/>
  <c r="Y80" i="14"/>
  <c r="Y76" i="14"/>
  <c r="Y72" i="14"/>
  <c r="Y68" i="14"/>
  <c r="Y64" i="14"/>
  <c r="W5" i="14"/>
  <c r="X6" i="14"/>
  <c r="U7" i="14"/>
  <c r="Y7" i="14"/>
  <c r="V8" i="14"/>
  <c r="Z8" i="14"/>
  <c r="W9" i="14"/>
  <c r="X10" i="14"/>
  <c r="U11" i="14"/>
  <c r="Y11" i="14"/>
  <c r="V12" i="14"/>
  <c r="Z12" i="14"/>
  <c r="W13" i="14"/>
  <c r="X14" i="14"/>
  <c r="U15" i="14"/>
  <c r="Y15" i="14"/>
  <c r="V16" i="14"/>
  <c r="Z16" i="14"/>
  <c r="W17" i="14"/>
  <c r="X18" i="14"/>
  <c r="U19" i="14"/>
  <c r="Y19" i="14"/>
  <c r="V20" i="14"/>
  <c r="Z20" i="14"/>
  <c r="W21" i="14"/>
  <c r="X22" i="14"/>
  <c r="U23" i="14"/>
  <c r="Y23" i="14"/>
  <c r="V24" i="14"/>
  <c r="Z24" i="14"/>
  <c r="W25" i="14"/>
  <c r="X26" i="14"/>
  <c r="U27" i="14"/>
  <c r="Y27" i="14"/>
  <c r="V28" i="14"/>
  <c r="Z28" i="14"/>
  <c r="W29" i="14"/>
  <c r="X30" i="14"/>
  <c r="U31" i="14"/>
  <c r="Y31" i="14"/>
  <c r="V32" i="14"/>
  <c r="Z32" i="14"/>
  <c r="W33" i="14"/>
  <c r="X34" i="14"/>
  <c r="U35" i="14"/>
  <c r="Y35" i="14"/>
  <c r="V36" i="14"/>
  <c r="Z36" i="14"/>
  <c r="W37" i="14"/>
  <c r="X38" i="14"/>
  <c r="U39" i="14"/>
  <c r="Y39" i="14"/>
  <c r="V40" i="14"/>
  <c r="Z40" i="14"/>
  <c r="W41" i="14"/>
  <c r="X42" i="14"/>
  <c r="U43" i="14"/>
  <c r="Y43" i="14"/>
  <c r="V44" i="14"/>
  <c r="Z44" i="14"/>
  <c r="W45" i="14"/>
  <c r="X46" i="14"/>
  <c r="U47" i="14"/>
  <c r="Y47" i="14"/>
  <c r="V48" i="14"/>
  <c r="Z48" i="14"/>
  <c r="W49" i="14"/>
  <c r="X50" i="14"/>
  <c r="U51" i="14"/>
  <c r="Y51" i="14"/>
  <c r="V52" i="14"/>
  <c r="Z52" i="14"/>
  <c r="W53" i="14"/>
  <c r="X54" i="14"/>
  <c r="U55" i="14"/>
  <c r="Y55" i="14"/>
  <c r="V56" i="14"/>
  <c r="Z56" i="14"/>
  <c r="W57" i="14"/>
  <c r="X58" i="14"/>
  <c r="U59" i="14"/>
  <c r="Y59" i="14"/>
  <c r="V60" i="14"/>
  <c r="W61" i="14"/>
  <c r="V66" i="14"/>
  <c r="Y69" i="14"/>
  <c r="V74" i="14"/>
  <c r="Y77" i="14"/>
  <c r="V82" i="14"/>
  <c r="Y85" i="14"/>
  <c r="V90" i="14"/>
  <c r="Y93" i="14"/>
  <c r="V98" i="14"/>
  <c r="Y101" i="14"/>
  <c r="V106" i="14"/>
  <c r="Y109" i="14"/>
  <c r="V114" i="14"/>
  <c r="Y117" i="14"/>
  <c r="V122" i="14"/>
  <c r="Y125" i="14"/>
  <c r="V130" i="14"/>
  <c r="Y133" i="14"/>
  <c r="V138" i="14"/>
  <c r="Y141" i="14"/>
  <c r="V146" i="14"/>
  <c r="Y149" i="14"/>
  <c r="V154" i="14"/>
  <c r="Y157" i="14"/>
  <c r="V166" i="14"/>
  <c r="Y169" i="14"/>
  <c r="V182" i="14"/>
  <c r="Y185" i="14"/>
  <c r="V198" i="14"/>
  <c r="Y201" i="14"/>
  <c r="Y228" i="14"/>
  <c r="V5" i="14"/>
  <c r="X11" i="14"/>
  <c r="X19" i="14"/>
  <c r="X27" i="14"/>
  <c r="X31" i="14"/>
  <c r="X39" i="14"/>
  <c r="X47" i="14"/>
  <c r="X55" i="14"/>
  <c r="V297" i="14"/>
  <c r="V293" i="14"/>
  <c r="V289" i="14"/>
  <c r="V285" i="14"/>
  <c r="V281" i="14"/>
  <c r="V277" i="14"/>
  <c r="V273" i="14"/>
  <c r="V269" i="14"/>
  <c r="V265" i="14"/>
  <c r="V261" i="14"/>
  <c r="V257" i="14"/>
  <c r="V253" i="14"/>
  <c r="V249" i="14"/>
  <c r="V245" i="14"/>
  <c r="V294" i="14"/>
  <c r="V290" i="14"/>
  <c r="V286" i="14"/>
  <c r="V282" i="14"/>
  <c r="V278" i="14"/>
  <c r="V274" i="14"/>
  <c r="V270" i="14"/>
  <c r="V266" i="14"/>
  <c r="V262" i="14"/>
  <c r="V258" i="14"/>
  <c r="V254" i="14"/>
  <c r="V250" i="14"/>
  <c r="V246" i="14"/>
  <c r="V295" i="14"/>
  <c r="V291" i="14"/>
  <c r="V287" i="14"/>
  <c r="V283" i="14"/>
  <c r="V279" i="14"/>
  <c r="V275" i="14"/>
  <c r="V271" i="14"/>
  <c r="V267" i="14"/>
  <c r="V263" i="14"/>
  <c r="V259" i="14"/>
  <c r="V255" i="14"/>
  <c r="V251" i="14"/>
  <c r="V247" i="14"/>
  <c r="V243" i="14"/>
  <c r="V238" i="14"/>
  <c r="V234" i="14"/>
  <c r="V230" i="14"/>
  <c r="V226" i="14"/>
  <c r="V222" i="14"/>
  <c r="V218" i="14"/>
  <c r="V214" i="14"/>
  <c r="V210" i="14"/>
  <c r="V206" i="14"/>
  <c r="V292" i="14"/>
  <c r="V284" i="14"/>
  <c r="V276" i="14"/>
  <c r="V268" i="14"/>
  <c r="V260" i="14"/>
  <c r="V252" i="14"/>
  <c r="V244" i="14"/>
  <c r="V239" i="14"/>
  <c r="V235" i="14"/>
  <c r="V231" i="14"/>
  <c r="V227" i="14"/>
  <c r="V223" i="14"/>
  <c r="V219" i="14"/>
  <c r="V215" i="14"/>
  <c r="V211" i="14"/>
  <c r="V207" i="14"/>
  <c r="V203" i="14"/>
  <c r="V240" i="14"/>
  <c r="V236" i="14"/>
  <c r="V232" i="14"/>
  <c r="V228" i="14"/>
  <c r="V224" i="14"/>
  <c r="V220" i="14"/>
  <c r="V216" i="14"/>
  <c r="V212" i="14"/>
  <c r="V208" i="14"/>
  <c r="V204" i="14"/>
  <c r="V202" i="14"/>
  <c r="V199" i="14"/>
  <c r="V195" i="14"/>
  <c r="V191" i="14"/>
  <c r="V187" i="14"/>
  <c r="V183" i="14"/>
  <c r="V179" i="14"/>
  <c r="V175" i="14"/>
  <c r="V171" i="14"/>
  <c r="V167" i="14"/>
  <c r="V163" i="14"/>
  <c r="V159" i="14"/>
  <c r="V296" i="14"/>
  <c r="V280" i="14"/>
  <c r="V264" i="14"/>
  <c r="V248" i="14"/>
  <c r="V242" i="14"/>
  <c r="V237" i="14"/>
  <c r="V229" i="14"/>
  <c r="V221" i="14"/>
  <c r="V213" i="14"/>
  <c r="V205" i="14"/>
  <c r="V200" i="14"/>
  <c r="V196" i="14"/>
  <c r="V192" i="14"/>
  <c r="V188" i="14"/>
  <c r="V184" i="14"/>
  <c r="V180" i="14"/>
  <c r="V176" i="14"/>
  <c r="V172" i="14"/>
  <c r="V168" i="14"/>
  <c r="V164" i="14"/>
  <c r="V160" i="14"/>
  <c r="V201" i="14"/>
  <c r="V197" i="14"/>
  <c r="V193" i="14"/>
  <c r="V189" i="14"/>
  <c r="V185" i="14"/>
  <c r="V181" i="14"/>
  <c r="V177" i="14"/>
  <c r="V173" i="14"/>
  <c r="V169" i="14"/>
  <c r="V165" i="14"/>
  <c r="V161" i="14"/>
  <c r="V272" i="14"/>
  <c r="V158" i="14"/>
  <c r="V155" i="14"/>
  <c r="V151" i="14"/>
  <c r="V147" i="14"/>
  <c r="V143" i="14"/>
  <c r="V139" i="14"/>
  <c r="V135" i="14"/>
  <c r="V131" i="14"/>
  <c r="V127" i="14"/>
  <c r="V123" i="14"/>
  <c r="V119" i="14"/>
  <c r="V115" i="14"/>
  <c r="V111" i="14"/>
  <c r="V107" i="14"/>
  <c r="V103" i="14"/>
  <c r="V99" i="14"/>
  <c r="V95" i="14"/>
  <c r="V91" i="14"/>
  <c r="V87" i="14"/>
  <c r="V83" i="14"/>
  <c r="V79" i="14"/>
  <c r="V75" i="14"/>
  <c r="V71" i="14"/>
  <c r="V67" i="14"/>
  <c r="V63" i="14"/>
  <c r="V233" i="14"/>
  <c r="V217" i="14"/>
  <c r="V194" i="14"/>
  <c r="V186" i="14"/>
  <c r="V178" i="14"/>
  <c r="V170" i="14"/>
  <c r="V162" i="14"/>
  <c r="V156" i="14"/>
  <c r="V152" i="14"/>
  <c r="V148" i="14"/>
  <c r="V144" i="14"/>
  <c r="V140" i="14"/>
  <c r="V136" i="14"/>
  <c r="V132" i="14"/>
  <c r="V128" i="14"/>
  <c r="V124" i="14"/>
  <c r="V120" i="14"/>
  <c r="V116" i="14"/>
  <c r="V112" i="14"/>
  <c r="V108" i="14"/>
  <c r="V104" i="14"/>
  <c r="V100" i="14"/>
  <c r="V96" i="14"/>
  <c r="V92" i="14"/>
  <c r="V88" i="14"/>
  <c r="V84" i="14"/>
  <c r="V80" i="14"/>
  <c r="V76" i="14"/>
  <c r="V72" i="14"/>
  <c r="V68" i="14"/>
  <c r="V64" i="14"/>
  <c r="V288" i="14"/>
  <c r="V256" i="14"/>
  <c r="V157" i="14"/>
  <c r="V153" i="14"/>
  <c r="V149" i="14"/>
  <c r="V145" i="14"/>
  <c r="V141" i="14"/>
  <c r="V137" i="14"/>
  <c r="V133" i="14"/>
  <c r="V129" i="14"/>
  <c r="V125" i="14"/>
  <c r="V121" i="14"/>
  <c r="V117" i="14"/>
  <c r="V113" i="14"/>
  <c r="V109" i="14"/>
  <c r="V105" i="14"/>
  <c r="V101" i="14"/>
  <c r="V97" i="14"/>
  <c r="V93" i="14"/>
  <c r="V89" i="14"/>
  <c r="V85" i="14"/>
  <c r="V81" i="14"/>
  <c r="V77" i="14"/>
  <c r="V73" i="14"/>
  <c r="V69" i="14"/>
  <c r="V65" i="14"/>
  <c r="Z297" i="14"/>
  <c r="Z293" i="14"/>
  <c r="Z289" i="14"/>
  <c r="Z285" i="14"/>
  <c r="Z281" i="14"/>
  <c r="Z277" i="14"/>
  <c r="Z273" i="14"/>
  <c r="Z269" i="14"/>
  <c r="Z265" i="14"/>
  <c r="Z261" i="14"/>
  <c r="Z257" i="14"/>
  <c r="Z253" i="14"/>
  <c r="Z249" i="14"/>
  <c r="Z245" i="14"/>
  <c r="Z241" i="14"/>
  <c r="Z294" i="14"/>
  <c r="Z290" i="14"/>
  <c r="Z286" i="14"/>
  <c r="Z282" i="14"/>
  <c r="Z278" i="14"/>
  <c r="Z274" i="14"/>
  <c r="Z270" i="14"/>
  <c r="Z266" i="14"/>
  <c r="Z262" i="14"/>
  <c r="Z258" i="14"/>
  <c r="Z254" i="14"/>
  <c r="Z250" i="14"/>
  <c r="Z246" i="14"/>
  <c r="Z242" i="14"/>
  <c r="Z295" i="14"/>
  <c r="Z291" i="14"/>
  <c r="Z287" i="14"/>
  <c r="Z283" i="14"/>
  <c r="Z279" i="14"/>
  <c r="Z275" i="14"/>
  <c r="Z271" i="14"/>
  <c r="Z267" i="14"/>
  <c r="Z263" i="14"/>
  <c r="Z259" i="14"/>
  <c r="Z255" i="14"/>
  <c r="Z251" i="14"/>
  <c r="Z247" i="14"/>
  <c r="Z243" i="14"/>
  <c r="Z292" i="14"/>
  <c r="Z284" i="14"/>
  <c r="Z276" i="14"/>
  <c r="Z268" i="14"/>
  <c r="Z260" i="14"/>
  <c r="Z252" i="14"/>
  <c r="Z244" i="14"/>
  <c r="Z238" i="14"/>
  <c r="Z234" i="14"/>
  <c r="Z230" i="14"/>
  <c r="Z226" i="14"/>
  <c r="Z222" i="14"/>
  <c r="Z218" i="14"/>
  <c r="Z214" i="14"/>
  <c r="Z210" i="14"/>
  <c r="Z206" i="14"/>
  <c r="Z239" i="14"/>
  <c r="Z235" i="14"/>
  <c r="Z231" i="14"/>
  <c r="Z227" i="14"/>
  <c r="Z223" i="14"/>
  <c r="Z219" i="14"/>
  <c r="Z215" i="14"/>
  <c r="Z211" i="14"/>
  <c r="Z207" i="14"/>
  <c r="Z203" i="14"/>
  <c r="Z296" i="14"/>
  <c r="Z288" i="14"/>
  <c r="Z280" i="14"/>
  <c r="Z272" i="14"/>
  <c r="Z264" i="14"/>
  <c r="Z256" i="14"/>
  <c r="Z248" i="14"/>
  <c r="Z240" i="14"/>
  <c r="Z236" i="14"/>
  <c r="Z232" i="14"/>
  <c r="Z228" i="14"/>
  <c r="Z224" i="14"/>
  <c r="Z220" i="14"/>
  <c r="Z216" i="14"/>
  <c r="Z212" i="14"/>
  <c r="Z208" i="14"/>
  <c r="Z204" i="14"/>
  <c r="Z237" i="14"/>
  <c r="Z229" i="14"/>
  <c r="Z221" i="14"/>
  <c r="Z213" i="14"/>
  <c r="Z205" i="14"/>
  <c r="Z199" i="14"/>
  <c r="Z195" i="14"/>
  <c r="Z191" i="14"/>
  <c r="Z187" i="14"/>
  <c r="Z183" i="14"/>
  <c r="Z179" i="14"/>
  <c r="Z175" i="14"/>
  <c r="Z171" i="14"/>
  <c r="Z167" i="14"/>
  <c r="Z163" i="14"/>
  <c r="Z159" i="14"/>
  <c r="Z202" i="14"/>
  <c r="Z200" i="14"/>
  <c r="Z196" i="14"/>
  <c r="Z192" i="14"/>
  <c r="Z188" i="14"/>
  <c r="Z184" i="14"/>
  <c r="Z180" i="14"/>
  <c r="Z176" i="14"/>
  <c r="Z172" i="14"/>
  <c r="Z168" i="14"/>
  <c r="Z164" i="14"/>
  <c r="Z160" i="14"/>
  <c r="Z233" i="14"/>
  <c r="Z225" i="14"/>
  <c r="Z217" i="14"/>
  <c r="Z209" i="14"/>
  <c r="Z201" i="14"/>
  <c r="Z197" i="14"/>
  <c r="Z193" i="14"/>
  <c r="Z189" i="14"/>
  <c r="Z185" i="14"/>
  <c r="Z181" i="14"/>
  <c r="Z177" i="14"/>
  <c r="Z173" i="14"/>
  <c r="Z169" i="14"/>
  <c r="Z165" i="14"/>
  <c r="Z161" i="14"/>
  <c r="Z194" i="14"/>
  <c r="Z186" i="14"/>
  <c r="Z178" i="14"/>
  <c r="Z170" i="14"/>
  <c r="Z162" i="14"/>
  <c r="Z155" i="14"/>
  <c r="Z151" i="14"/>
  <c r="Z147" i="14"/>
  <c r="Z143" i="14"/>
  <c r="Z139" i="14"/>
  <c r="Z135" i="14"/>
  <c r="Z131" i="14"/>
  <c r="Z127" i="14"/>
  <c r="Z123" i="14"/>
  <c r="Z119" i="14"/>
  <c r="Z115" i="14"/>
  <c r="Z111" i="14"/>
  <c r="Z107" i="14"/>
  <c r="Z103" i="14"/>
  <c r="Z99" i="14"/>
  <c r="Z95" i="14"/>
  <c r="Z91" i="14"/>
  <c r="Z87" i="14"/>
  <c r="Z83" i="14"/>
  <c r="Z79" i="14"/>
  <c r="Z75" i="14"/>
  <c r="Z71" i="14"/>
  <c r="Z67" i="14"/>
  <c r="Z63" i="14"/>
  <c r="Z156" i="14"/>
  <c r="Z152" i="14"/>
  <c r="Z148" i="14"/>
  <c r="Z144" i="14"/>
  <c r="Z140" i="14"/>
  <c r="Z136" i="14"/>
  <c r="Z132" i="14"/>
  <c r="Z128" i="14"/>
  <c r="Z124" i="14"/>
  <c r="Z120" i="14"/>
  <c r="Z116" i="14"/>
  <c r="Z112" i="14"/>
  <c r="Z108" i="14"/>
  <c r="Z104" i="14"/>
  <c r="Z100" i="14"/>
  <c r="Z96" i="14"/>
  <c r="Z92" i="14"/>
  <c r="Z88" i="14"/>
  <c r="Z84" i="14"/>
  <c r="Z80" i="14"/>
  <c r="Z76" i="14"/>
  <c r="Z72" i="14"/>
  <c r="Z68" i="14"/>
  <c r="Z64" i="14"/>
  <c r="Z198" i="14"/>
  <c r="Z190" i="14"/>
  <c r="Z182" i="14"/>
  <c r="Z174" i="14"/>
  <c r="Z166" i="14"/>
  <c r="Z158" i="14"/>
  <c r="Z157" i="14"/>
  <c r="Z153" i="14"/>
  <c r="Z149" i="14"/>
  <c r="Z145" i="14"/>
  <c r="Z141" i="14"/>
  <c r="Z137" i="14"/>
  <c r="Z133" i="14"/>
  <c r="Z129" i="14"/>
  <c r="Z125" i="14"/>
  <c r="Z121" i="14"/>
  <c r="Z117" i="14"/>
  <c r="Z113" i="14"/>
  <c r="Z109" i="14"/>
  <c r="Z105" i="14"/>
  <c r="Z101" i="14"/>
  <c r="Z97" i="14"/>
  <c r="Z93" i="14"/>
  <c r="Z89" i="14"/>
  <c r="Z85" i="14"/>
  <c r="Z81" i="14"/>
  <c r="Z77" i="14"/>
  <c r="Z73" i="14"/>
  <c r="Z69" i="14"/>
  <c r="Z65" i="14"/>
  <c r="X5" i="14"/>
  <c r="U6" i="14"/>
  <c r="Y6" i="14"/>
  <c r="V7" i="14"/>
  <c r="Z7" i="14"/>
  <c r="W8" i="14"/>
  <c r="X9" i="14"/>
  <c r="U10" i="14"/>
  <c r="Y10" i="14"/>
  <c r="V11" i="14"/>
  <c r="Z11" i="14"/>
  <c r="W12" i="14"/>
  <c r="X13" i="14"/>
  <c r="U14" i="14"/>
  <c r="Y14" i="14"/>
  <c r="V15" i="14"/>
  <c r="Z15" i="14"/>
  <c r="W16" i="14"/>
  <c r="X17" i="14"/>
  <c r="U18" i="14"/>
  <c r="Y18" i="14"/>
  <c r="V19" i="14"/>
  <c r="Z19" i="14"/>
  <c r="W20" i="14"/>
  <c r="X21" i="14"/>
  <c r="U22" i="14"/>
  <c r="Y22" i="14"/>
  <c r="V23" i="14"/>
  <c r="Z23" i="14"/>
  <c r="W24" i="14"/>
  <c r="X25" i="14"/>
  <c r="U26" i="14"/>
  <c r="Y26" i="14"/>
  <c r="V27" i="14"/>
  <c r="Z27" i="14"/>
  <c r="W28" i="14"/>
  <c r="X29" i="14"/>
  <c r="U30" i="14"/>
  <c r="Y30" i="14"/>
  <c r="V31" i="14"/>
  <c r="Z31" i="14"/>
  <c r="W32" i="14"/>
  <c r="X33" i="14"/>
  <c r="U34" i="14"/>
  <c r="Y34" i="14"/>
  <c r="V35" i="14"/>
  <c r="Z35" i="14"/>
  <c r="W36" i="14"/>
  <c r="X37" i="14"/>
  <c r="U38" i="14"/>
  <c r="Y38" i="14"/>
  <c r="V39" i="14"/>
  <c r="Z39" i="14"/>
  <c r="W40" i="14"/>
  <c r="X41" i="14"/>
  <c r="U42" i="14"/>
  <c r="Y42" i="14"/>
  <c r="V43" i="14"/>
  <c r="Z43" i="14"/>
  <c r="W44" i="14"/>
  <c r="X45" i="14"/>
  <c r="U46" i="14"/>
  <c r="Y46" i="14"/>
  <c r="V47" i="14"/>
  <c r="Z47" i="14"/>
  <c r="W48" i="14"/>
  <c r="X49" i="14"/>
  <c r="U50" i="14"/>
  <c r="Y50" i="14"/>
  <c r="V51" i="14"/>
  <c r="Z51" i="14"/>
  <c r="W52" i="14"/>
  <c r="X53" i="14"/>
  <c r="U54" i="14"/>
  <c r="Y54" i="14"/>
  <c r="V55" i="14"/>
  <c r="Z55" i="14"/>
  <c r="W56" i="14"/>
  <c r="X57" i="14"/>
  <c r="U58" i="14"/>
  <c r="Y58" i="14"/>
  <c r="V59" i="14"/>
  <c r="Z59" i="14"/>
  <c r="W60" i="14"/>
  <c r="X61" i="14"/>
  <c r="V62" i="14"/>
  <c r="W63" i="14"/>
  <c r="U65" i="14"/>
  <c r="Z66" i="14"/>
  <c r="X68" i="14"/>
  <c r="W71" i="14"/>
  <c r="U73" i="14"/>
  <c r="Z74" i="14"/>
  <c r="X76" i="14"/>
  <c r="W79" i="14"/>
  <c r="U81" i="14"/>
  <c r="Z82" i="14"/>
  <c r="X84" i="14"/>
  <c r="W87" i="14"/>
  <c r="U89" i="14"/>
  <c r="Z90" i="14"/>
  <c r="X92" i="14"/>
  <c r="W95" i="14"/>
  <c r="U97" i="14"/>
  <c r="Z98" i="14"/>
  <c r="X100" i="14"/>
  <c r="W103" i="14"/>
  <c r="U105" i="14"/>
  <c r="Z106" i="14"/>
  <c r="X108" i="14"/>
  <c r="W111" i="14"/>
  <c r="U113" i="14"/>
  <c r="Z114" i="14"/>
  <c r="X116" i="14"/>
  <c r="W119" i="14"/>
  <c r="U121" i="14"/>
  <c r="Z122" i="14"/>
  <c r="X124" i="14"/>
  <c r="W127" i="14"/>
  <c r="U129" i="14"/>
  <c r="Z130" i="14"/>
  <c r="X132" i="14"/>
  <c r="W135" i="14"/>
  <c r="U137" i="14"/>
  <c r="Z138" i="14"/>
  <c r="X140" i="14"/>
  <c r="W143" i="14"/>
  <c r="U145" i="14"/>
  <c r="Z146" i="14"/>
  <c r="X148" i="14"/>
  <c r="Z154" i="14"/>
  <c r="X295" i="14"/>
  <c r="X291" i="14"/>
  <c r="X287" i="14"/>
  <c r="X283" i="14"/>
  <c r="X279" i="14"/>
  <c r="X275" i="14"/>
  <c r="X271" i="14"/>
  <c r="X267" i="14"/>
  <c r="X263" i="14"/>
  <c r="X259" i="14"/>
  <c r="X255" i="14"/>
  <c r="X251" i="14"/>
  <c r="X247" i="14"/>
  <c r="X243" i="14"/>
  <c r="X296" i="14"/>
  <c r="X292" i="14"/>
  <c r="X288" i="14"/>
  <c r="X284" i="14"/>
  <c r="X280" i="14"/>
  <c r="X276" i="14"/>
  <c r="X272" i="14"/>
  <c r="X268" i="14"/>
  <c r="X264" i="14"/>
  <c r="X260" i="14"/>
  <c r="X256" i="14"/>
  <c r="X252" i="14"/>
  <c r="X248" i="14"/>
  <c r="X244" i="14"/>
  <c r="X297" i="14"/>
  <c r="X293" i="14"/>
  <c r="X289" i="14"/>
  <c r="X285" i="14"/>
  <c r="X281" i="14"/>
  <c r="X277" i="14"/>
  <c r="X273" i="14"/>
  <c r="X269" i="14"/>
  <c r="X265" i="14"/>
  <c r="X261" i="14"/>
  <c r="X257" i="14"/>
  <c r="X253" i="14"/>
  <c r="X249" i="14"/>
  <c r="X245" i="14"/>
  <c r="X241" i="14"/>
  <c r="X294" i="14"/>
  <c r="X286" i="14"/>
  <c r="X278" i="14"/>
  <c r="X270" i="14"/>
  <c r="X262" i="14"/>
  <c r="X254" i="14"/>
  <c r="X246" i="14"/>
  <c r="X240" i="14"/>
  <c r="X236" i="14"/>
  <c r="X232" i="14"/>
  <c r="X228" i="14"/>
  <c r="X224" i="14"/>
  <c r="X220" i="14"/>
  <c r="X216" i="14"/>
  <c r="X212" i="14"/>
  <c r="X208" i="14"/>
  <c r="X204" i="14"/>
  <c r="X237" i="14"/>
  <c r="X233" i="14"/>
  <c r="X229" i="14"/>
  <c r="X225" i="14"/>
  <c r="X221" i="14"/>
  <c r="X217" i="14"/>
  <c r="X213" i="14"/>
  <c r="X209" i="14"/>
  <c r="X205" i="14"/>
  <c r="X290" i="14"/>
  <c r="X282" i="14"/>
  <c r="X274" i="14"/>
  <c r="X266" i="14"/>
  <c r="X258" i="14"/>
  <c r="X250" i="14"/>
  <c r="X242" i="14"/>
  <c r="X238" i="14"/>
  <c r="X234" i="14"/>
  <c r="X230" i="14"/>
  <c r="X226" i="14"/>
  <c r="X222" i="14"/>
  <c r="X218" i="14"/>
  <c r="X214" i="14"/>
  <c r="X210" i="14"/>
  <c r="X206" i="14"/>
  <c r="X239" i="14"/>
  <c r="X231" i="14"/>
  <c r="X223" i="14"/>
  <c r="X215" i="14"/>
  <c r="X207" i="14"/>
  <c r="X201" i="14"/>
  <c r="X197" i="14"/>
  <c r="X193" i="14"/>
  <c r="X189" i="14"/>
  <c r="X185" i="14"/>
  <c r="X181" i="14"/>
  <c r="X177" i="14"/>
  <c r="X173" i="14"/>
  <c r="X169" i="14"/>
  <c r="X165" i="14"/>
  <c r="X161" i="14"/>
  <c r="X198" i="14"/>
  <c r="X194" i="14"/>
  <c r="X190" i="14"/>
  <c r="X186" i="14"/>
  <c r="X182" i="14"/>
  <c r="X178" i="14"/>
  <c r="X174" i="14"/>
  <c r="X170" i="14"/>
  <c r="X166" i="14"/>
  <c r="X162" i="14"/>
  <c r="X158" i="14"/>
  <c r="X235" i="14"/>
  <c r="X227" i="14"/>
  <c r="X219" i="14"/>
  <c r="X211" i="14"/>
  <c r="X203" i="14"/>
  <c r="X202" i="14"/>
  <c r="X199" i="14"/>
  <c r="X195" i="14"/>
  <c r="X191" i="14"/>
  <c r="X187" i="14"/>
  <c r="X183" i="14"/>
  <c r="X179" i="14"/>
  <c r="X175" i="14"/>
  <c r="X171" i="14"/>
  <c r="X167" i="14"/>
  <c r="X163" i="14"/>
  <c r="X159" i="14"/>
  <c r="X196" i="14"/>
  <c r="X188" i="14"/>
  <c r="X180" i="14"/>
  <c r="X172" i="14"/>
  <c r="X164" i="14"/>
  <c r="X157" i="14"/>
  <c r="X153" i="14"/>
  <c r="X149" i="14"/>
  <c r="X145" i="14"/>
  <c r="X141" i="14"/>
  <c r="X137" i="14"/>
  <c r="X133" i="14"/>
  <c r="X129" i="14"/>
  <c r="X125" i="14"/>
  <c r="X121" i="14"/>
  <c r="X117" i="14"/>
  <c r="X113" i="14"/>
  <c r="X109" i="14"/>
  <c r="X105" i="14"/>
  <c r="X101" i="14"/>
  <c r="X97" i="14"/>
  <c r="X93" i="14"/>
  <c r="X89" i="14"/>
  <c r="X85" i="14"/>
  <c r="X81" i="14"/>
  <c r="X77" i="14"/>
  <c r="X73" i="14"/>
  <c r="X69" i="14"/>
  <c r="X65" i="14"/>
  <c r="X154" i="14"/>
  <c r="X150" i="14"/>
  <c r="X146" i="14"/>
  <c r="X142" i="14"/>
  <c r="X138" i="14"/>
  <c r="X134" i="14"/>
  <c r="X130" i="14"/>
  <c r="X126" i="14"/>
  <c r="X122" i="14"/>
  <c r="X118" i="14"/>
  <c r="X114" i="14"/>
  <c r="X110" i="14"/>
  <c r="X106" i="14"/>
  <c r="X102" i="14"/>
  <c r="X98" i="14"/>
  <c r="X94" i="14"/>
  <c r="X90" i="14"/>
  <c r="X86" i="14"/>
  <c r="X82" i="14"/>
  <c r="X78" i="14"/>
  <c r="X74" i="14"/>
  <c r="X70" i="14"/>
  <c r="X66" i="14"/>
  <c r="X62" i="14"/>
  <c r="X200" i="14"/>
  <c r="X192" i="14"/>
  <c r="X184" i="14"/>
  <c r="X176" i="14"/>
  <c r="X168" i="14"/>
  <c r="X160" i="14"/>
  <c r="X155" i="14"/>
  <c r="X151" i="14"/>
  <c r="X147" i="14"/>
  <c r="X143" i="14"/>
  <c r="X139" i="14"/>
  <c r="X135" i="14"/>
  <c r="X131" i="14"/>
  <c r="X127" i="14"/>
  <c r="X123" i="14"/>
  <c r="X119" i="14"/>
  <c r="X115" i="14"/>
  <c r="X111" i="14"/>
  <c r="X107" i="14"/>
  <c r="X103" i="14"/>
  <c r="X99" i="14"/>
  <c r="X95" i="14"/>
  <c r="X91" i="14"/>
  <c r="X87" i="14"/>
  <c r="X83" i="14"/>
  <c r="X79" i="14"/>
  <c r="X75" i="14"/>
  <c r="X71" i="14"/>
  <c r="X67" i="14"/>
  <c r="X63" i="14"/>
  <c r="X59" i="14"/>
  <c r="X64" i="14"/>
  <c r="X72" i="14"/>
  <c r="X80" i="14"/>
  <c r="X104" i="14"/>
  <c r="X112" i="14"/>
  <c r="X120" i="14"/>
  <c r="X128" i="14"/>
  <c r="X136" i="14"/>
  <c r="U296" i="14"/>
  <c r="U292" i="14"/>
  <c r="U288" i="14"/>
  <c r="U284" i="14"/>
  <c r="U280" i="14"/>
  <c r="U276" i="14"/>
  <c r="U272" i="14"/>
  <c r="U268" i="14"/>
  <c r="U264" i="14"/>
  <c r="U260" i="14"/>
  <c r="U256" i="14"/>
  <c r="U252" i="14"/>
  <c r="U248" i="14"/>
  <c r="U244" i="14"/>
  <c r="U297" i="14"/>
  <c r="U293" i="14"/>
  <c r="U289" i="14"/>
  <c r="U285" i="14"/>
  <c r="U281" i="14"/>
  <c r="U277" i="14"/>
  <c r="U273" i="14"/>
  <c r="U269" i="14"/>
  <c r="U265" i="14"/>
  <c r="U261" i="14"/>
  <c r="U257" i="14"/>
  <c r="U253" i="14"/>
  <c r="U249" i="14"/>
  <c r="U245" i="14"/>
  <c r="U294" i="14"/>
  <c r="U290" i="14"/>
  <c r="U286" i="14"/>
  <c r="U282" i="14"/>
  <c r="U278" i="14"/>
  <c r="U274" i="14"/>
  <c r="U270" i="14"/>
  <c r="U266" i="14"/>
  <c r="U262" i="14"/>
  <c r="U258" i="14"/>
  <c r="U254" i="14"/>
  <c r="U250" i="14"/>
  <c r="U246" i="14"/>
  <c r="U242" i="14"/>
  <c r="U291" i="14"/>
  <c r="U283" i="14"/>
  <c r="U275" i="14"/>
  <c r="U267" i="14"/>
  <c r="U259" i="14"/>
  <c r="U251" i="14"/>
  <c r="U243" i="14"/>
  <c r="U241" i="14"/>
  <c r="U237" i="14"/>
  <c r="U233" i="14"/>
  <c r="U229" i="14"/>
  <c r="U225" i="14"/>
  <c r="U221" i="14"/>
  <c r="U217" i="14"/>
  <c r="U213" i="14"/>
  <c r="U209" i="14"/>
  <c r="U205" i="14"/>
  <c r="U238" i="14"/>
  <c r="U234" i="14"/>
  <c r="U230" i="14"/>
  <c r="U226" i="14"/>
  <c r="U222" i="14"/>
  <c r="U218" i="14"/>
  <c r="U214" i="14"/>
  <c r="U210" i="14"/>
  <c r="U206" i="14"/>
  <c r="U202" i="14"/>
  <c r="U295" i="14"/>
  <c r="U287" i="14"/>
  <c r="U279" i="14"/>
  <c r="U271" i="14"/>
  <c r="U263" i="14"/>
  <c r="U255" i="14"/>
  <c r="U247" i="14"/>
  <c r="U239" i="14"/>
  <c r="U235" i="14"/>
  <c r="U231" i="14"/>
  <c r="U227" i="14"/>
  <c r="U223" i="14"/>
  <c r="U219" i="14"/>
  <c r="U215" i="14"/>
  <c r="U211" i="14"/>
  <c r="U207" i="14"/>
  <c r="U236" i="14"/>
  <c r="U228" i="14"/>
  <c r="U220" i="14"/>
  <c r="U212" i="14"/>
  <c r="U204" i="14"/>
  <c r="U198" i="14"/>
  <c r="U194" i="14"/>
  <c r="U190" i="14"/>
  <c r="U186" i="14"/>
  <c r="U182" i="14"/>
  <c r="U178" i="14"/>
  <c r="U174" i="14"/>
  <c r="U170" i="14"/>
  <c r="U166" i="14"/>
  <c r="U162" i="14"/>
  <c r="U158" i="14"/>
  <c r="U199" i="14"/>
  <c r="U195" i="14"/>
  <c r="U191" i="14"/>
  <c r="U187" i="14"/>
  <c r="U183" i="14"/>
  <c r="U179" i="14"/>
  <c r="U175" i="14"/>
  <c r="U171" i="14"/>
  <c r="U167" i="14"/>
  <c r="U163" i="14"/>
  <c r="U159" i="14"/>
  <c r="U240" i="14"/>
  <c r="U232" i="14"/>
  <c r="U224" i="14"/>
  <c r="U216" i="14"/>
  <c r="U208" i="14"/>
  <c r="U200" i="14"/>
  <c r="U196" i="14"/>
  <c r="U192" i="14"/>
  <c r="U188" i="14"/>
  <c r="U184" i="14"/>
  <c r="U180" i="14"/>
  <c r="U176" i="14"/>
  <c r="U172" i="14"/>
  <c r="U168" i="14"/>
  <c r="U164" i="14"/>
  <c r="U160" i="14"/>
  <c r="U201" i="14"/>
  <c r="U193" i="14"/>
  <c r="U185" i="14"/>
  <c r="U177" i="14"/>
  <c r="U169" i="14"/>
  <c r="U161" i="14"/>
  <c r="U154" i="14"/>
  <c r="U150" i="14"/>
  <c r="U146" i="14"/>
  <c r="U142" i="14"/>
  <c r="U138" i="14"/>
  <c r="U134" i="14"/>
  <c r="U130" i="14"/>
  <c r="U126" i="14"/>
  <c r="U122" i="14"/>
  <c r="U118" i="14"/>
  <c r="U114" i="14"/>
  <c r="U110" i="14"/>
  <c r="U106" i="14"/>
  <c r="U102" i="14"/>
  <c r="U98" i="14"/>
  <c r="U94" i="14"/>
  <c r="U90" i="14"/>
  <c r="U86" i="14"/>
  <c r="U82" i="14"/>
  <c r="U78" i="14"/>
  <c r="U74" i="14"/>
  <c r="U70" i="14"/>
  <c r="U66" i="14"/>
  <c r="U62" i="14"/>
  <c r="U155" i="14"/>
  <c r="U151" i="14"/>
  <c r="U147" i="14"/>
  <c r="U143" i="14"/>
  <c r="U139" i="14"/>
  <c r="U135" i="14"/>
  <c r="U131" i="14"/>
  <c r="U127" i="14"/>
  <c r="U123" i="14"/>
  <c r="U119" i="14"/>
  <c r="U115" i="14"/>
  <c r="U111" i="14"/>
  <c r="U107" i="14"/>
  <c r="U103" i="14"/>
  <c r="U99" i="14"/>
  <c r="U95" i="14"/>
  <c r="U91" i="14"/>
  <c r="U87" i="14"/>
  <c r="U83" i="14"/>
  <c r="U79" i="14"/>
  <c r="U75" i="14"/>
  <c r="U71" i="14"/>
  <c r="U67" i="14"/>
  <c r="U63" i="14"/>
  <c r="U197" i="14"/>
  <c r="U189" i="14"/>
  <c r="U181" i="14"/>
  <c r="U173" i="14"/>
  <c r="U165" i="14"/>
  <c r="U156" i="14"/>
  <c r="U152" i="14"/>
  <c r="U148" i="14"/>
  <c r="U144" i="14"/>
  <c r="U140" i="14"/>
  <c r="U136" i="14"/>
  <c r="U132" i="14"/>
  <c r="U128" i="14"/>
  <c r="U124" i="14"/>
  <c r="U120" i="14"/>
  <c r="U116" i="14"/>
  <c r="U112" i="14"/>
  <c r="U108" i="14"/>
  <c r="U104" i="14"/>
  <c r="U100" i="14"/>
  <c r="U96" i="14"/>
  <c r="U92" i="14"/>
  <c r="U88" i="14"/>
  <c r="U84" i="14"/>
  <c r="U80" i="14"/>
  <c r="U76" i="14"/>
  <c r="U72" i="14"/>
  <c r="U68" i="14"/>
  <c r="U64" i="14"/>
  <c r="W294" i="14"/>
  <c r="W290" i="14"/>
  <c r="W286" i="14"/>
  <c r="W282" i="14"/>
  <c r="W278" i="14"/>
  <c r="W274" i="14"/>
  <c r="W270" i="14"/>
  <c r="W266" i="14"/>
  <c r="W262" i="14"/>
  <c r="W258" i="14"/>
  <c r="W254" i="14"/>
  <c r="W250" i="14"/>
  <c r="W246" i="14"/>
  <c r="W242" i="14"/>
  <c r="W295" i="14"/>
  <c r="W291" i="14"/>
  <c r="W287" i="14"/>
  <c r="W283" i="14"/>
  <c r="W279" i="14"/>
  <c r="W275" i="14"/>
  <c r="W271" i="14"/>
  <c r="W267" i="14"/>
  <c r="W263" i="14"/>
  <c r="W259" i="14"/>
  <c r="W255" i="14"/>
  <c r="W251" i="14"/>
  <c r="W247" i="14"/>
  <c r="W243" i="14"/>
  <c r="W296" i="14"/>
  <c r="W292" i="14"/>
  <c r="W288" i="14"/>
  <c r="W284" i="14"/>
  <c r="W280" i="14"/>
  <c r="W276" i="14"/>
  <c r="W272" i="14"/>
  <c r="W268" i="14"/>
  <c r="W264" i="14"/>
  <c r="W260" i="14"/>
  <c r="W256" i="14"/>
  <c r="W252" i="14"/>
  <c r="W248" i="14"/>
  <c r="W244" i="14"/>
  <c r="W297" i="14"/>
  <c r="W289" i="14"/>
  <c r="W281" i="14"/>
  <c r="W273" i="14"/>
  <c r="W265" i="14"/>
  <c r="W257" i="14"/>
  <c r="W249" i="14"/>
  <c r="W239" i="14"/>
  <c r="W235" i="14"/>
  <c r="W231" i="14"/>
  <c r="W227" i="14"/>
  <c r="W223" i="14"/>
  <c r="W219" i="14"/>
  <c r="W215" i="14"/>
  <c r="W211" i="14"/>
  <c r="W207" i="14"/>
  <c r="W203" i="14"/>
  <c r="W240" i="14"/>
  <c r="W236" i="14"/>
  <c r="W232" i="14"/>
  <c r="W228" i="14"/>
  <c r="W224" i="14"/>
  <c r="W220" i="14"/>
  <c r="W216" i="14"/>
  <c r="W212" i="14"/>
  <c r="W208" i="14"/>
  <c r="W204" i="14"/>
  <c r="W293" i="14"/>
  <c r="W285" i="14"/>
  <c r="W277" i="14"/>
  <c r="W269" i="14"/>
  <c r="W261" i="14"/>
  <c r="W253" i="14"/>
  <c r="W245" i="14"/>
  <c r="W241" i="14"/>
  <c r="W237" i="14"/>
  <c r="W233" i="14"/>
  <c r="W229" i="14"/>
  <c r="W225" i="14"/>
  <c r="W221" i="14"/>
  <c r="W217" i="14"/>
  <c r="W213" i="14"/>
  <c r="W209" i="14"/>
  <c r="W205" i="14"/>
  <c r="W234" i="14"/>
  <c r="W226" i="14"/>
  <c r="W218" i="14"/>
  <c r="W210" i="14"/>
  <c r="W200" i="14"/>
  <c r="W196" i="14"/>
  <c r="W192" i="14"/>
  <c r="W188" i="14"/>
  <c r="W184" i="14"/>
  <c r="W180" i="14"/>
  <c r="W176" i="14"/>
  <c r="W172" i="14"/>
  <c r="W168" i="14"/>
  <c r="W164" i="14"/>
  <c r="W160" i="14"/>
  <c r="W201" i="14"/>
  <c r="W197" i="14"/>
  <c r="W193" i="14"/>
  <c r="W189" i="14"/>
  <c r="W185" i="14"/>
  <c r="W181" i="14"/>
  <c r="W177" i="14"/>
  <c r="W173" i="14"/>
  <c r="W169" i="14"/>
  <c r="W165" i="14"/>
  <c r="W161" i="14"/>
  <c r="W238" i="14"/>
  <c r="W230" i="14"/>
  <c r="W222" i="14"/>
  <c r="W214" i="14"/>
  <c r="W206" i="14"/>
  <c r="W198" i="14"/>
  <c r="W194" i="14"/>
  <c r="W190" i="14"/>
  <c r="W186" i="14"/>
  <c r="W182" i="14"/>
  <c r="W178" i="14"/>
  <c r="W174" i="14"/>
  <c r="W170" i="14"/>
  <c r="W166" i="14"/>
  <c r="W162" i="14"/>
  <c r="W199" i="14"/>
  <c r="W191" i="14"/>
  <c r="W183" i="14"/>
  <c r="W175" i="14"/>
  <c r="W167" i="14"/>
  <c r="W159" i="14"/>
  <c r="W156" i="14"/>
  <c r="W152" i="14"/>
  <c r="W148" i="14"/>
  <c r="W144" i="14"/>
  <c r="W140" i="14"/>
  <c r="W136" i="14"/>
  <c r="W132" i="14"/>
  <c r="W128" i="14"/>
  <c r="W124" i="14"/>
  <c r="W120" i="14"/>
  <c r="W116" i="14"/>
  <c r="W112" i="14"/>
  <c r="W108" i="14"/>
  <c r="W104" i="14"/>
  <c r="W100" i="14"/>
  <c r="W96" i="14"/>
  <c r="W92" i="14"/>
  <c r="W88" i="14"/>
  <c r="W84" i="14"/>
  <c r="W80" i="14"/>
  <c r="W76" i="14"/>
  <c r="W72" i="14"/>
  <c r="W68" i="14"/>
  <c r="W64" i="14"/>
  <c r="W202" i="14"/>
  <c r="W157" i="14"/>
  <c r="W153" i="14"/>
  <c r="W149" i="14"/>
  <c r="W145" i="14"/>
  <c r="W141" i="14"/>
  <c r="W137" i="14"/>
  <c r="W133" i="14"/>
  <c r="W129" i="14"/>
  <c r="W125" i="14"/>
  <c r="W121" i="14"/>
  <c r="W117" i="14"/>
  <c r="W113" i="14"/>
  <c r="W109" i="14"/>
  <c r="W105" i="14"/>
  <c r="W101" i="14"/>
  <c r="W97" i="14"/>
  <c r="W93" i="14"/>
  <c r="W89" i="14"/>
  <c r="W85" i="14"/>
  <c r="W81" i="14"/>
  <c r="W77" i="14"/>
  <c r="W73" i="14"/>
  <c r="W69" i="14"/>
  <c r="W65" i="14"/>
  <c r="W195" i="14"/>
  <c r="W187" i="14"/>
  <c r="W179" i="14"/>
  <c r="W171" i="14"/>
  <c r="W163" i="14"/>
  <c r="W154" i="14"/>
  <c r="W150" i="14"/>
  <c r="W146" i="14"/>
  <c r="W142" i="14"/>
  <c r="W138" i="14"/>
  <c r="W134" i="14"/>
  <c r="W130" i="14"/>
  <c r="W126" i="14"/>
  <c r="W122" i="14"/>
  <c r="W118" i="14"/>
  <c r="W114" i="14"/>
  <c r="W110" i="14"/>
  <c r="W106" i="14"/>
  <c r="W102" i="14"/>
  <c r="W98" i="14"/>
  <c r="W94" i="14"/>
  <c r="W90" i="14"/>
  <c r="W86" i="14"/>
  <c r="W82" i="14"/>
  <c r="W78" i="14"/>
  <c r="W74" i="14"/>
  <c r="W70" i="14"/>
  <c r="W66" i="14"/>
  <c r="U5" i="14"/>
  <c r="Y5" i="14"/>
  <c r="V6" i="14"/>
  <c r="Z6" i="14"/>
  <c r="W7" i="14"/>
  <c r="X8" i="14"/>
  <c r="U9" i="14"/>
  <c r="Y9" i="14"/>
  <c r="V10" i="14"/>
  <c r="Z10" i="14"/>
  <c r="W11" i="14"/>
  <c r="X12" i="14"/>
  <c r="U13" i="14"/>
  <c r="Y13" i="14"/>
  <c r="V14" i="14"/>
  <c r="Z14" i="14"/>
  <c r="W15" i="14"/>
  <c r="X16" i="14"/>
  <c r="U17" i="14"/>
  <c r="Y17" i="14"/>
  <c r="V18" i="14"/>
  <c r="Z18" i="14"/>
  <c r="W19" i="14"/>
  <c r="X20" i="14"/>
  <c r="U21" i="14"/>
  <c r="Y21" i="14"/>
  <c r="V22" i="14"/>
  <c r="Z22" i="14"/>
  <c r="W23" i="14"/>
  <c r="X24" i="14"/>
  <c r="U25" i="14"/>
  <c r="Y25" i="14"/>
  <c r="V26" i="14"/>
  <c r="Z26" i="14"/>
  <c r="W27" i="14"/>
  <c r="X28" i="14"/>
  <c r="U29" i="14"/>
  <c r="Y29" i="14"/>
  <c r="V30" i="14"/>
  <c r="Z30" i="14"/>
  <c r="W31" i="14"/>
  <c r="X32" i="14"/>
  <c r="U33" i="14"/>
  <c r="Y33" i="14"/>
  <c r="V34" i="14"/>
  <c r="Z34" i="14"/>
  <c r="W35" i="14"/>
  <c r="X36" i="14"/>
  <c r="U37" i="14"/>
  <c r="Y37" i="14"/>
  <c r="V38" i="14"/>
  <c r="Z38" i="14"/>
  <c r="W39" i="14"/>
  <c r="X40" i="14"/>
  <c r="U41" i="14"/>
  <c r="Y41" i="14"/>
  <c r="V42" i="14"/>
  <c r="Z42" i="14"/>
  <c r="W43" i="14"/>
  <c r="X44" i="14"/>
  <c r="U45" i="14"/>
  <c r="Y45" i="14"/>
  <c r="V46" i="14"/>
  <c r="Z46" i="14"/>
  <c r="W47" i="14"/>
  <c r="X48" i="14"/>
  <c r="U49" i="14"/>
  <c r="Y49" i="14"/>
  <c r="V50" i="14"/>
  <c r="Z50" i="14"/>
  <c r="W51" i="14"/>
  <c r="X52" i="14"/>
  <c r="U53" i="14"/>
  <c r="Y53" i="14"/>
  <c r="V54" i="14"/>
  <c r="Z54" i="14"/>
  <c r="W55" i="14"/>
  <c r="X56" i="14"/>
  <c r="U57" i="14"/>
  <c r="Y57" i="14"/>
  <c r="V58" i="14"/>
  <c r="Z58" i="14"/>
  <c r="W59" i="14"/>
  <c r="X60" i="14"/>
  <c r="U61" i="14"/>
  <c r="Y61" i="14"/>
  <c r="W62" i="14"/>
  <c r="Y65" i="14"/>
  <c r="V70" i="14"/>
  <c r="Y73" i="14"/>
  <c r="V78" i="14"/>
  <c r="Y81" i="14"/>
  <c r="V86" i="14"/>
  <c r="Y89" i="14"/>
  <c r="V94" i="14"/>
  <c r="Y97" i="14"/>
  <c r="V102" i="14"/>
  <c r="Y105" i="14"/>
  <c r="V110" i="14"/>
  <c r="Y113" i="14"/>
  <c r="V118" i="14"/>
  <c r="Y121" i="14"/>
  <c r="V126" i="14"/>
  <c r="Y129" i="14"/>
  <c r="V134" i="14"/>
  <c r="Y137" i="14"/>
  <c r="V142" i="14"/>
  <c r="Y145" i="14"/>
  <c r="V150" i="14"/>
  <c r="Y153" i="14"/>
  <c r="W158" i="14"/>
  <c r="Y161" i="14"/>
  <c r="V174" i="14"/>
  <c r="Y177" i="14"/>
  <c r="V190" i="14"/>
  <c r="Y193" i="14"/>
  <c r="V209" i="14"/>
  <c r="Y212" i="14"/>
  <c r="V241" i="14"/>
  <c r="V33" i="16" l="1"/>
  <c r="X33" i="16"/>
  <c r="W33" i="16"/>
  <c r="Z33" i="16"/>
  <c r="AA86" i="15"/>
  <c r="Y86" i="15"/>
  <c r="W86" i="15"/>
  <c r="X86" i="15"/>
  <c r="N9" i="1" l="1"/>
  <c r="Y3" i="1" l="1"/>
  <c r="N19" i="1" s="1"/>
  <c r="I56" i="1" l="1"/>
  <c r="H56" i="1"/>
  <c r="G56" i="1"/>
  <c r="F56" i="1"/>
  <c r="E56" i="1"/>
  <c r="D56" i="1"/>
  <c r="I38" i="1"/>
  <c r="H38" i="1"/>
  <c r="G38" i="1"/>
  <c r="F38" i="1"/>
  <c r="E38" i="1"/>
  <c r="D38" i="1"/>
  <c r="I20" i="1"/>
  <c r="H20" i="1"/>
  <c r="G20" i="1"/>
  <c r="F20" i="1"/>
  <c r="E20" i="1"/>
  <c r="D20" i="1"/>
  <c r="BJ4" i="4"/>
  <c r="BJ5" i="4"/>
  <c r="BJ6" i="4"/>
  <c r="BJ7" i="4"/>
  <c r="BJ8" i="4"/>
  <c r="BJ9" i="4"/>
  <c r="BJ10" i="4"/>
  <c r="BJ11" i="4"/>
  <c r="BJ12" i="4"/>
  <c r="BJ13" i="4"/>
  <c r="BJ14" i="4"/>
  <c r="BJ15" i="4"/>
  <c r="BJ16" i="4"/>
  <c r="BJ17" i="4"/>
  <c r="BJ18" i="4"/>
  <c r="BJ19" i="4"/>
  <c r="BJ20" i="4"/>
  <c r="BJ21" i="4"/>
  <c r="BJ22" i="4"/>
  <c r="BJ23" i="4"/>
  <c r="BJ24" i="4"/>
  <c r="BJ25" i="4"/>
  <c r="BJ26" i="4"/>
  <c r="BJ27" i="4"/>
  <c r="BJ28" i="4"/>
  <c r="BJ29" i="4"/>
  <c r="BJ30" i="4"/>
  <c r="BJ31" i="4"/>
  <c r="BJ32" i="4"/>
  <c r="BJ33" i="4"/>
  <c r="BJ34" i="4"/>
  <c r="BJ35" i="4"/>
  <c r="BJ36" i="4"/>
  <c r="BJ37" i="4"/>
  <c r="BJ38" i="4"/>
  <c r="BJ39" i="4"/>
  <c r="BJ40" i="4"/>
  <c r="BJ41" i="4"/>
  <c r="BJ42" i="4"/>
  <c r="BJ43" i="4"/>
  <c r="BJ44" i="4"/>
  <c r="BJ45" i="4"/>
  <c r="BJ46" i="4"/>
  <c r="BJ47" i="4"/>
  <c r="BJ48" i="4"/>
  <c r="BJ49" i="4"/>
  <c r="BJ50" i="4"/>
  <c r="BJ51" i="4"/>
  <c r="BJ52" i="4"/>
  <c r="BJ53" i="4"/>
  <c r="BJ54" i="4"/>
  <c r="BJ55" i="4"/>
  <c r="BJ56" i="4"/>
  <c r="BJ57" i="4"/>
  <c r="BJ58" i="4"/>
  <c r="BJ59" i="4"/>
  <c r="BJ60" i="4"/>
  <c r="BJ61" i="4"/>
  <c r="BJ62" i="4"/>
  <c r="BJ63" i="4"/>
  <c r="BJ64" i="4"/>
  <c r="BJ65" i="4"/>
  <c r="BJ66" i="4"/>
  <c r="BJ67" i="4"/>
  <c r="BJ68" i="4"/>
  <c r="BJ69" i="4"/>
  <c r="BJ70" i="4"/>
  <c r="BJ71" i="4"/>
  <c r="BJ72" i="4"/>
  <c r="BJ73" i="4"/>
  <c r="BJ74" i="4"/>
  <c r="BJ75" i="4"/>
  <c r="BJ76" i="4"/>
  <c r="BJ77" i="4"/>
  <c r="BJ78" i="4"/>
  <c r="BJ79" i="4"/>
  <c r="BJ80" i="4"/>
  <c r="BJ81" i="4"/>
  <c r="BJ82" i="4"/>
  <c r="BJ83" i="4"/>
  <c r="BJ84" i="4"/>
  <c r="BJ85" i="4"/>
  <c r="BJ86" i="4"/>
  <c r="BJ87" i="4"/>
  <c r="BJ88" i="4"/>
  <c r="BJ89" i="4"/>
  <c r="BJ90" i="4"/>
  <c r="BJ91" i="4"/>
  <c r="BJ92" i="4"/>
  <c r="BJ93" i="4"/>
  <c r="BJ94" i="4"/>
  <c r="BJ95" i="4"/>
  <c r="BJ96" i="4"/>
  <c r="BJ97" i="4"/>
  <c r="BJ98" i="4"/>
  <c r="BJ99" i="4"/>
  <c r="BJ100" i="4"/>
  <c r="BJ101" i="4"/>
  <c r="BJ102" i="4"/>
  <c r="BJ103" i="4"/>
  <c r="BJ104" i="4"/>
  <c r="BJ105" i="4"/>
  <c r="BJ106" i="4"/>
  <c r="BJ107" i="4"/>
  <c r="BJ108" i="4"/>
  <c r="BJ109" i="4"/>
  <c r="BJ110" i="4"/>
  <c r="BJ111" i="4"/>
  <c r="BJ112" i="4"/>
  <c r="BJ113" i="4"/>
  <c r="BJ114" i="4"/>
  <c r="BJ115" i="4"/>
  <c r="BJ116" i="4"/>
  <c r="BJ117" i="4"/>
  <c r="BJ118" i="4"/>
  <c r="BJ119" i="4"/>
  <c r="BJ120" i="4"/>
  <c r="BJ121" i="4"/>
  <c r="BJ122" i="4"/>
  <c r="BJ123" i="4"/>
  <c r="BJ124" i="4"/>
  <c r="BJ125" i="4"/>
  <c r="BJ126" i="4"/>
  <c r="BJ127" i="4"/>
  <c r="BJ128" i="4"/>
  <c r="BJ129" i="4"/>
  <c r="BJ130" i="4"/>
  <c r="BJ131" i="4"/>
  <c r="BJ132" i="4"/>
  <c r="BJ133" i="4"/>
  <c r="BJ134" i="4"/>
  <c r="BJ135" i="4"/>
  <c r="BJ136" i="4"/>
  <c r="BJ137" i="4"/>
  <c r="BJ138" i="4"/>
  <c r="BJ139" i="4"/>
  <c r="BJ140" i="4"/>
  <c r="BJ141" i="4"/>
  <c r="BJ142" i="4"/>
  <c r="BJ143" i="4"/>
  <c r="BJ144" i="4"/>
  <c r="BJ145" i="4"/>
  <c r="BJ146" i="4"/>
  <c r="BJ147" i="4"/>
  <c r="BJ148" i="4"/>
  <c r="BJ149" i="4"/>
  <c r="BJ150" i="4"/>
  <c r="BJ151" i="4"/>
  <c r="BJ152" i="4"/>
  <c r="BJ153" i="4"/>
  <c r="BJ154" i="4"/>
  <c r="BJ155" i="4"/>
  <c r="BJ156" i="4"/>
  <c r="BJ157" i="4"/>
  <c r="BJ158" i="4"/>
  <c r="BJ159" i="4"/>
  <c r="BJ160" i="4"/>
  <c r="BJ161" i="4"/>
  <c r="BJ162" i="4"/>
  <c r="BJ163" i="4"/>
  <c r="BJ164" i="4"/>
  <c r="BJ165" i="4"/>
  <c r="BJ166" i="4"/>
  <c r="BJ167" i="4"/>
  <c r="BJ168" i="4"/>
  <c r="BJ169" i="4"/>
  <c r="BJ170" i="4"/>
  <c r="BJ171" i="4"/>
  <c r="BJ172" i="4"/>
  <c r="BJ173" i="4"/>
  <c r="BJ174" i="4"/>
  <c r="BJ175" i="4"/>
  <c r="BJ176" i="4"/>
  <c r="BJ177" i="4"/>
  <c r="BJ178" i="4"/>
  <c r="BJ179" i="4"/>
  <c r="BJ180" i="4"/>
  <c r="BJ181" i="4"/>
  <c r="BJ182" i="4"/>
  <c r="BJ183" i="4"/>
  <c r="BJ184" i="4"/>
  <c r="BJ185" i="4"/>
  <c r="BJ186" i="4"/>
  <c r="BJ187" i="4"/>
  <c r="BJ188" i="4"/>
  <c r="BJ189" i="4"/>
  <c r="BJ190" i="4"/>
  <c r="BJ191" i="4"/>
  <c r="BJ192" i="4"/>
  <c r="BJ193" i="4"/>
  <c r="BJ194" i="4"/>
  <c r="BJ195" i="4"/>
  <c r="BJ196" i="4"/>
  <c r="BJ197" i="4"/>
  <c r="BJ198" i="4"/>
  <c r="BJ199" i="4"/>
  <c r="BJ200" i="4"/>
  <c r="BJ201" i="4"/>
  <c r="BJ202" i="4"/>
  <c r="BJ203" i="4"/>
  <c r="BJ204" i="4"/>
  <c r="BJ205" i="4"/>
  <c r="BJ206" i="4"/>
  <c r="BJ207" i="4"/>
  <c r="BJ208" i="4"/>
  <c r="BJ209" i="4"/>
  <c r="BJ210" i="4"/>
  <c r="BJ211" i="4"/>
  <c r="BJ212" i="4"/>
  <c r="BJ213" i="4"/>
  <c r="BJ214" i="4"/>
  <c r="BJ215" i="4"/>
  <c r="BJ216" i="4"/>
  <c r="BJ217" i="4"/>
  <c r="BJ218" i="4"/>
  <c r="BJ219" i="4"/>
  <c r="BJ220" i="4"/>
  <c r="BJ221" i="4"/>
  <c r="BJ222" i="4"/>
  <c r="BJ223" i="4"/>
  <c r="BJ224" i="4"/>
  <c r="BJ225" i="4"/>
  <c r="BJ226" i="4"/>
  <c r="BJ227" i="4"/>
  <c r="BJ228" i="4"/>
  <c r="BJ229" i="4"/>
  <c r="BJ230" i="4"/>
  <c r="BJ231" i="4"/>
  <c r="BJ232" i="4"/>
  <c r="BJ233" i="4"/>
  <c r="BJ234" i="4"/>
  <c r="BJ235" i="4"/>
  <c r="BJ236" i="4"/>
  <c r="BJ237" i="4"/>
  <c r="BJ238" i="4"/>
  <c r="BJ239" i="4"/>
  <c r="BJ240" i="4"/>
  <c r="BJ241" i="4"/>
  <c r="BJ242" i="4"/>
  <c r="BJ243" i="4"/>
  <c r="BJ244" i="4"/>
  <c r="BJ245" i="4"/>
  <c r="BJ246" i="4"/>
  <c r="BJ247" i="4"/>
  <c r="BJ248" i="4"/>
  <c r="BJ249" i="4"/>
  <c r="BJ250" i="4"/>
  <c r="BJ251" i="4"/>
  <c r="BJ252" i="4"/>
  <c r="BJ253" i="4"/>
  <c r="BJ254" i="4"/>
  <c r="BJ255" i="4"/>
  <c r="BJ256" i="4"/>
  <c r="BJ257" i="4"/>
  <c r="BJ258" i="4"/>
  <c r="BJ259" i="4"/>
  <c r="BJ260" i="4"/>
  <c r="BJ261" i="4"/>
  <c r="BJ262" i="4"/>
  <c r="BJ263" i="4"/>
  <c r="BJ264" i="4"/>
  <c r="BJ265" i="4"/>
  <c r="BJ266" i="4"/>
  <c r="BJ267" i="4"/>
  <c r="BJ268" i="4"/>
  <c r="BJ269" i="4"/>
  <c r="BJ270" i="4"/>
  <c r="BJ271" i="4"/>
  <c r="BJ272" i="4"/>
  <c r="BJ273" i="4"/>
  <c r="BJ274" i="4"/>
  <c r="BJ275" i="4"/>
  <c r="BJ276" i="4"/>
  <c r="BJ277" i="4"/>
  <c r="BJ278" i="4"/>
  <c r="BJ279" i="4"/>
  <c r="BJ280" i="4"/>
  <c r="BJ281" i="4"/>
  <c r="BJ282" i="4"/>
  <c r="BJ283" i="4"/>
  <c r="BJ284" i="4"/>
  <c r="BJ285" i="4"/>
  <c r="BJ286" i="4"/>
  <c r="BJ287" i="4"/>
  <c r="BJ288" i="4"/>
  <c r="BJ289" i="4"/>
  <c r="BJ290" i="4"/>
  <c r="BJ291" i="4"/>
  <c r="BJ292" i="4"/>
  <c r="BJ293" i="4"/>
  <c r="BJ294" i="4"/>
  <c r="BJ295" i="4"/>
  <c r="BJ3" i="4"/>
  <c r="BG4" i="4"/>
  <c r="BG5" i="4"/>
  <c r="BG6" i="4"/>
  <c r="BG7" i="4"/>
  <c r="BG8" i="4"/>
  <c r="BG9" i="4"/>
  <c r="BG10" i="4"/>
  <c r="BG11" i="4"/>
  <c r="BG12" i="4"/>
  <c r="BG13" i="4"/>
  <c r="BG14" i="4"/>
  <c r="BG15" i="4"/>
  <c r="BG16" i="4"/>
  <c r="BG17" i="4"/>
  <c r="BG18" i="4"/>
  <c r="BG19" i="4"/>
  <c r="BG20" i="4"/>
  <c r="BG21" i="4"/>
  <c r="BG22" i="4"/>
  <c r="BG23" i="4"/>
  <c r="BG24" i="4"/>
  <c r="BG25" i="4"/>
  <c r="BG26" i="4"/>
  <c r="BG27" i="4"/>
  <c r="BG28" i="4"/>
  <c r="BG29" i="4"/>
  <c r="BG30" i="4"/>
  <c r="BG31" i="4"/>
  <c r="BG32" i="4"/>
  <c r="BG33" i="4"/>
  <c r="BG34" i="4"/>
  <c r="BG35" i="4"/>
  <c r="BG36" i="4"/>
  <c r="BG37" i="4"/>
  <c r="BG38" i="4"/>
  <c r="BG39" i="4"/>
  <c r="BG40" i="4"/>
  <c r="BG41" i="4"/>
  <c r="BG42" i="4"/>
  <c r="BG43" i="4"/>
  <c r="BG44" i="4"/>
  <c r="BG45" i="4"/>
  <c r="BG46" i="4"/>
  <c r="BG47" i="4"/>
  <c r="BG48" i="4"/>
  <c r="BG49" i="4"/>
  <c r="BG50" i="4"/>
  <c r="BG51" i="4"/>
  <c r="BG52" i="4"/>
  <c r="BG53" i="4"/>
  <c r="BG54" i="4"/>
  <c r="BG55" i="4"/>
  <c r="BG56" i="4"/>
  <c r="BG57" i="4"/>
  <c r="BG58" i="4"/>
  <c r="BG59" i="4"/>
  <c r="BG60" i="4"/>
  <c r="BG61" i="4"/>
  <c r="BG62" i="4"/>
  <c r="BG63" i="4"/>
  <c r="BG64" i="4"/>
  <c r="BG65" i="4"/>
  <c r="BG66" i="4"/>
  <c r="BG67" i="4"/>
  <c r="BG68" i="4"/>
  <c r="BG69" i="4"/>
  <c r="BG70" i="4"/>
  <c r="BG71" i="4"/>
  <c r="BG72" i="4"/>
  <c r="BG73" i="4"/>
  <c r="BG74" i="4"/>
  <c r="BG75" i="4"/>
  <c r="BG76" i="4"/>
  <c r="BG77" i="4"/>
  <c r="BG78" i="4"/>
  <c r="BG79" i="4"/>
  <c r="BG80" i="4"/>
  <c r="BG81" i="4"/>
  <c r="BG82" i="4"/>
  <c r="BG83" i="4"/>
  <c r="BG84" i="4"/>
  <c r="BG85" i="4"/>
  <c r="BG86" i="4"/>
  <c r="BG87" i="4"/>
  <c r="BG88" i="4"/>
  <c r="BG89" i="4"/>
  <c r="BG90" i="4"/>
  <c r="BG91" i="4"/>
  <c r="BG92" i="4"/>
  <c r="BG93" i="4"/>
  <c r="BG94" i="4"/>
  <c r="BG95" i="4"/>
  <c r="BG96" i="4"/>
  <c r="BG97" i="4"/>
  <c r="BG98" i="4"/>
  <c r="BG99" i="4"/>
  <c r="BG100" i="4"/>
  <c r="BG101" i="4"/>
  <c r="BG102" i="4"/>
  <c r="BG103" i="4"/>
  <c r="BG104" i="4"/>
  <c r="BG105" i="4"/>
  <c r="BG106" i="4"/>
  <c r="BG107" i="4"/>
  <c r="BG108" i="4"/>
  <c r="BG109" i="4"/>
  <c r="BG110" i="4"/>
  <c r="BG111" i="4"/>
  <c r="BG112" i="4"/>
  <c r="BG113" i="4"/>
  <c r="BG114" i="4"/>
  <c r="BG115" i="4"/>
  <c r="BG116" i="4"/>
  <c r="BG117" i="4"/>
  <c r="BG118" i="4"/>
  <c r="BG119" i="4"/>
  <c r="BG120" i="4"/>
  <c r="BG121" i="4"/>
  <c r="BG122" i="4"/>
  <c r="BG123" i="4"/>
  <c r="BG124" i="4"/>
  <c r="BG125" i="4"/>
  <c r="BG126" i="4"/>
  <c r="BG127" i="4"/>
  <c r="BG128" i="4"/>
  <c r="BG129" i="4"/>
  <c r="BG130" i="4"/>
  <c r="BG131" i="4"/>
  <c r="BG132" i="4"/>
  <c r="BG133" i="4"/>
  <c r="BG134" i="4"/>
  <c r="BG135" i="4"/>
  <c r="BG136" i="4"/>
  <c r="BG137" i="4"/>
  <c r="BG138" i="4"/>
  <c r="BG139" i="4"/>
  <c r="BG140" i="4"/>
  <c r="BG141" i="4"/>
  <c r="BG142" i="4"/>
  <c r="BG143" i="4"/>
  <c r="BG144" i="4"/>
  <c r="BG145" i="4"/>
  <c r="BG146" i="4"/>
  <c r="BG147" i="4"/>
  <c r="BG148" i="4"/>
  <c r="BG149" i="4"/>
  <c r="BG150" i="4"/>
  <c r="BG151" i="4"/>
  <c r="BG152" i="4"/>
  <c r="BG153" i="4"/>
  <c r="BG154" i="4"/>
  <c r="BG155" i="4"/>
  <c r="BG156" i="4"/>
  <c r="BG157" i="4"/>
  <c r="BG158" i="4"/>
  <c r="BG159" i="4"/>
  <c r="BG160" i="4"/>
  <c r="BG161" i="4"/>
  <c r="BG162" i="4"/>
  <c r="BG163" i="4"/>
  <c r="BG164" i="4"/>
  <c r="BG165" i="4"/>
  <c r="BG166" i="4"/>
  <c r="BG167" i="4"/>
  <c r="BG168" i="4"/>
  <c r="BG169" i="4"/>
  <c r="BG170" i="4"/>
  <c r="BG171" i="4"/>
  <c r="BG172" i="4"/>
  <c r="BG173" i="4"/>
  <c r="BG174" i="4"/>
  <c r="BG175" i="4"/>
  <c r="BG176" i="4"/>
  <c r="BG177" i="4"/>
  <c r="BG178" i="4"/>
  <c r="BG179" i="4"/>
  <c r="BG180" i="4"/>
  <c r="BG181" i="4"/>
  <c r="BG182" i="4"/>
  <c r="BG183" i="4"/>
  <c r="BG184" i="4"/>
  <c r="BG185" i="4"/>
  <c r="BG186" i="4"/>
  <c r="BG187" i="4"/>
  <c r="BG188" i="4"/>
  <c r="BG189" i="4"/>
  <c r="BG190" i="4"/>
  <c r="BG191" i="4"/>
  <c r="BG192" i="4"/>
  <c r="BG193" i="4"/>
  <c r="BG194" i="4"/>
  <c r="BG195" i="4"/>
  <c r="BG196" i="4"/>
  <c r="BG197" i="4"/>
  <c r="BG198" i="4"/>
  <c r="BG199" i="4"/>
  <c r="BG200" i="4"/>
  <c r="BG201" i="4"/>
  <c r="BG202" i="4"/>
  <c r="BG203" i="4"/>
  <c r="BG204" i="4"/>
  <c r="BG205" i="4"/>
  <c r="BG206" i="4"/>
  <c r="BG207" i="4"/>
  <c r="BG208" i="4"/>
  <c r="BG209" i="4"/>
  <c r="BG210" i="4"/>
  <c r="BG211" i="4"/>
  <c r="BG212" i="4"/>
  <c r="BG213" i="4"/>
  <c r="BG214" i="4"/>
  <c r="BG215" i="4"/>
  <c r="BG216" i="4"/>
  <c r="BG217" i="4"/>
  <c r="BG218" i="4"/>
  <c r="BG219" i="4"/>
  <c r="BG220" i="4"/>
  <c r="BG221" i="4"/>
  <c r="BG222" i="4"/>
  <c r="BG223" i="4"/>
  <c r="BG224" i="4"/>
  <c r="BG225" i="4"/>
  <c r="BG226" i="4"/>
  <c r="BG227" i="4"/>
  <c r="BG228" i="4"/>
  <c r="BG229" i="4"/>
  <c r="BG230" i="4"/>
  <c r="BG231" i="4"/>
  <c r="BG232" i="4"/>
  <c r="BG233" i="4"/>
  <c r="BG234" i="4"/>
  <c r="BG235" i="4"/>
  <c r="BG236" i="4"/>
  <c r="BG237" i="4"/>
  <c r="BG238" i="4"/>
  <c r="BG239" i="4"/>
  <c r="BG240" i="4"/>
  <c r="BG241" i="4"/>
  <c r="BG242" i="4"/>
  <c r="BG243" i="4"/>
  <c r="BG244" i="4"/>
  <c r="BG245" i="4"/>
  <c r="BG246" i="4"/>
  <c r="BG247" i="4"/>
  <c r="BG248" i="4"/>
  <c r="BG249" i="4"/>
  <c r="BG250" i="4"/>
  <c r="BG251" i="4"/>
  <c r="BG252" i="4"/>
  <c r="BG253" i="4"/>
  <c r="BG254" i="4"/>
  <c r="BG255" i="4"/>
  <c r="BG256" i="4"/>
  <c r="BG257" i="4"/>
  <c r="BG258" i="4"/>
  <c r="BG259" i="4"/>
  <c r="BG260" i="4"/>
  <c r="BG261" i="4"/>
  <c r="BG262" i="4"/>
  <c r="BG263" i="4"/>
  <c r="BG264" i="4"/>
  <c r="BG265" i="4"/>
  <c r="BG266" i="4"/>
  <c r="BG267" i="4"/>
  <c r="BG268" i="4"/>
  <c r="BG269" i="4"/>
  <c r="BG270" i="4"/>
  <c r="BG271" i="4"/>
  <c r="BG272" i="4"/>
  <c r="BG273" i="4"/>
  <c r="BG274" i="4"/>
  <c r="BG275" i="4"/>
  <c r="BG276" i="4"/>
  <c r="BG277" i="4"/>
  <c r="BG278" i="4"/>
  <c r="BG279" i="4"/>
  <c r="BG280" i="4"/>
  <c r="BG281" i="4"/>
  <c r="BG282" i="4"/>
  <c r="BG283" i="4"/>
  <c r="BG284" i="4"/>
  <c r="BG285" i="4"/>
  <c r="BG286" i="4"/>
  <c r="BG287" i="4"/>
  <c r="BG288" i="4"/>
  <c r="BG289" i="4"/>
  <c r="BG290" i="4"/>
  <c r="BG291" i="4"/>
  <c r="BG292" i="4"/>
  <c r="BG293" i="4"/>
  <c r="BG294" i="4"/>
  <c r="BG295" i="4"/>
  <c r="BG3" i="4"/>
  <c r="BD4" i="4"/>
  <c r="BD5" i="4"/>
  <c r="BD6" i="4"/>
  <c r="BD7" i="4"/>
  <c r="BD8" i="4"/>
  <c r="BD9" i="4"/>
  <c r="BD10" i="4"/>
  <c r="BD11" i="4"/>
  <c r="BD12" i="4"/>
  <c r="BD13" i="4"/>
  <c r="BD14" i="4"/>
  <c r="BD15" i="4"/>
  <c r="BD16" i="4"/>
  <c r="BD17" i="4"/>
  <c r="BD18" i="4"/>
  <c r="BD19" i="4"/>
  <c r="BD20" i="4"/>
  <c r="BD21" i="4"/>
  <c r="BD22" i="4"/>
  <c r="BD23" i="4"/>
  <c r="BD24" i="4"/>
  <c r="BD25" i="4"/>
  <c r="BD26" i="4"/>
  <c r="BD27" i="4"/>
  <c r="BD28" i="4"/>
  <c r="BD29" i="4"/>
  <c r="BD30" i="4"/>
  <c r="BD31" i="4"/>
  <c r="BD32" i="4"/>
  <c r="BD33" i="4"/>
  <c r="BD34" i="4"/>
  <c r="BD35" i="4"/>
  <c r="BD36" i="4"/>
  <c r="BD37" i="4"/>
  <c r="BD38" i="4"/>
  <c r="BD39" i="4"/>
  <c r="BD40" i="4"/>
  <c r="BD41" i="4"/>
  <c r="BD42" i="4"/>
  <c r="BD43" i="4"/>
  <c r="BD44" i="4"/>
  <c r="BD45" i="4"/>
  <c r="BD46" i="4"/>
  <c r="BD47" i="4"/>
  <c r="BD48" i="4"/>
  <c r="BD49" i="4"/>
  <c r="BD50" i="4"/>
  <c r="BD51" i="4"/>
  <c r="BD52" i="4"/>
  <c r="BD53" i="4"/>
  <c r="BD54" i="4"/>
  <c r="BD55" i="4"/>
  <c r="BD56" i="4"/>
  <c r="BD57" i="4"/>
  <c r="BD58" i="4"/>
  <c r="BD59" i="4"/>
  <c r="BD60" i="4"/>
  <c r="BD61" i="4"/>
  <c r="BD62" i="4"/>
  <c r="BD63" i="4"/>
  <c r="BD64" i="4"/>
  <c r="BD65" i="4"/>
  <c r="BD66" i="4"/>
  <c r="BD67" i="4"/>
  <c r="BD68" i="4"/>
  <c r="BD69" i="4"/>
  <c r="BD70" i="4"/>
  <c r="BD71" i="4"/>
  <c r="BD72" i="4"/>
  <c r="BD73" i="4"/>
  <c r="BD74" i="4"/>
  <c r="BD75" i="4"/>
  <c r="BD76" i="4"/>
  <c r="BD77" i="4"/>
  <c r="BD78" i="4"/>
  <c r="BD79" i="4"/>
  <c r="BD80" i="4"/>
  <c r="BD81" i="4"/>
  <c r="BD82" i="4"/>
  <c r="BD83" i="4"/>
  <c r="BD84" i="4"/>
  <c r="BD85" i="4"/>
  <c r="BD86" i="4"/>
  <c r="BD87" i="4"/>
  <c r="BD88" i="4"/>
  <c r="BD89" i="4"/>
  <c r="BD90" i="4"/>
  <c r="BD91" i="4"/>
  <c r="BD92" i="4"/>
  <c r="BD93" i="4"/>
  <c r="BD94" i="4"/>
  <c r="BD95" i="4"/>
  <c r="BD96" i="4"/>
  <c r="BD97" i="4"/>
  <c r="BD98" i="4"/>
  <c r="BD99" i="4"/>
  <c r="BD100" i="4"/>
  <c r="BD101" i="4"/>
  <c r="BD102" i="4"/>
  <c r="BD103" i="4"/>
  <c r="BD104" i="4"/>
  <c r="BD105" i="4"/>
  <c r="BD106" i="4"/>
  <c r="BD107" i="4"/>
  <c r="BD108" i="4"/>
  <c r="BD109" i="4"/>
  <c r="BD110" i="4"/>
  <c r="BD111" i="4"/>
  <c r="BD112" i="4"/>
  <c r="BD113" i="4"/>
  <c r="BD114" i="4"/>
  <c r="BD115" i="4"/>
  <c r="BD116" i="4"/>
  <c r="BD117" i="4"/>
  <c r="BD118" i="4"/>
  <c r="BD119" i="4"/>
  <c r="BD120" i="4"/>
  <c r="BD121" i="4"/>
  <c r="BD122" i="4"/>
  <c r="BD123" i="4"/>
  <c r="BD124" i="4"/>
  <c r="BD125" i="4"/>
  <c r="BD126" i="4"/>
  <c r="BD127" i="4"/>
  <c r="BD128" i="4"/>
  <c r="BD129" i="4"/>
  <c r="BD130" i="4"/>
  <c r="BD131" i="4"/>
  <c r="BD132" i="4"/>
  <c r="BD133" i="4"/>
  <c r="BD134" i="4"/>
  <c r="BD135" i="4"/>
  <c r="BD136" i="4"/>
  <c r="BD137" i="4"/>
  <c r="BD138" i="4"/>
  <c r="BD139" i="4"/>
  <c r="BD140" i="4"/>
  <c r="BD141" i="4"/>
  <c r="BD142" i="4"/>
  <c r="BD143" i="4"/>
  <c r="BD144" i="4"/>
  <c r="BD145" i="4"/>
  <c r="BD146" i="4"/>
  <c r="BD147" i="4"/>
  <c r="BD148" i="4"/>
  <c r="BD149" i="4"/>
  <c r="BD150" i="4"/>
  <c r="BD151" i="4"/>
  <c r="BD152" i="4"/>
  <c r="BD153" i="4"/>
  <c r="BD154" i="4"/>
  <c r="BD155" i="4"/>
  <c r="BD156" i="4"/>
  <c r="BD157" i="4"/>
  <c r="BD158" i="4"/>
  <c r="BD159" i="4"/>
  <c r="BD160" i="4"/>
  <c r="BD161" i="4"/>
  <c r="BD162" i="4"/>
  <c r="BD163" i="4"/>
  <c r="BD164" i="4"/>
  <c r="BD165" i="4"/>
  <c r="BD166" i="4"/>
  <c r="BD167" i="4"/>
  <c r="BD168" i="4"/>
  <c r="BD169" i="4"/>
  <c r="BD170" i="4"/>
  <c r="BD171" i="4"/>
  <c r="BD172" i="4"/>
  <c r="BD173" i="4"/>
  <c r="BD174" i="4"/>
  <c r="BD175" i="4"/>
  <c r="BD176" i="4"/>
  <c r="BD177" i="4"/>
  <c r="BD178" i="4"/>
  <c r="BD179" i="4"/>
  <c r="BD180" i="4"/>
  <c r="BD181" i="4"/>
  <c r="BD182" i="4"/>
  <c r="BD183" i="4"/>
  <c r="BD184" i="4"/>
  <c r="BD185" i="4"/>
  <c r="BD186" i="4"/>
  <c r="BD187" i="4"/>
  <c r="BD188" i="4"/>
  <c r="BD189" i="4"/>
  <c r="BD190" i="4"/>
  <c r="BD191" i="4"/>
  <c r="BD192" i="4"/>
  <c r="BD193" i="4"/>
  <c r="BD194" i="4"/>
  <c r="BD195" i="4"/>
  <c r="BD196" i="4"/>
  <c r="BD197" i="4"/>
  <c r="BD198" i="4"/>
  <c r="BD199" i="4"/>
  <c r="BD200" i="4"/>
  <c r="BD201" i="4"/>
  <c r="BD202" i="4"/>
  <c r="BD203" i="4"/>
  <c r="BD204" i="4"/>
  <c r="BD205" i="4"/>
  <c r="BD206" i="4"/>
  <c r="BD207" i="4"/>
  <c r="BD208" i="4"/>
  <c r="BD209" i="4"/>
  <c r="BD210" i="4"/>
  <c r="BD211" i="4"/>
  <c r="BD212" i="4"/>
  <c r="BD213" i="4"/>
  <c r="BD214" i="4"/>
  <c r="BD215" i="4"/>
  <c r="BD216" i="4"/>
  <c r="BD217" i="4"/>
  <c r="BD218" i="4"/>
  <c r="BD219" i="4"/>
  <c r="BD220" i="4"/>
  <c r="BD221" i="4"/>
  <c r="BD222" i="4"/>
  <c r="BD223" i="4"/>
  <c r="BD224" i="4"/>
  <c r="BD225" i="4"/>
  <c r="BD226" i="4"/>
  <c r="BD227" i="4"/>
  <c r="BD228" i="4"/>
  <c r="BD229" i="4"/>
  <c r="BD230" i="4"/>
  <c r="BD231" i="4"/>
  <c r="BD232" i="4"/>
  <c r="BD233" i="4"/>
  <c r="BD234" i="4"/>
  <c r="BD235" i="4"/>
  <c r="BD236" i="4"/>
  <c r="BD237" i="4"/>
  <c r="BD238" i="4"/>
  <c r="BD239" i="4"/>
  <c r="BD240" i="4"/>
  <c r="BD241" i="4"/>
  <c r="BD242" i="4"/>
  <c r="BD243" i="4"/>
  <c r="BD244" i="4"/>
  <c r="BD245" i="4"/>
  <c r="BD246" i="4"/>
  <c r="BD247" i="4"/>
  <c r="BD248" i="4"/>
  <c r="BD249" i="4"/>
  <c r="BD250" i="4"/>
  <c r="BD251" i="4"/>
  <c r="BD252" i="4"/>
  <c r="BD253" i="4"/>
  <c r="BD254" i="4"/>
  <c r="BD255" i="4"/>
  <c r="BD256" i="4"/>
  <c r="BD257" i="4"/>
  <c r="BD258" i="4"/>
  <c r="BD259" i="4"/>
  <c r="BD260" i="4"/>
  <c r="BD261" i="4"/>
  <c r="BD262" i="4"/>
  <c r="BD263" i="4"/>
  <c r="BD264" i="4"/>
  <c r="BD265" i="4"/>
  <c r="BD266" i="4"/>
  <c r="BD267" i="4"/>
  <c r="BD268" i="4"/>
  <c r="BD269" i="4"/>
  <c r="BD270" i="4"/>
  <c r="BD271" i="4"/>
  <c r="BD272" i="4"/>
  <c r="BD273" i="4"/>
  <c r="BD274" i="4"/>
  <c r="BD275" i="4"/>
  <c r="BD276" i="4"/>
  <c r="BD277" i="4"/>
  <c r="BD278" i="4"/>
  <c r="BD279" i="4"/>
  <c r="BD280" i="4"/>
  <c r="BD281" i="4"/>
  <c r="BD282" i="4"/>
  <c r="BD283" i="4"/>
  <c r="BD284" i="4"/>
  <c r="BD285" i="4"/>
  <c r="BD286" i="4"/>
  <c r="BD287" i="4"/>
  <c r="BD288" i="4"/>
  <c r="BD289" i="4"/>
  <c r="BD290" i="4"/>
  <c r="BD291" i="4"/>
  <c r="BD292" i="4"/>
  <c r="BD293" i="4"/>
  <c r="BD294" i="4"/>
  <c r="BD295" i="4"/>
  <c r="BD3" i="4"/>
  <c r="BA4" i="4"/>
  <c r="BA5" i="4"/>
  <c r="BA6" i="4"/>
  <c r="BA7" i="4"/>
  <c r="BA8" i="4"/>
  <c r="BA9" i="4"/>
  <c r="BA10" i="4"/>
  <c r="BA11" i="4"/>
  <c r="BA12" i="4"/>
  <c r="BA13" i="4"/>
  <c r="BA14" i="4"/>
  <c r="BA15" i="4"/>
  <c r="BA16" i="4"/>
  <c r="BA17" i="4"/>
  <c r="BA18" i="4"/>
  <c r="BA19" i="4"/>
  <c r="BA20" i="4"/>
  <c r="BA21" i="4"/>
  <c r="BA22" i="4"/>
  <c r="BA23" i="4"/>
  <c r="BA24" i="4"/>
  <c r="BA25" i="4"/>
  <c r="BA26" i="4"/>
  <c r="BA27" i="4"/>
  <c r="BA28" i="4"/>
  <c r="BA29" i="4"/>
  <c r="BA30" i="4"/>
  <c r="BA31" i="4"/>
  <c r="BA32" i="4"/>
  <c r="BA33" i="4"/>
  <c r="BA34" i="4"/>
  <c r="BA35" i="4"/>
  <c r="BA36" i="4"/>
  <c r="BA37" i="4"/>
  <c r="BA38" i="4"/>
  <c r="BA39" i="4"/>
  <c r="BA40" i="4"/>
  <c r="BA41" i="4"/>
  <c r="BA42" i="4"/>
  <c r="BA43" i="4"/>
  <c r="BA44" i="4"/>
  <c r="BA45" i="4"/>
  <c r="BA46" i="4"/>
  <c r="BA47" i="4"/>
  <c r="BA48" i="4"/>
  <c r="BA49" i="4"/>
  <c r="BA50" i="4"/>
  <c r="BA51" i="4"/>
  <c r="BA52" i="4"/>
  <c r="BA53" i="4"/>
  <c r="BA54" i="4"/>
  <c r="BA55" i="4"/>
  <c r="BA56" i="4"/>
  <c r="BA57" i="4"/>
  <c r="BA58" i="4"/>
  <c r="BA59" i="4"/>
  <c r="BA60" i="4"/>
  <c r="BA61" i="4"/>
  <c r="BA62" i="4"/>
  <c r="BA63" i="4"/>
  <c r="BA64" i="4"/>
  <c r="BA65" i="4"/>
  <c r="BA66" i="4"/>
  <c r="BA67" i="4"/>
  <c r="BA68" i="4"/>
  <c r="BA69" i="4"/>
  <c r="BA70" i="4"/>
  <c r="BA71" i="4"/>
  <c r="BA72" i="4"/>
  <c r="BA73" i="4"/>
  <c r="BA74" i="4"/>
  <c r="BA75" i="4"/>
  <c r="BA76" i="4"/>
  <c r="BA77" i="4"/>
  <c r="BA78" i="4"/>
  <c r="BA79" i="4"/>
  <c r="BA80" i="4"/>
  <c r="BA81" i="4"/>
  <c r="BA82" i="4"/>
  <c r="BA83" i="4"/>
  <c r="BA84" i="4"/>
  <c r="BA85" i="4"/>
  <c r="BA86" i="4"/>
  <c r="BA87" i="4"/>
  <c r="BA88" i="4"/>
  <c r="BA89" i="4"/>
  <c r="BA90" i="4"/>
  <c r="BA91" i="4"/>
  <c r="BA92" i="4"/>
  <c r="BA93" i="4"/>
  <c r="BA94" i="4"/>
  <c r="BA95" i="4"/>
  <c r="BA96" i="4"/>
  <c r="BA97" i="4"/>
  <c r="BA98" i="4"/>
  <c r="BA99" i="4"/>
  <c r="BA100" i="4"/>
  <c r="BA101" i="4"/>
  <c r="BA102" i="4"/>
  <c r="BA103" i="4"/>
  <c r="BA104" i="4"/>
  <c r="BA105" i="4"/>
  <c r="BA106" i="4"/>
  <c r="BA107" i="4"/>
  <c r="BA108" i="4"/>
  <c r="BA109" i="4"/>
  <c r="BA110" i="4"/>
  <c r="BA111" i="4"/>
  <c r="BA112" i="4"/>
  <c r="BA113" i="4"/>
  <c r="BA114" i="4"/>
  <c r="BA115" i="4"/>
  <c r="BA116" i="4"/>
  <c r="BA117" i="4"/>
  <c r="BA118" i="4"/>
  <c r="BA119" i="4"/>
  <c r="BA120" i="4"/>
  <c r="BA121" i="4"/>
  <c r="BA122" i="4"/>
  <c r="BA123" i="4"/>
  <c r="BA124" i="4"/>
  <c r="BA125" i="4"/>
  <c r="BA126" i="4"/>
  <c r="BA127" i="4"/>
  <c r="BA128" i="4"/>
  <c r="BA129" i="4"/>
  <c r="BA130" i="4"/>
  <c r="BA131" i="4"/>
  <c r="BA132" i="4"/>
  <c r="BA133" i="4"/>
  <c r="BA134" i="4"/>
  <c r="BA135" i="4"/>
  <c r="BA136" i="4"/>
  <c r="BA137" i="4"/>
  <c r="BA138" i="4"/>
  <c r="BA139" i="4"/>
  <c r="BA140" i="4"/>
  <c r="BA141" i="4"/>
  <c r="BA142" i="4"/>
  <c r="BA143" i="4"/>
  <c r="BA144" i="4"/>
  <c r="BA145" i="4"/>
  <c r="BA146" i="4"/>
  <c r="BA147" i="4"/>
  <c r="BA148" i="4"/>
  <c r="BA149" i="4"/>
  <c r="BA150" i="4"/>
  <c r="BA151" i="4"/>
  <c r="BA152" i="4"/>
  <c r="BA153" i="4"/>
  <c r="BA154" i="4"/>
  <c r="BA155" i="4"/>
  <c r="BA156" i="4"/>
  <c r="BA157" i="4"/>
  <c r="BA158" i="4"/>
  <c r="BA159" i="4"/>
  <c r="BA160" i="4"/>
  <c r="BA161" i="4"/>
  <c r="BA162" i="4"/>
  <c r="BA163" i="4"/>
  <c r="BA164" i="4"/>
  <c r="BA165" i="4"/>
  <c r="BA166" i="4"/>
  <c r="BA167" i="4"/>
  <c r="BA168" i="4"/>
  <c r="BA169" i="4"/>
  <c r="BA170" i="4"/>
  <c r="BA171" i="4"/>
  <c r="BA172" i="4"/>
  <c r="BA173" i="4"/>
  <c r="BA174" i="4"/>
  <c r="BA175" i="4"/>
  <c r="BA176" i="4"/>
  <c r="BA177" i="4"/>
  <c r="BA178" i="4"/>
  <c r="BA179" i="4"/>
  <c r="BA180" i="4"/>
  <c r="BA181" i="4"/>
  <c r="BA182" i="4"/>
  <c r="BA183" i="4"/>
  <c r="BA184" i="4"/>
  <c r="BA185" i="4"/>
  <c r="BA186" i="4"/>
  <c r="BA187" i="4"/>
  <c r="BA188" i="4"/>
  <c r="BA189" i="4"/>
  <c r="BA190" i="4"/>
  <c r="BA191" i="4"/>
  <c r="BA192" i="4"/>
  <c r="BA193" i="4"/>
  <c r="BA194" i="4"/>
  <c r="BA195" i="4"/>
  <c r="BA196" i="4"/>
  <c r="BA197" i="4"/>
  <c r="BA198" i="4"/>
  <c r="BA199" i="4"/>
  <c r="BA200" i="4"/>
  <c r="BA201" i="4"/>
  <c r="BA202" i="4"/>
  <c r="BA203" i="4"/>
  <c r="BA204" i="4"/>
  <c r="BA205" i="4"/>
  <c r="BA206" i="4"/>
  <c r="BA207" i="4"/>
  <c r="BA208" i="4"/>
  <c r="BA209" i="4"/>
  <c r="BA210" i="4"/>
  <c r="BA211" i="4"/>
  <c r="BA212" i="4"/>
  <c r="BA213" i="4"/>
  <c r="BA214" i="4"/>
  <c r="BA215" i="4"/>
  <c r="BA216" i="4"/>
  <c r="BA217" i="4"/>
  <c r="BA218" i="4"/>
  <c r="BA219" i="4"/>
  <c r="BA220" i="4"/>
  <c r="BA221" i="4"/>
  <c r="BA222" i="4"/>
  <c r="BA223" i="4"/>
  <c r="BA224" i="4"/>
  <c r="BA225" i="4"/>
  <c r="BA226" i="4"/>
  <c r="BA227" i="4"/>
  <c r="BA228" i="4"/>
  <c r="BA229" i="4"/>
  <c r="BA230" i="4"/>
  <c r="BA231" i="4"/>
  <c r="BA232" i="4"/>
  <c r="BA233" i="4"/>
  <c r="BA234" i="4"/>
  <c r="BA235" i="4"/>
  <c r="BA236" i="4"/>
  <c r="BA237" i="4"/>
  <c r="BA238" i="4"/>
  <c r="BA239" i="4"/>
  <c r="BA240" i="4"/>
  <c r="BA241" i="4"/>
  <c r="BA242" i="4"/>
  <c r="BA243" i="4"/>
  <c r="BA244" i="4"/>
  <c r="BA245" i="4"/>
  <c r="BA246" i="4"/>
  <c r="BA247" i="4"/>
  <c r="BA248" i="4"/>
  <c r="BA249" i="4"/>
  <c r="BA250" i="4"/>
  <c r="BA251" i="4"/>
  <c r="BA252" i="4"/>
  <c r="BA253" i="4"/>
  <c r="BA254" i="4"/>
  <c r="BA255" i="4"/>
  <c r="BA256" i="4"/>
  <c r="BA257" i="4"/>
  <c r="BA258" i="4"/>
  <c r="BA259" i="4"/>
  <c r="BA260" i="4"/>
  <c r="BA261" i="4"/>
  <c r="BA262" i="4"/>
  <c r="BA263" i="4"/>
  <c r="BA264" i="4"/>
  <c r="BA265" i="4"/>
  <c r="BA266" i="4"/>
  <c r="BA267" i="4"/>
  <c r="BA268" i="4"/>
  <c r="BA269" i="4"/>
  <c r="BA270" i="4"/>
  <c r="BA271" i="4"/>
  <c r="BA272" i="4"/>
  <c r="BA273" i="4"/>
  <c r="BA274" i="4"/>
  <c r="BA275" i="4"/>
  <c r="BA276" i="4"/>
  <c r="BA277" i="4"/>
  <c r="BA278" i="4"/>
  <c r="BA279" i="4"/>
  <c r="BA280" i="4"/>
  <c r="BA281" i="4"/>
  <c r="BA282" i="4"/>
  <c r="BA283" i="4"/>
  <c r="BA284" i="4"/>
  <c r="BA285" i="4"/>
  <c r="BA286" i="4"/>
  <c r="BA287" i="4"/>
  <c r="BA288" i="4"/>
  <c r="BA289" i="4"/>
  <c r="BA290" i="4"/>
  <c r="BA291" i="4"/>
  <c r="BA292" i="4"/>
  <c r="BA293" i="4"/>
  <c r="BA294" i="4"/>
  <c r="BA295" i="4"/>
  <c r="BA3" i="4"/>
  <c r="AX4" i="4"/>
  <c r="AX5" i="4"/>
  <c r="AX6" i="4"/>
  <c r="AX7" i="4"/>
  <c r="AX8" i="4"/>
  <c r="AX9" i="4"/>
  <c r="AX10" i="4"/>
  <c r="AX11" i="4"/>
  <c r="AX12" i="4"/>
  <c r="AX13" i="4"/>
  <c r="AX14" i="4"/>
  <c r="AX15" i="4"/>
  <c r="AX16" i="4"/>
  <c r="AX17" i="4"/>
  <c r="AX18" i="4"/>
  <c r="AX19" i="4"/>
  <c r="AX20" i="4"/>
  <c r="AX21" i="4"/>
  <c r="AX22" i="4"/>
  <c r="AX23" i="4"/>
  <c r="AX24" i="4"/>
  <c r="AX25" i="4"/>
  <c r="AX26" i="4"/>
  <c r="AX27" i="4"/>
  <c r="AX28" i="4"/>
  <c r="AX29" i="4"/>
  <c r="AX30" i="4"/>
  <c r="AX31" i="4"/>
  <c r="AX32" i="4"/>
  <c r="AX33" i="4"/>
  <c r="AX34" i="4"/>
  <c r="AX35" i="4"/>
  <c r="AX36" i="4"/>
  <c r="AX37" i="4"/>
  <c r="AX38" i="4"/>
  <c r="AX39" i="4"/>
  <c r="AX40" i="4"/>
  <c r="AX41" i="4"/>
  <c r="AX42" i="4"/>
  <c r="AX43" i="4"/>
  <c r="AX44" i="4"/>
  <c r="AX45" i="4"/>
  <c r="AX46" i="4"/>
  <c r="AX47" i="4"/>
  <c r="AX48" i="4"/>
  <c r="AX49" i="4"/>
  <c r="AX50" i="4"/>
  <c r="AX51" i="4"/>
  <c r="AX52" i="4"/>
  <c r="AX53" i="4"/>
  <c r="AX54" i="4"/>
  <c r="AX55" i="4"/>
  <c r="AX56" i="4"/>
  <c r="AX57" i="4"/>
  <c r="AX58" i="4"/>
  <c r="AX59" i="4"/>
  <c r="AX60" i="4"/>
  <c r="AX61" i="4"/>
  <c r="AX62" i="4"/>
  <c r="AX63" i="4"/>
  <c r="AX64" i="4"/>
  <c r="AX65" i="4"/>
  <c r="AX66" i="4"/>
  <c r="AX67" i="4"/>
  <c r="AX68" i="4"/>
  <c r="AX69" i="4"/>
  <c r="AX70" i="4"/>
  <c r="AX71" i="4"/>
  <c r="AX72" i="4"/>
  <c r="AX73" i="4"/>
  <c r="AX74" i="4"/>
  <c r="AX75" i="4"/>
  <c r="AX76" i="4"/>
  <c r="AX77" i="4"/>
  <c r="AX78" i="4"/>
  <c r="AX79" i="4"/>
  <c r="AX80" i="4"/>
  <c r="AX81" i="4"/>
  <c r="AX82" i="4"/>
  <c r="AX83" i="4"/>
  <c r="AX84" i="4"/>
  <c r="AX85" i="4"/>
  <c r="AX86" i="4"/>
  <c r="AX87" i="4"/>
  <c r="AX88" i="4"/>
  <c r="AX89" i="4"/>
  <c r="AX90" i="4"/>
  <c r="AX91" i="4"/>
  <c r="AX92" i="4"/>
  <c r="AX93" i="4"/>
  <c r="AX94" i="4"/>
  <c r="AX95" i="4"/>
  <c r="AX96" i="4"/>
  <c r="AX97" i="4"/>
  <c r="AX98" i="4"/>
  <c r="AX99" i="4"/>
  <c r="AX100" i="4"/>
  <c r="AX101" i="4"/>
  <c r="AX102" i="4"/>
  <c r="AX103" i="4"/>
  <c r="AX104" i="4"/>
  <c r="AX105" i="4"/>
  <c r="AX106" i="4"/>
  <c r="AX107" i="4"/>
  <c r="AX108" i="4"/>
  <c r="AX109" i="4"/>
  <c r="AX110" i="4"/>
  <c r="AX111" i="4"/>
  <c r="AX112" i="4"/>
  <c r="AX113" i="4"/>
  <c r="AX114" i="4"/>
  <c r="AX115" i="4"/>
  <c r="AX116" i="4"/>
  <c r="AX117" i="4"/>
  <c r="AX118" i="4"/>
  <c r="AX119" i="4"/>
  <c r="AX120" i="4"/>
  <c r="AX121" i="4"/>
  <c r="AX122" i="4"/>
  <c r="AX123" i="4"/>
  <c r="AX124" i="4"/>
  <c r="AX125" i="4"/>
  <c r="AX126" i="4"/>
  <c r="AX127" i="4"/>
  <c r="AX128" i="4"/>
  <c r="AX129" i="4"/>
  <c r="AX130" i="4"/>
  <c r="AX131" i="4"/>
  <c r="AX132" i="4"/>
  <c r="AX133" i="4"/>
  <c r="AX134" i="4"/>
  <c r="AX135" i="4"/>
  <c r="AX136" i="4"/>
  <c r="AX137" i="4"/>
  <c r="AX138" i="4"/>
  <c r="AX139" i="4"/>
  <c r="AX140" i="4"/>
  <c r="AX141" i="4"/>
  <c r="AX142" i="4"/>
  <c r="AX143" i="4"/>
  <c r="AX144" i="4"/>
  <c r="AX145" i="4"/>
  <c r="AX146" i="4"/>
  <c r="AX147" i="4"/>
  <c r="AX148" i="4"/>
  <c r="AX149" i="4"/>
  <c r="AX150" i="4"/>
  <c r="AX151" i="4"/>
  <c r="AX152" i="4"/>
  <c r="AX153" i="4"/>
  <c r="AX154" i="4"/>
  <c r="AX155" i="4"/>
  <c r="AX156" i="4"/>
  <c r="AX157" i="4"/>
  <c r="AX158" i="4"/>
  <c r="AX159" i="4"/>
  <c r="AX160" i="4"/>
  <c r="AX161" i="4"/>
  <c r="AX162" i="4"/>
  <c r="AX163" i="4"/>
  <c r="AX164" i="4"/>
  <c r="AX165" i="4"/>
  <c r="AX166" i="4"/>
  <c r="AX167" i="4"/>
  <c r="AX168" i="4"/>
  <c r="AX169" i="4"/>
  <c r="AX170" i="4"/>
  <c r="AX171" i="4"/>
  <c r="AX172" i="4"/>
  <c r="AX173" i="4"/>
  <c r="AX174" i="4"/>
  <c r="AX175" i="4"/>
  <c r="AX176" i="4"/>
  <c r="AX177" i="4"/>
  <c r="AX178" i="4"/>
  <c r="AX179" i="4"/>
  <c r="AX180" i="4"/>
  <c r="AX181" i="4"/>
  <c r="AX182" i="4"/>
  <c r="AX183" i="4"/>
  <c r="AX184" i="4"/>
  <c r="AX185" i="4"/>
  <c r="AX186" i="4"/>
  <c r="AX187" i="4"/>
  <c r="AX188" i="4"/>
  <c r="AX189" i="4"/>
  <c r="AX190" i="4"/>
  <c r="AX191" i="4"/>
  <c r="AX192" i="4"/>
  <c r="AX193" i="4"/>
  <c r="AX194" i="4"/>
  <c r="AX195" i="4"/>
  <c r="AX196" i="4"/>
  <c r="AX197" i="4"/>
  <c r="AX198" i="4"/>
  <c r="AX199" i="4"/>
  <c r="AX200" i="4"/>
  <c r="AX201" i="4"/>
  <c r="AX202" i="4"/>
  <c r="AX203" i="4"/>
  <c r="AX204" i="4"/>
  <c r="AX205" i="4"/>
  <c r="AX206" i="4"/>
  <c r="AX207" i="4"/>
  <c r="AX208" i="4"/>
  <c r="AX209" i="4"/>
  <c r="AX210" i="4"/>
  <c r="AX211" i="4"/>
  <c r="AX212" i="4"/>
  <c r="AX213" i="4"/>
  <c r="AX214" i="4"/>
  <c r="AX215" i="4"/>
  <c r="AX216" i="4"/>
  <c r="AX217" i="4"/>
  <c r="AX218" i="4"/>
  <c r="AX219" i="4"/>
  <c r="AX220" i="4"/>
  <c r="AX221" i="4"/>
  <c r="AX222" i="4"/>
  <c r="AX223" i="4"/>
  <c r="AX224" i="4"/>
  <c r="AX225" i="4"/>
  <c r="AX226" i="4"/>
  <c r="AX227" i="4"/>
  <c r="AX228" i="4"/>
  <c r="AX229" i="4"/>
  <c r="AX230" i="4"/>
  <c r="AX231" i="4"/>
  <c r="AX232" i="4"/>
  <c r="AX233" i="4"/>
  <c r="AX234" i="4"/>
  <c r="AX235" i="4"/>
  <c r="AX236" i="4"/>
  <c r="AX237" i="4"/>
  <c r="AX238" i="4"/>
  <c r="AX239" i="4"/>
  <c r="AX240" i="4"/>
  <c r="AX241" i="4"/>
  <c r="AX242" i="4"/>
  <c r="AX243" i="4"/>
  <c r="AX244" i="4"/>
  <c r="AX245" i="4"/>
  <c r="AX246" i="4"/>
  <c r="AX247" i="4"/>
  <c r="AX248" i="4"/>
  <c r="AX249" i="4"/>
  <c r="AX250" i="4"/>
  <c r="AX251" i="4"/>
  <c r="AX252" i="4"/>
  <c r="AX253" i="4"/>
  <c r="AX254" i="4"/>
  <c r="AX255" i="4"/>
  <c r="AX256" i="4"/>
  <c r="AX257" i="4"/>
  <c r="AX258" i="4"/>
  <c r="AX259" i="4"/>
  <c r="AX260" i="4"/>
  <c r="AX261" i="4"/>
  <c r="AX262" i="4"/>
  <c r="AX263" i="4"/>
  <c r="AX264" i="4"/>
  <c r="AX265" i="4"/>
  <c r="AX266" i="4"/>
  <c r="AX267" i="4"/>
  <c r="AX268" i="4"/>
  <c r="AX269" i="4"/>
  <c r="AX270" i="4"/>
  <c r="AX271" i="4"/>
  <c r="AX272" i="4"/>
  <c r="AX273" i="4"/>
  <c r="AX274" i="4"/>
  <c r="AX275" i="4"/>
  <c r="AX276" i="4"/>
  <c r="AX277" i="4"/>
  <c r="AX278" i="4"/>
  <c r="AX279" i="4"/>
  <c r="AX280" i="4"/>
  <c r="AX281" i="4"/>
  <c r="AX282" i="4"/>
  <c r="AX283" i="4"/>
  <c r="AX284" i="4"/>
  <c r="AX285" i="4"/>
  <c r="AX286" i="4"/>
  <c r="AX287" i="4"/>
  <c r="AX288" i="4"/>
  <c r="AX289" i="4"/>
  <c r="AX290" i="4"/>
  <c r="AX291" i="4"/>
  <c r="AX292" i="4"/>
  <c r="AX293" i="4"/>
  <c r="AX294" i="4"/>
  <c r="AX295" i="4"/>
  <c r="AX3" i="4"/>
  <c r="AU4" i="4"/>
  <c r="AU5" i="4"/>
  <c r="AU6" i="4"/>
  <c r="AU7" i="4"/>
  <c r="AU8" i="4"/>
  <c r="AU9" i="4"/>
  <c r="AU10" i="4"/>
  <c r="AU11" i="4"/>
  <c r="AU12" i="4"/>
  <c r="AU13" i="4"/>
  <c r="AU14" i="4"/>
  <c r="AU15" i="4"/>
  <c r="AU16" i="4"/>
  <c r="AU17" i="4"/>
  <c r="AU18" i="4"/>
  <c r="AU19" i="4"/>
  <c r="AU20" i="4"/>
  <c r="AU21" i="4"/>
  <c r="AU22" i="4"/>
  <c r="AU23" i="4"/>
  <c r="AU24" i="4"/>
  <c r="AU25" i="4"/>
  <c r="AU26" i="4"/>
  <c r="AU27" i="4"/>
  <c r="AU28" i="4"/>
  <c r="AU29" i="4"/>
  <c r="AU30" i="4"/>
  <c r="AU31" i="4"/>
  <c r="AU32" i="4"/>
  <c r="AU33" i="4"/>
  <c r="AU34" i="4"/>
  <c r="AU35" i="4"/>
  <c r="AU36" i="4"/>
  <c r="AU37" i="4"/>
  <c r="AU38" i="4"/>
  <c r="AU39" i="4"/>
  <c r="AU40" i="4"/>
  <c r="AU41" i="4"/>
  <c r="AU42" i="4"/>
  <c r="AU43" i="4"/>
  <c r="AU44" i="4"/>
  <c r="AU45" i="4"/>
  <c r="AU46" i="4"/>
  <c r="AU47" i="4"/>
  <c r="AU48" i="4"/>
  <c r="AU49" i="4"/>
  <c r="AU50" i="4"/>
  <c r="AU51" i="4"/>
  <c r="AU52" i="4"/>
  <c r="AU53" i="4"/>
  <c r="AU54" i="4"/>
  <c r="AU55" i="4"/>
  <c r="AU56" i="4"/>
  <c r="AU57" i="4"/>
  <c r="AU58" i="4"/>
  <c r="AU59" i="4"/>
  <c r="AU60" i="4"/>
  <c r="AU61" i="4"/>
  <c r="AU62" i="4"/>
  <c r="AU63" i="4"/>
  <c r="AU64" i="4"/>
  <c r="AU65" i="4"/>
  <c r="AU66" i="4"/>
  <c r="AU67" i="4"/>
  <c r="AU68" i="4"/>
  <c r="AU69" i="4"/>
  <c r="AU70" i="4"/>
  <c r="AU71" i="4"/>
  <c r="AU72" i="4"/>
  <c r="AU73" i="4"/>
  <c r="AU74" i="4"/>
  <c r="AU75" i="4"/>
  <c r="AU76" i="4"/>
  <c r="AU77" i="4"/>
  <c r="AU78" i="4"/>
  <c r="AU79" i="4"/>
  <c r="AU80" i="4"/>
  <c r="AU81" i="4"/>
  <c r="AU82" i="4"/>
  <c r="AU83" i="4"/>
  <c r="AU84" i="4"/>
  <c r="AU85" i="4"/>
  <c r="AU86" i="4"/>
  <c r="AU87" i="4"/>
  <c r="AU88" i="4"/>
  <c r="AU89" i="4"/>
  <c r="AU90" i="4"/>
  <c r="AU91" i="4"/>
  <c r="AU92" i="4"/>
  <c r="AU93" i="4"/>
  <c r="AU94" i="4"/>
  <c r="AU95" i="4"/>
  <c r="AU96" i="4"/>
  <c r="AU97" i="4"/>
  <c r="AU98" i="4"/>
  <c r="AU99" i="4"/>
  <c r="AU100" i="4"/>
  <c r="AU101" i="4"/>
  <c r="AU102" i="4"/>
  <c r="AU103" i="4"/>
  <c r="AU104" i="4"/>
  <c r="AU105" i="4"/>
  <c r="AU106" i="4"/>
  <c r="AU107" i="4"/>
  <c r="AU108" i="4"/>
  <c r="AU109" i="4"/>
  <c r="AU110" i="4"/>
  <c r="AU111" i="4"/>
  <c r="AU112" i="4"/>
  <c r="AU113" i="4"/>
  <c r="AU114" i="4"/>
  <c r="AU115" i="4"/>
  <c r="AU116" i="4"/>
  <c r="AU117" i="4"/>
  <c r="AU118" i="4"/>
  <c r="AU119" i="4"/>
  <c r="AU120" i="4"/>
  <c r="AU121" i="4"/>
  <c r="AU122" i="4"/>
  <c r="AU123" i="4"/>
  <c r="AU124" i="4"/>
  <c r="AU125" i="4"/>
  <c r="AU126" i="4"/>
  <c r="AU127" i="4"/>
  <c r="AU128" i="4"/>
  <c r="AU129" i="4"/>
  <c r="AU130" i="4"/>
  <c r="AU131" i="4"/>
  <c r="AU132" i="4"/>
  <c r="AU133" i="4"/>
  <c r="AU134" i="4"/>
  <c r="AU135" i="4"/>
  <c r="AU136" i="4"/>
  <c r="AU137" i="4"/>
  <c r="AU138" i="4"/>
  <c r="AU139" i="4"/>
  <c r="AU140" i="4"/>
  <c r="AU141" i="4"/>
  <c r="AU142" i="4"/>
  <c r="AU143" i="4"/>
  <c r="AU144" i="4"/>
  <c r="AU145" i="4"/>
  <c r="AU146" i="4"/>
  <c r="AU147" i="4"/>
  <c r="AU148" i="4"/>
  <c r="AU149" i="4"/>
  <c r="AU150" i="4"/>
  <c r="AU151" i="4"/>
  <c r="AU152" i="4"/>
  <c r="AU153" i="4"/>
  <c r="AU154" i="4"/>
  <c r="AU155" i="4"/>
  <c r="AU156" i="4"/>
  <c r="AU157" i="4"/>
  <c r="AU158" i="4"/>
  <c r="AU159" i="4"/>
  <c r="AU160" i="4"/>
  <c r="AU161" i="4"/>
  <c r="AU162" i="4"/>
  <c r="AU163" i="4"/>
  <c r="AU164" i="4"/>
  <c r="AU165" i="4"/>
  <c r="AU166" i="4"/>
  <c r="AU167" i="4"/>
  <c r="AU168" i="4"/>
  <c r="AU169" i="4"/>
  <c r="AU170" i="4"/>
  <c r="AU171" i="4"/>
  <c r="AU172" i="4"/>
  <c r="AU173" i="4"/>
  <c r="AU174" i="4"/>
  <c r="AU175" i="4"/>
  <c r="AU176" i="4"/>
  <c r="AU177" i="4"/>
  <c r="AU178" i="4"/>
  <c r="AU179" i="4"/>
  <c r="AU180" i="4"/>
  <c r="AU181" i="4"/>
  <c r="AU182" i="4"/>
  <c r="AU183" i="4"/>
  <c r="AU184" i="4"/>
  <c r="AU185" i="4"/>
  <c r="AU186" i="4"/>
  <c r="AU187" i="4"/>
  <c r="AU188" i="4"/>
  <c r="AU189" i="4"/>
  <c r="AU190" i="4"/>
  <c r="AU191" i="4"/>
  <c r="AU192" i="4"/>
  <c r="AU193" i="4"/>
  <c r="AU194" i="4"/>
  <c r="AU195" i="4"/>
  <c r="AU196" i="4"/>
  <c r="AU197" i="4"/>
  <c r="AU198" i="4"/>
  <c r="AU199" i="4"/>
  <c r="AU200" i="4"/>
  <c r="AU201" i="4"/>
  <c r="AU202" i="4"/>
  <c r="AU203" i="4"/>
  <c r="AU204" i="4"/>
  <c r="AU205" i="4"/>
  <c r="AU206" i="4"/>
  <c r="AU207" i="4"/>
  <c r="AU208" i="4"/>
  <c r="AU209" i="4"/>
  <c r="AU210" i="4"/>
  <c r="AU211" i="4"/>
  <c r="AU212" i="4"/>
  <c r="AU213" i="4"/>
  <c r="AU214" i="4"/>
  <c r="AU215" i="4"/>
  <c r="AU216" i="4"/>
  <c r="AU217" i="4"/>
  <c r="AU218" i="4"/>
  <c r="AU219" i="4"/>
  <c r="AU220" i="4"/>
  <c r="AU221" i="4"/>
  <c r="AU222" i="4"/>
  <c r="AU223" i="4"/>
  <c r="AU224" i="4"/>
  <c r="AU225" i="4"/>
  <c r="AU226" i="4"/>
  <c r="AU227" i="4"/>
  <c r="AU228" i="4"/>
  <c r="AU229" i="4"/>
  <c r="AU230" i="4"/>
  <c r="AU231" i="4"/>
  <c r="AU232" i="4"/>
  <c r="AU233" i="4"/>
  <c r="AU234" i="4"/>
  <c r="AU235" i="4"/>
  <c r="AU236" i="4"/>
  <c r="AU237" i="4"/>
  <c r="AU238" i="4"/>
  <c r="AU239" i="4"/>
  <c r="AU240" i="4"/>
  <c r="AU241" i="4"/>
  <c r="AU242" i="4"/>
  <c r="AU243" i="4"/>
  <c r="AU244" i="4"/>
  <c r="AU245" i="4"/>
  <c r="AU246" i="4"/>
  <c r="AU247" i="4"/>
  <c r="AU248" i="4"/>
  <c r="AU249" i="4"/>
  <c r="AU250" i="4"/>
  <c r="AU251" i="4"/>
  <c r="AU252" i="4"/>
  <c r="AU253" i="4"/>
  <c r="AU254" i="4"/>
  <c r="AU255" i="4"/>
  <c r="AU256" i="4"/>
  <c r="AU257" i="4"/>
  <c r="AU258" i="4"/>
  <c r="AU259" i="4"/>
  <c r="AU260" i="4"/>
  <c r="AU261" i="4"/>
  <c r="AU262" i="4"/>
  <c r="AU263" i="4"/>
  <c r="AU264" i="4"/>
  <c r="AU265" i="4"/>
  <c r="AU266" i="4"/>
  <c r="AU267" i="4"/>
  <c r="AU268" i="4"/>
  <c r="AU269" i="4"/>
  <c r="AU270" i="4"/>
  <c r="AU271" i="4"/>
  <c r="AU272" i="4"/>
  <c r="AU273" i="4"/>
  <c r="AU274" i="4"/>
  <c r="AU275" i="4"/>
  <c r="AU276" i="4"/>
  <c r="AU277" i="4"/>
  <c r="AU278" i="4"/>
  <c r="AU279" i="4"/>
  <c r="AU280" i="4"/>
  <c r="AU281" i="4"/>
  <c r="AU282" i="4"/>
  <c r="AU283" i="4"/>
  <c r="AU284" i="4"/>
  <c r="AU285" i="4"/>
  <c r="AU286" i="4"/>
  <c r="AU287" i="4"/>
  <c r="AU288" i="4"/>
  <c r="AU289" i="4"/>
  <c r="AU290" i="4"/>
  <c r="AU291" i="4"/>
  <c r="AU292" i="4"/>
  <c r="AU293" i="4"/>
  <c r="AU294" i="4"/>
  <c r="AU295" i="4"/>
  <c r="AU3" i="4"/>
  <c r="AR4" i="4"/>
  <c r="AR5" i="4"/>
  <c r="AR6" i="4"/>
  <c r="AR7" i="4"/>
  <c r="AR8" i="4"/>
  <c r="AR9" i="4"/>
  <c r="AR10" i="4"/>
  <c r="AR11" i="4"/>
  <c r="AR12" i="4"/>
  <c r="AR13" i="4"/>
  <c r="AR14" i="4"/>
  <c r="AR15" i="4"/>
  <c r="AR16" i="4"/>
  <c r="AR17" i="4"/>
  <c r="AR18" i="4"/>
  <c r="AR19" i="4"/>
  <c r="AR20" i="4"/>
  <c r="AR21" i="4"/>
  <c r="AR22" i="4"/>
  <c r="AR23" i="4"/>
  <c r="AR24" i="4"/>
  <c r="AR25" i="4"/>
  <c r="AR26" i="4"/>
  <c r="AR27" i="4"/>
  <c r="AR28" i="4"/>
  <c r="AR29" i="4"/>
  <c r="AR30" i="4"/>
  <c r="AR31" i="4"/>
  <c r="AR32" i="4"/>
  <c r="AR33" i="4"/>
  <c r="AR34" i="4"/>
  <c r="AR35" i="4"/>
  <c r="AR36" i="4"/>
  <c r="AR37" i="4"/>
  <c r="AR38" i="4"/>
  <c r="AR39" i="4"/>
  <c r="AR40" i="4"/>
  <c r="AR41" i="4"/>
  <c r="AR42" i="4"/>
  <c r="AR43" i="4"/>
  <c r="AR44" i="4"/>
  <c r="AR45" i="4"/>
  <c r="AR46" i="4"/>
  <c r="AR47" i="4"/>
  <c r="AR48" i="4"/>
  <c r="AR49" i="4"/>
  <c r="AR50" i="4"/>
  <c r="AR51" i="4"/>
  <c r="AR52" i="4"/>
  <c r="AR53" i="4"/>
  <c r="AR54" i="4"/>
  <c r="AR55" i="4"/>
  <c r="AR56" i="4"/>
  <c r="AR57" i="4"/>
  <c r="AR58" i="4"/>
  <c r="AR59" i="4"/>
  <c r="AR60" i="4"/>
  <c r="AR61" i="4"/>
  <c r="AR62" i="4"/>
  <c r="AR63" i="4"/>
  <c r="AR64" i="4"/>
  <c r="AR65" i="4"/>
  <c r="AR66" i="4"/>
  <c r="AR67" i="4"/>
  <c r="AR68" i="4"/>
  <c r="AR69" i="4"/>
  <c r="AR70" i="4"/>
  <c r="AR71" i="4"/>
  <c r="AR72" i="4"/>
  <c r="AR73" i="4"/>
  <c r="AR74" i="4"/>
  <c r="AR75" i="4"/>
  <c r="AR76" i="4"/>
  <c r="AR77" i="4"/>
  <c r="AR78" i="4"/>
  <c r="AR79" i="4"/>
  <c r="AR80" i="4"/>
  <c r="AR81" i="4"/>
  <c r="AR82" i="4"/>
  <c r="AR83" i="4"/>
  <c r="AR84" i="4"/>
  <c r="AR85" i="4"/>
  <c r="AR86" i="4"/>
  <c r="AR87" i="4"/>
  <c r="AR88" i="4"/>
  <c r="AR89" i="4"/>
  <c r="AR90" i="4"/>
  <c r="AR91" i="4"/>
  <c r="AR92" i="4"/>
  <c r="AR93" i="4"/>
  <c r="AR94" i="4"/>
  <c r="AR95" i="4"/>
  <c r="AR96" i="4"/>
  <c r="AR97" i="4"/>
  <c r="AR98" i="4"/>
  <c r="AR99" i="4"/>
  <c r="AR100" i="4"/>
  <c r="AR101" i="4"/>
  <c r="AR102" i="4"/>
  <c r="AR103" i="4"/>
  <c r="AR104" i="4"/>
  <c r="AR105" i="4"/>
  <c r="AR106" i="4"/>
  <c r="AR107" i="4"/>
  <c r="AR108" i="4"/>
  <c r="AR109" i="4"/>
  <c r="AR110" i="4"/>
  <c r="AR111" i="4"/>
  <c r="AR112" i="4"/>
  <c r="AR113" i="4"/>
  <c r="AR114" i="4"/>
  <c r="AR115" i="4"/>
  <c r="AR116" i="4"/>
  <c r="AR117" i="4"/>
  <c r="AR118" i="4"/>
  <c r="AR119" i="4"/>
  <c r="AR120" i="4"/>
  <c r="AR121" i="4"/>
  <c r="AR122" i="4"/>
  <c r="AR123" i="4"/>
  <c r="AR124" i="4"/>
  <c r="AR125" i="4"/>
  <c r="AR126" i="4"/>
  <c r="AR127" i="4"/>
  <c r="AR128" i="4"/>
  <c r="AR129" i="4"/>
  <c r="AR130" i="4"/>
  <c r="AR131" i="4"/>
  <c r="AR132" i="4"/>
  <c r="AR133" i="4"/>
  <c r="AR134" i="4"/>
  <c r="AR135" i="4"/>
  <c r="AR136" i="4"/>
  <c r="AR137" i="4"/>
  <c r="AR138" i="4"/>
  <c r="AR139" i="4"/>
  <c r="AR140" i="4"/>
  <c r="AR141" i="4"/>
  <c r="AR142" i="4"/>
  <c r="AR143" i="4"/>
  <c r="AR144" i="4"/>
  <c r="AR145" i="4"/>
  <c r="AR146" i="4"/>
  <c r="AR147" i="4"/>
  <c r="AR148" i="4"/>
  <c r="AR149" i="4"/>
  <c r="AR150" i="4"/>
  <c r="AR151" i="4"/>
  <c r="AR152" i="4"/>
  <c r="AR153" i="4"/>
  <c r="AR154" i="4"/>
  <c r="AR155" i="4"/>
  <c r="AR156" i="4"/>
  <c r="AR157" i="4"/>
  <c r="AR158" i="4"/>
  <c r="AR159" i="4"/>
  <c r="AR160" i="4"/>
  <c r="AR161" i="4"/>
  <c r="AR162" i="4"/>
  <c r="AR163" i="4"/>
  <c r="AR164" i="4"/>
  <c r="AR165" i="4"/>
  <c r="AR166" i="4"/>
  <c r="AR167" i="4"/>
  <c r="AR168" i="4"/>
  <c r="AR169" i="4"/>
  <c r="AR170" i="4"/>
  <c r="AR171" i="4"/>
  <c r="AR172" i="4"/>
  <c r="AR173" i="4"/>
  <c r="AR174" i="4"/>
  <c r="AR175" i="4"/>
  <c r="AR176" i="4"/>
  <c r="AR177" i="4"/>
  <c r="AR178" i="4"/>
  <c r="AR179" i="4"/>
  <c r="AR180" i="4"/>
  <c r="AR181" i="4"/>
  <c r="AR182" i="4"/>
  <c r="AR183" i="4"/>
  <c r="AR184" i="4"/>
  <c r="AR185" i="4"/>
  <c r="AR186" i="4"/>
  <c r="AR187" i="4"/>
  <c r="AR188" i="4"/>
  <c r="AR189" i="4"/>
  <c r="AR190" i="4"/>
  <c r="AR191" i="4"/>
  <c r="AR192" i="4"/>
  <c r="AR193" i="4"/>
  <c r="AR194" i="4"/>
  <c r="AR195" i="4"/>
  <c r="AR196" i="4"/>
  <c r="AR197" i="4"/>
  <c r="AR198" i="4"/>
  <c r="AR199" i="4"/>
  <c r="AR200" i="4"/>
  <c r="AR201" i="4"/>
  <c r="AR202" i="4"/>
  <c r="AR203" i="4"/>
  <c r="AR204" i="4"/>
  <c r="AR205" i="4"/>
  <c r="AR206" i="4"/>
  <c r="AR207" i="4"/>
  <c r="AR208" i="4"/>
  <c r="AR209" i="4"/>
  <c r="AR210" i="4"/>
  <c r="AR211" i="4"/>
  <c r="AR212" i="4"/>
  <c r="AR213" i="4"/>
  <c r="AR214" i="4"/>
  <c r="AR215" i="4"/>
  <c r="AR216" i="4"/>
  <c r="AR217" i="4"/>
  <c r="AR218" i="4"/>
  <c r="AR219" i="4"/>
  <c r="AR220" i="4"/>
  <c r="AR221" i="4"/>
  <c r="AR222" i="4"/>
  <c r="AR223" i="4"/>
  <c r="AR224" i="4"/>
  <c r="AR225" i="4"/>
  <c r="AR226" i="4"/>
  <c r="AR227" i="4"/>
  <c r="AR228" i="4"/>
  <c r="AR229" i="4"/>
  <c r="AR230" i="4"/>
  <c r="AR231" i="4"/>
  <c r="AR232" i="4"/>
  <c r="AR233" i="4"/>
  <c r="AR234" i="4"/>
  <c r="AR235" i="4"/>
  <c r="AR236" i="4"/>
  <c r="AR237" i="4"/>
  <c r="AR238" i="4"/>
  <c r="AR239" i="4"/>
  <c r="AR240" i="4"/>
  <c r="AR241" i="4"/>
  <c r="AR242" i="4"/>
  <c r="AR243" i="4"/>
  <c r="AR244" i="4"/>
  <c r="AR245" i="4"/>
  <c r="AR246" i="4"/>
  <c r="AR247" i="4"/>
  <c r="AR248" i="4"/>
  <c r="AR249" i="4"/>
  <c r="AR250" i="4"/>
  <c r="AR251" i="4"/>
  <c r="AR252" i="4"/>
  <c r="AR253" i="4"/>
  <c r="AR254" i="4"/>
  <c r="AR255" i="4"/>
  <c r="AR256" i="4"/>
  <c r="AR257" i="4"/>
  <c r="AR258" i="4"/>
  <c r="AR259" i="4"/>
  <c r="AR260" i="4"/>
  <c r="AR261" i="4"/>
  <c r="AR262" i="4"/>
  <c r="AR263" i="4"/>
  <c r="AR264" i="4"/>
  <c r="AR265" i="4"/>
  <c r="AR266" i="4"/>
  <c r="AR267" i="4"/>
  <c r="AR268" i="4"/>
  <c r="AR269" i="4"/>
  <c r="AR270" i="4"/>
  <c r="AR271" i="4"/>
  <c r="AR272" i="4"/>
  <c r="AR273" i="4"/>
  <c r="AR274" i="4"/>
  <c r="AR275" i="4"/>
  <c r="AR276" i="4"/>
  <c r="AR277" i="4"/>
  <c r="AR278" i="4"/>
  <c r="AR279" i="4"/>
  <c r="AR280" i="4"/>
  <c r="AR281" i="4"/>
  <c r="AR282" i="4"/>
  <c r="AR283" i="4"/>
  <c r="AR284" i="4"/>
  <c r="AR285" i="4"/>
  <c r="AR286" i="4"/>
  <c r="AR287" i="4"/>
  <c r="AR288" i="4"/>
  <c r="AR289" i="4"/>
  <c r="AR290" i="4"/>
  <c r="AR291" i="4"/>
  <c r="AR292" i="4"/>
  <c r="AR293" i="4"/>
  <c r="AR294" i="4"/>
  <c r="AR295" i="4"/>
  <c r="AR3" i="4"/>
  <c r="AO4" i="4"/>
  <c r="AO5" i="4"/>
  <c r="AO6" i="4"/>
  <c r="AO7" i="4"/>
  <c r="AO8" i="4"/>
  <c r="AO9" i="4"/>
  <c r="AO10" i="4"/>
  <c r="AO11" i="4"/>
  <c r="AO12" i="4"/>
  <c r="AO13" i="4"/>
  <c r="AO14" i="4"/>
  <c r="AO15" i="4"/>
  <c r="AO16" i="4"/>
  <c r="AO17" i="4"/>
  <c r="AO18" i="4"/>
  <c r="AO19" i="4"/>
  <c r="AO20" i="4"/>
  <c r="AO21" i="4"/>
  <c r="AO22" i="4"/>
  <c r="AO23" i="4"/>
  <c r="AO24" i="4"/>
  <c r="AO25" i="4"/>
  <c r="AO26" i="4"/>
  <c r="AO27" i="4"/>
  <c r="AO28" i="4"/>
  <c r="AO29" i="4"/>
  <c r="AO30" i="4"/>
  <c r="AO31" i="4"/>
  <c r="AO32" i="4"/>
  <c r="AO33" i="4"/>
  <c r="AO34" i="4"/>
  <c r="AO35" i="4"/>
  <c r="AO36" i="4"/>
  <c r="AO37" i="4"/>
  <c r="AO38" i="4"/>
  <c r="AO39" i="4"/>
  <c r="AO40" i="4"/>
  <c r="AO41" i="4"/>
  <c r="AO42" i="4"/>
  <c r="AO43" i="4"/>
  <c r="AO44" i="4"/>
  <c r="AO45" i="4"/>
  <c r="AO46" i="4"/>
  <c r="AO47" i="4"/>
  <c r="AO48" i="4"/>
  <c r="AO49" i="4"/>
  <c r="AO50" i="4"/>
  <c r="AO51" i="4"/>
  <c r="AO52" i="4"/>
  <c r="AO53" i="4"/>
  <c r="AO54" i="4"/>
  <c r="AO55" i="4"/>
  <c r="AO56" i="4"/>
  <c r="AO57" i="4"/>
  <c r="AO58" i="4"/>
  <c r="AO59" i="4"/>
  <c r="AO60" i="4"/>
  <c r="AO61" i="4"/>
  <c r="AO62" i="4"/>
  <c r="AO63" i="4"/>
  <c r="AO64" i="4"/>
  <c r="AO65" i="4"/>
  <c r="AO66" i="4"/>
  <c r="AO67" i="4"/>
  <c r="AO68" i="4"/>
  <c r="AO69" i="4"/>
  <c r="AO70" i="4"/>
  <c r="AO71" i="4"/>
  <c r="AO72" i="4"/>
  <c r="AO73" i="4"/>
  <c r="AO74" i="4"/>
  <c r="AO75" i="4"/>
  <c r="AO76" i="4"/>
  <c r="AO77" i="4"/>
  <c r="AO78" i="4"/>
  <c r="AO79" i="4"/>
  <c r="AO80" i="4"/>
  <c r="AO81" i="4"/>
  <c r="AO82" i="4"/>
  <c r="AO83" i="4"/>
  <c r="AO84" i="4"/>
  <c r="AO85" i="4"/>
  <c r="AO86" i="4"/>
  <c r="AO87" i="4"/>
  <c r="AO88" i="4"/>
  <c r="AO89" i="4"/>
  <c r="AO90" i="4"/>
  <c r="AO91" i="4"/>
  <c r="AO92" i="4"/>
  <c r="AO93" i="4"/>
  <c r="AO94" i="4"/>
  <c r="AO95" i="4"/>
  <c r="AO96" i="4"/>
  <c r="AO97" i="4"/>
  <c r="AO98" i="4"/>
  <c r="AO99" i="4"/>
  <c r="AO100" i="4"/>
  <c r="AO101" i="4"/>
  <c r="AO102" i="4"/>
  <c r="AO103" i="4"/>
  <c r="AO104" i="4"/>
  <c r="AO105" i="4"/>
  <c r="AO106" i="4"/>
  <c r="AO107" i="4"/>
  <c r="AO108" i="4"/>
  <c r="AO109" i="4"/>
  <c r="AO110" i="4"/>
  <c r="AO111" i="4"/>
  <c r="AO112" i="4"/>
  <c r="AO113" i="4"/>
  <c r="AO114" i="4"/>
  <c r="AO115" i="4"/>
  <c r="AO116" i="4"/>
  <c r="AO117" i="4"/>
  <c r="AO118" i="4"/>
  <c r="AO119" i="4"/>
  <c r="AO120" i="4"/>
  <c r="AO121" i="4"/>
  <c r="AO122" i="4"/>
  <c r="AO123" i="4"/>
  <c r="AO124" i="4"/>
  <c r="AO125" i="4"/>
  <c r="AO126" i="4"/>
  <c r="AO127" i="4"/>
  <c r="AO128" i="4"/>
  <c r="AO129" i="4"/>
  <c r="AO130" i="4"/>
  <c r="AO131" i="4"/>
  <c r="AO132" i="4"/>
  <c r="AO133" i="4"/>
  <c r="AO134" i="4"/>
  <c r="AO135" i="4"/>
  <c r="AO136" i="4"/>
  <c r="AO137" i="4"/>
  <c r="AO138" i="4"/>
  <c r="AO139" i="4"/>
  <c r="AO140" i="4"/>
  <c r="AO141" i="4"/>
  <c r="AO142" i="4"/>
  <c r="AO143" i="4"/>
  <c r="AO144" i="4"/>
  <c r="AO145" i="4"/>
  <c r="AO146" i="4"/>
  <c r="AO147" i="4"/>
  <c r="AO148" i="4"/>
  <c r="AO149" i="4"/>
  <c r="AO150" i="4"/>
  <c r="AO151" i="4"/>
  <c r="AO152" i="4"/>
  <c r="AO153" i="4"/>
  <c r="AO154" i="4"/>
  <c r="AO155" i="4"/>
  <c r="AO156" i="4"/>
  <c r="AO157" i="4"/>
  <c r="AO158" i="4"/>
  <c r="AO159" i="4"/>
  <c r="AO160" i="4"/>
  <c r="AO161" i="4"/>
  <c r="AO162" i="4"/>
  <c r="AO163" i="4"/>
  <c r="AO164" i="4"/>
  <c r="AO165" i="4"/>
  <c r="AO166" i="4"/>
  <c r="AO167" i="4"/>
  <c r="AO168" i="4"/>
  <c r="AO169" i="4"/>
  <c r="AO170" i="4"/>
  <c r="AO171" i="4"/>
  <c r="AO172" i="4"/>
  <c r="AO173" i="4"/>
  <c r="AO174" i="4"/>
  <c r="AO175" i="4"/>
  <c r="AO176" i="4"/>
  <c r="AO177" i="4"/>
  <c r="AO178" i="4"/>
  <c r="AO179" i="4"/>
  <c r="AO180" i="4"/>
  <c r="AO181" i="4"/>
  <c r="AO182" i="4"/>
  <c r="AO183" i="4"/>
  <c r="AO184" i="4"/>
  <c r="AO185" i="4"/>
  <c r="AO186" i="4"/>
  <c r="AO187" i="4"/>
  <c r="AO188" i="4"/>
  <c r="AO189" i="4"/>
  <c r="AO190" i="4"/>
  <c r="AO191" i="4"/>
  <c r="AO192" i="4"/>
  <c r="AO193" i="4"/>
  <c r="AO194" i="4"/>
  <c r="AO195" i="4"/>
  <c r="AO196" i="4"/>
  <c r="AO197" i="4"/>
  <c r="AO198" i="4"/>
  <c r="AO199" i="4"/>
  <c r="AO200" i="4"/>
  <c r="AO201" i="4"/>
  <c r="AO202" i="4"/>
  <c r="AO203" i="4"/>
  <c r="AO204" i="4"/>
  <c r="AO205" i="4"/>
  <c r="AO206" i="4"/>
  <c r="AO207" i="4"/>
  <c r="AO208" i="4"/>
  <c r="AO209" i="4"/>
  <c r="AO210" i="4"/>
  <c r="AO211" i="4"/>
  <c r="AO212" i="4"/>
  <c r="AO213" i="4"/>
  <c r="AO214" i="4"/>
  <c r="AO215" i="4"/>
  <c r="AO216" i="4"/>
  <c r="AO217" i="4"/>
  <c r="AO218" i="4"/>
  <c r="AO219" i="4"/>
  <c r="AO220" i="4"/>
  <c r="AO221" i="4"/>
  <c r="AO222" i="4"/>
  <c r="AO223" i="4"/>
  <c r="AO224" i="4"/>
  <c r="AO225" i="4"/>
  <c r="AO226" i="4"/>
  <c r="AO227" i="4"/>
  <c r="AO228" i="4"/>
  <c r="AO229" i="4"/>
  <c r="AO230" i="4"/>
  <c r="AO231" i="4"/>
  <c r="AO232" i="4"/>
  <c r="AO233" i="4"/>
  <c r="AO234" i="4"/>
  <c r="AO235" i="4"/>
  <c r="AO236" i="4"/>
  <c r="AO237" i="4"/>
  <c r="AO238" i="4"/>
  <c r="AO239" i="4"/>
  <c r="AO240" i="4"/>
  <c r="AO241" i="4"/>
  <c r="AO242" i="4"/>
  <c r="AO243" i="4"/>
  <c r="AO244" i="4"/>
  <c r="AO245" i="4"/>
  <c r="AO246" i="4"/>
  <c r="AO247" i="4"/>
  <c r="AO248" i="4"/>
  <c r="AO249" i="4"/>
  <c r="AO250" i="4"/>
  <c r="AO251" i="4"/>
  <c r="AO252" i="4"/>
  <c r="AO253" i="4"/>
  <c r="AO254" i="4"/>
  <c r="AO255" i="4"/>
  <c r="AO256" i="4"/>
  <c r="AO257" i="4"/>
  <c r="AO258" i="4"/>
  <c r="AO259" i="4"/>
  <c r="AO260" i="4"/>
  <c r="AO261" i="4"/>
  <c r="AO262" i="4"/>
  <c r="AO263" i="4"/>
  <c r="AO264" i="4"/>
  <c r="AO265" i="4"/>
  <c r="AO266" i="4"/>
  <c r="AO267" i="4"/>
  <c r="AO268" i="4"/>
  <c r="AO269" i="4"/>
  <c r="AO270" i="4"/>
  <c r="AO271" i="4"/>
  <c r="AO272" i="4"/>
  <c r="AO273" i="4"/>
  <c r="AO274" i="4"/>
  <c r="AO275" i="4"/>
  <c r="AO276" i="4"/>
  <c r="AO277" i="4"/>
  <c r="AO278" i="4"/>
  <c r="AO279" i="4"/>
  <c r="AO280" i="4"/>
  <c r="AO281" i="4"/>
  <c r="AO282" i="4"/>
  <c r="AO283" i="4"/>
  <c r="AO284" i="4"/>
  <c r="AO285" i="4"/>
  <c r="AO286" i="4"/>
  <c r="AO287" i="4"/>
  <c r="AO288" i="4"/>
  <c r="AO289" i="4"/>
  <c r="AO290" i="4"/>
  <c r="AO291" i="4"/>
  <c r="AO292" i="4"/>
  <c r="AO293" i="4"/>
  <c r="AO294" i="4"/>
  <c r="AO295" i="4"/>
  <c r="AO3" i="4"/>
  <c r="AL4" i="4"/>
  <c r="AL5" i="4"/>
  <c r="AL6" i="4"/>
  <c r="AL7" i="4"/>
  <c r="AL8" i="4"/>
  <c r="AL9" i="4"/>
  <c r="AL10" i="4"/>
  <c r="AL11" i="4"/>
  <c r="AL12" i="4"/>
  <c r="AL13" i="4"/>
  <c r="AL14" i="4"/>
  <c r="AL15" i="4"/>
  <c r="AL16" i="4"/>
  <c r="AL17" i="4"/>
  <c r="AL18" i="4"/>
  <c r="AL19" i="4"/>
  <c r="AL20" i="4"/>
  <c r="AL21" i="4"/>
  <c r="AL22" i="4"/>
  <c r="AL23" i="4"/>
  <c r="AL24" i="4"/>
  <c r="AL25" i="4"/>
  <c r="AL26" i="4"/>
  <c r="AL27" i="4"/>
  <c r="AL28" i="4"/>
  <c r="AL29" i="4"/>
  <c r="AL30" i="4"/>
  <c r="AL31" i="4"/>
  <c r="AL32" i="4"/>
  <c r="AL33" i="4"/>
  <c r="AL34" i="4"/>
  <c r="AL35" i="4"/>
  <c r="AL36" i="4"/>
  <c r="AL37" i="4"/>
  <c r="AL38" i="4"/>
  <c r="AL39" i="4"/>
  <c r="AL40" i="4"/>
  <c r="AL41" i="4"/>
  <c r="AL42" i="4"/>
  <c r="AL43" i="4"/>
  <c r="AL44" i="4"/>
  <c r="AL45" i="4"/>
  <c r="AL46" i="4"/>
  <c r="AL47" i="4"/>
  <c r="AL48" i="4"/>
  <c r="AL49" i="4"/>
  <c r="AL50" i="4"/>
  <c r="AL51" i="4"/>
  <c r="AL52" i="4"/>
  <c r="AL53" i="4"/>
  <c r="AL54" i="4"/>
  <c r="AL55" i="4"/>
  <c r="AL56" i="4"/>
  <c r="AL57" i="4"/>
  <c r="AL58" i="4"/>
  <c r="AL59" i="4"/>
  <c r="AL60" i="4"/>
  <c r="AL61" i="4"/>
  <c r="AL62" i="4"/>
  <c r="AL63" i="4"/>
  <c r="AL64" i="4"/>
  <c r="AL65" i="4"/>
  <c r="AL66" i="4"/>
  <c r="AL67" i="4"/>
  <c r="AL68" i="4"/>
  <c r="AL69" i="4"/>
  <c r="AL70" i="4"/>
  <c r="AL71" i="4"/>
  <c r="AL72" i="4"/>
  <c r="AL73" i="4"/>
  <c r="AL74" i="4"/>
  <c r="AL75" i="4"/>
  <c r="AL76" i="4"/>
  <c r="AL77" i="4"/>
  <c r="AL78" i="4"/>
  <c r="AL79" i="4"/>
  <c r="AL80" i="4"/>
  <c r="AL81" i="4"/>
  <c r="AL82" i="4"/>
  <c r="AL83" i="4"/>
  <c r="AL84" i="4"/>
  <c r="AL85" i="4"/>
  <c r="AL86" i="4"/>
  <c r="AL87" i="4"/>
  <c r="AL88" i="4"/>
  <c r="AL89" i="4"/>
  <c r="AL90" i="4"/>
  <c r="AL91" i="4"/>
  <c r="AL92" i="4"/>
  <c r="AL93" i="4"/>
  <c r="AL94" i="4"/>
  <c r="AL95" i="4"/>
  <c r="AL96" i="4"/>
  <c r="AL97" i="4"/>
  <c r="AL98" i="4"/>
  <c r="AL99" i="4"/>
  <c r="AL100" i="4"/>
  <c r="AL101" i="4"/>
  <c r="AL102" i="4"/>
  <c r="AL103" i="4"/>
  <c r="AL104" i="4"/>
  <c r="AL105" i="4"/>
  <c r="AL106" i="4"/>
  <c r="AL107" i="4"/>
  <c r="AL108" i="4"/>
  <c r="AL109" i="4"/>
  <c r="AL110" i="4"/>
  <c r="AL111" i="4"/>
  <c r="AL112" i="4"/>
  <c r="AL113" i="4"/>
  <c r="AL114" i="4"/>
  <c r="AL115" i="4"/>
  <c r="AL116" i="4"/>
  <c r="AL117" i="4"/>
  <c r="AL118" i="4"/>
  <c r="AL119" i="4"/>
  <c r="AL120" i="4"/>
  <c r="AL121" i="4"/>
  <c r="AL122" i="4"/>
  <c r="AL123" i="4"/>
  <c r="AL124" i="4"/>
  <c r="AL125" i="4"/>
  <c r="AL126" i="4"/>
  <c r="AL127" i="4"/>
  <c r="AL128" i="4"/>
  <c r="AL129" i="4"/>
  <c r="AL130" i="4"/>
  <c r="AL131" i="4"/>
  <c r="AL132" i="4"/>
  <c r="AL133" i="4"/>
  <c r="AL134" i="4"/>
  <c r="AL135" i="4"/>
  <c r="AL136" i="4"/>
  <c r="AL137" i="4"/>
  <c r="AL138" i="4"/>
  <c r="AL139" i="4"/>
  <c r="AL140" i="4"/>
  <c r="AL141" i="4"/>
  <c r="AL142" i="4"/>
  <c r="AL143" i="4"/>
  <c r="AL144" i="4"/>
  <c r="AL145" i="4"/>
  <c r="AL146" i="4"/>
  <c r="AL147" i="4"/>
  <c r="AL148" i="4"/>
  <c r="AL149" i="4"/>
  <c r="AL150" i="4"/>
  <c r="AL151" i="4"/>
  <c r="AL152" i="4"/>
  <c r="AL153" i="4"/>
  <c r="AL154" i="4"/>
  <c r="AL155" i="4"/>
  <c r="AL156" i="4"/>
  <c r="AL157" i="4"/>
  <c r="AL158" i="4"/>
  <c r="AL159" i="4"/>
  <c r="AL160" i="4"/>
  <c r="AL161" i="4"/>
  <c r="AL162" i="4"/>
  <c r="AL163" i="4"/>
  <c r="AL164" i="4"/>
  <c r="AL165" i="4"/>
  <c r="AL166" i="4"/>
  <c r="AL167" i="4"/>
  <c r="AL168" i="4"/>
  <c r="AL169" i="4"/>
  <c r="AL170" i="4"/>
  <c r="AL171" i="4"/>
  <c r="AL172" i="4"/>
  <c r="AL173" i="4"/>
  <c r="AL174" i="4"/>
  <c r="AL175" i="4"/>
  <c r="AL176" i="4"/>
  <c r="AL177" i="4"/>
  <c r="AL178" i="4"/>
  <c r="AL179" i="4"/>
  <c r="AL180" i="4"/>
  <c r="AL181" i="4"/>
  <c r="AL182" i="4"/>
  <c r="AL183" i="4"/>
  <c r="AL184" i="4"/>
  <c r="AL185" i="4"/>
  <c r="AL186" i="4"/>
  <c r="AL187" i="4"/>
  <c r="AL188" i="4"/>
  <c r="AL189" i="4"/>
  <c r="AL190" i="4"/>
  <c r="AL191" i="4"/>
  <c r="AL192" i="4"/>
  <c r="AL193" i="4"/>
  <c r="AL194" i="4"/>
  <c r="AL195" i="4"/>
  <c r="AL196" i="4"/>
  <c r="AL197" i="4"/>
  <c r="AL198" i="4"/>
  <c r="AL199" i="4"/>
  <c r="AL200" i="4"/>
  <c r="AL201" i="4"/>
  <c r="AL202" i="4"/>
  <c r="AL203" i="4"/>
  <c r="AL204" i="4"/>
  <c r="AL205" i="4"/>
  <c r="AL206" i="4"/>
  <c r="AL207" i="4"/>
  <c r="AL208" i="4"/>
  <c r="AL209" i="4"/>
  <c r="AL210" i="4"/>
  <c r="AL211" i="4"/>
  <c r="AL212" i="4"/>
  <c r="AL213" i="4"/>
  <c r="AL214" i="4"/>
  <c r="AL215" i="4"/>
  <c r="AL216" i="4"/>
  <c r="AL217" i="4"/>
  <c r="AL218" i="4"/>
  <c r="AL219" i="4"/>
  <c r="AL220" i="4"/>
  <c r="AL221" i="4"/>
  <c r="AL222" i="4"/>
  <c r="AL223" i="4"/>
  <c r="AL224" i="4"/>
  <c r="AL225" i="4"/>
  <c r="AL226" i="4"/>
  <c r="AL227" i="4"/>
  <c r="AL228" i="4"/>
  <c r="AL229" i="4"/>
  <c r="AL230" i="4"/>
  <c r="AL231" i="4"/>
  <c r="AL232" i="4"/>
  <c r="AL233" i="4"/>
  <c r="AL234" i="4"/>
  <c r="AL235" i="4"/>
  <c r="AL236" i="4"/>
  <c r="AL237" i="4"/>
  <c r="AL238" i="4"/>
  <c r="AL239" i="4"/>
  <c r="AL240" i="4"/>
  <c r="AL241" i="4"/>
  <c r="AL242" i="4"/>
  <c r="AL243" i="4"/>
  <c r="AL244" i="4"/>
  <c r="AL245" i="4"/>
  <c r="AL246" i="4"/>
  <c r="AL247" i="4"/>
  <c r="AL248" i="4"/>
  <c r="AL249" i="4"/>
  <c r="AL250" i="4"/>
  <c r="AL251" i="4"/>
  <c r="AL252" i="4"/>
  <c r="AL253" i="4"/>
  <c r="AL254" i="4"/>
  <c r="AL255" i="4"/>
  <c r="AL256" i="4"/>
  <c r="AL257" i="4"/>
  <c r="AL258" i="4"/>
  <c r="AL259" i="4"/>
  <c r="AL260" i="4"/>
  <c r="AL261" i="4"/>
  <c r="AL262" i="4"/>
  <c r="AL263" i="4"/>
  <c r="AL264" i="4"/>
  <c r="AL265" i="4"/>
  <c r="AL266" i="4"/>
  <c r="AL267" i="4"/>
  <c r="AL268" i="4"/>
  <c r="AL269" i="4"/>
  <c r="AL270" i="4"/>
  <c r="AL271" i="4"/>
  <c r="AL272" i="4"/>
  <c r="AL273" i="4"/>
  <c r="AL274" i="4"/>
  <c r="AL275" i="4"/>
  <c r="AL276" i="4"/>
  <c r="AL277" i="4"/>
  <c r="AL278" i="4"/>
  <c r="AL279" i="4"/>
  <c r="AL280" i="4"/>
  <c r="AL281" i="4"/>
  <c r="AL282" i="4"/>
  <c r="AL283" i="4"/>
  <c r="AL284" i="4"/>
  <c r="AL285" i="4"/>
  <c r="AL286" i="4"/>
  <c r="AL287" i="4"/>
  <c r="AL288" i="4"/>
  <c r="AL289" i="4"/>
  <c r="AL290" i="4"/>
  <c r="AL291" i="4"/>
  <c r="AL292" i="4"/>
  <c r="AL293" i="4"/>
  <c r="AL294" i="4"/>
  <c r="AL295" i="4"/>
  <c r="AL3" i="4"/>
  <c r="AI4" i="4"/>
  <c r="AI5" i="4"/>
  <c r="AI6" i="4"/>
  <c r="AI7" i="4"/>
  <c r="AI8" i="4"/>
  <c r="AI9" i="4"/>
  <c r="AI10" i="4"/>
  <c r="AI11" i="4"/>
  <c r="AI12" i="4"/>
  <c r="AI13" i="4"/>
  <c r="AI14" i="4"/>
  <c r="AI15" i="4"/>
  <c r="AI16" i="4"/>
  <c r="AI17" i="4"/>
  <c r="AI18" i="4"/>
  <c r="AI19" i="4"/>
  <c r="AI20" i="4"/>
  <c r="AI21" i="4"/>
  <c r="AI22" i="4"/>
  <c r="AI23" i="4"/>
  <c r="AI24" i="4"/>
  <c r="AI25" i="4"/>
  <c r="AI26" i="4"/>
  <c r="AI27" i="4"/>
  <c r="AI28" i="4"/>
  <c r="AI29" i="4"/>
  <c r="AI30" i="4"/>
  <c r="AI31" i="4"/>
  <c r="AI32" i="4"/>
  <c r="AI33" i="4"/>
  <c r="AI34" i="4"/>
  <c r="AI35" i="4"/>
  <c r="AI36" i="4"/>
  <c r="AI37" i="4"/>
  <c r="AI38" i="4"/>
  <c r="AI39" i="4"/>
  <c r="AI40" i="4"/>
  <c r="AI41" i="4"/>
  <c r="AI42" i="4"/>
  <c r="AI43" i="4"/>
  <c r="AI44" i="4"/>
  <c r="AI45" i="4"/>
  <c r="AI46" i="4"/>
  <c r="AI47" i="4"/>
  <c r="AI48" i="4"/>
  <c r="AI49" i="4"/>
  <c r="AI50" i="4"/>
  <c r="AI51" i="4"/>
  <c r="AI52" i="4"/>
  <c r="AI53" i="4"/>
  <c r="AI54" i="4"/>
  <c r="AI55" i="4"/>
  <c r="AI56" i="4"/>
  <c r="AI57" i="4"/>
  <c r="AI58" i="4"/>
  <c r="AI59" i="4"/>
  <c r="AI60" i="4"/>
  <c r="AI61" i="4"/>
  <c r="AI62" i="4"/>
  <c r="AI63" i="4"/>
  <c r="AI64" i="4"/>
  <c r="AI65" i="4"/>
  <c r="AI66" i="4"/>
  <c r="AI67" i="4"/>
  <c r="AI68" i="4"/>
  <c r="AI69" i="4"/>
  <c r="AI70" i="4"/>
  <c r="AI71" i="4"/>
  <c r="AI72" i="4"/>
  <c r="AI73" i="4"/>
  <c r="AI74" i="4"/>
  <c r="AI75" i="4"/>
  <c r="AI76" i="4"/>
  <c r="AI77" i="4"/>
  <c r="AI78" i="4"/>
  <c r="AI79" i="4"/>
  <c r="AI80" i="4"/>
  <c r="AI81" i="4"/>
  <c r="AI82" i="4"/>
  <c r="AI83" i="4"/>
  <c r="AI84" i="4"/>
  <c r="AI85" i="4"/>
  <c r="AI86" i="4"/>
  <c r="AI87" i="4"/>
  <c r="AI88" i="4"/>
  <c r="AI89" i="4"/>
  <c r="AI90" i="4"/>
  <c r="AI91" i="4"/>
  <c r="AI92" i="4"/>
  <c r="AI93" i="4"/>
  <c r="AI94" i="4"/>
  <c r="AI95" i="4"/>
  <c r="AI96" i="4"/>
  <c r="AI97" i="4"/>
  <c r="AI98" i="4"/>
  <c r="AI99" i="4"/>
  <c r="AI100" i="4"/>
  <c r="AI101" i="4"/>
  <c r="AI102" i="4"/>
  <c r="AI103" i="4"/>
  <c r="AI104" i="4"/>
  <c r="AI105" i="4"/>
  <c r="AI106" i="4"/>
  <c r="AI107" i="4"/>
  <c r="AI108" i="4"/>
  <c r="AI109" i="4"/>
  <c r="AI110" i="4"/>
  <c r="AI111" i="4"/>
  <c r="AI112" i="4"/>
  <c r="AI113" i="4"/>
  <c r="AI114" i="4"/>
  <c r="AI115" i="4"/>
  <c r="AI116" i="4"/>
  <c r="AI117" i="4"/>
  <c r="AI118" i="4"/>
  <c r="AI119" i="4"/>
  <c r="AI120" i="4"/>
  <c r="AI121" i="4"/>
  <c r="AI122" i="4"/>
  <c r="AI123" i="4"/>
  <c r="AI124" i="4"/>
  <c r="AI125" i="4"/>
  <c r="AI126" i="4"/>
  <c r="AI127" i="4"/>
  <c r="AI128" i="4"/>
  <c r="AI129" i="4"/>
  <c r="AI130" i="4"/>
  <c r="AI131" i="4"/>
  <c r="AI132" i="4"/>
  <c r="AI133" i="4"/>
  <c r="AI134" i="4"/>
  <c r="AI135" i="4"/>
  <c r="AI136" i="4"/>
  <c r="AI137" i="4"/>
  <c r="AI138" i="4"/>
  <c r="AI139" i="4"/>
  <c r="AI140" i="4"/>
  <c r="AI141" i="4"/>
  <c r="AI142" i="4"/>
  <c r="AI143" i="4"/>
  <c r="AI144" i="4"/>
  <c r="AI145" i="4"/>
  <c r="AI146" i="4"/>
  <c r="AI147" i="4"/>
  <c r="AI148" i="4"/>
  <c r="AI149" i="4"/>
  <c r="AI150" i="4"/>
  <c r="AI151" i="4"/>
  <c r="AI152" i="4"/>
  <c r="AI153" i="4"/>
  <c r="AI154" i="4"/>
  <c r="AI155" i="4"/>
  <c r="AI156" i="4"/>
  <c r="AI157" i="4"/>
  <c r="AI158" i="4"/>
  <c r="AI159" i="4"/>
  <c r="AI160" i="4"/>
  <c r="AI161" i="4"/>
  <c r="AI162" i="4"/>
  <c r="AI163" i="4"/>
  <c r="AI164" i="4"/>
  <c r="AI165" i="4"/>
  <c r="AI166" i="4"/>
  <c r="AI167" i="4"/>
  <c r="AI168" i="4"/>
  <c r="AI169" i="4"/>
  <c r="AI170" i="4"/>
  <c r="AI171" i="4"/>
  <c r="AI172" i="4"/>
  <c r="AI173" i="4"/>
  <c r="AI174" i="4"/>
  <c r="AI175" i="4"/>
  <c r="AI176" i="4"/>
  <c r="AI177" i="4"/>
  <c r="AI178" i="4"/>
  <c r="AI179" i="4"/>
  <c r="AI180" i="4"/>
  <c r="AI181" i="4"/>
  <c r="AI182" i="4"/>
  <c r="AI183" i="4"/>
  <c r="AI184" i="4"/>
  <c r="AI185" i="4"/>
  <c r="AI186" i="4"/>
  <c r="AI187" i="4"/>
  <c r="AI188" i="4"/>
  <c r="AI189" i="4"/>
  <c r="AI190" i="4"/>
  <c r="AI191" i="4"/>
  <c r="AI192" i="4"/>
  <c r="AI193" i="4"/>
  <c r="AI194" i="4"/>
  <c r="AI195" i="4"/>
  <c r="AI196" i="4"/>
  <c r="AI197" i="4"/>
  <c r="AI198" i="4"/>
  <c r="AI199" i="4"/>
  <c r="AI200" i="4"/>
  <c r="AI201" i="4"/>
  <c r="AI202" i="4"/>
  <c r="AI203" i="4"/>
  <c r="AI204" i="4"/>
  <c r="AI205" i="4"/>
  <c r="AI206" i="4"/>
  <c r="AI207" i="4"/>
  <c r="AI208" i="4"/>
  <c r="AI209" i="4"/>
  <c r="AI210" i="4"/>
  <c r="AI211" i="4"/>
  <c r="AI212" i="4"/>
  <c r="AI213" i="4"/>
  <c r="AI214" i="4"/>
  <c r="AI215" i="4"/>
  <c r="AI216" i="4"/>
  <c r="AI217" i="4"/>
  <c r="AI218" i="4"/>
  <c r="AI219" i="4"/>
  <c r="AI220" i="4"/>
  <c r="AI221" i="4"/>
  <c r="AI222" i="4"/>
  <c r="AI223" i="4"/>
  <c r="AI224" i="4"/>
  <c r="AI225" i="4"/>
  <c r="AI226" i="4"/>
  <c r="AI227" i="4"/>
  <c r="AI228" i="4"/>
  <c r="AI229" i="4"/>
  <c r="AI230" i="4"/>
  <c r="AI231" i="4"/>
  <c r="AI232" i="4"/>
  <c r="AI233" i="4"/>
  <c r="AI234" i="4"/>
  <c r="AI235" i="4"/>
  <c r="AI236" i="4"/>
  <c r="AI237" i="4"/>
  <c r="AI238" i="4"/>
  <c r="AI239" i="4"/>
  <c r="AI240" i="4"/>
  <c r="AI241" i="4"/>
  <c r="AI242" i="4"/>
  <c r="AI243" i="4"/>
  <c r="AI244" i="4"/>
  <c r="AI245" i="4"/>
  <c r="AI246" i="4"/>
  <c r="AI247" i="4"/>
  <c r="AI248" i="4"/>
  <c r="AI249" i="4"/>
  <c r="AI250" i="4"/>
  <c r="AI251" i="4"/>
  <c r="AI252" i="4"/>
  <c r="AI253" i="4"/>
  <c r="AI254" i="4"/>
  <c r="AI255" i="4"/>
  <c r="AI256" i="4"/>
  <c r="AI257" i="4"/>
  <c r="AI258" i="4"/>
  <c r="AI259" i="4"/>
  <c r="AI260" i="4"/>
  <c r="AI261" i="4"/>
  <c r="AI262" i="4"/>
  <c r="AI263" i="4"/>
  <c r="AI264" i="4"/>
  <c r="AI265" i="4"/>
  <c r="AI266" i="4"/>
  <c r="AI267" i="4"/>
  <c r="AI268" i="4"/>
  <c r="AI269" i="4"/>
  <c r="AI270" i="4"/>
  <c r="AI271" i="4"/>
  <c r="AI272" i="4"/>
  <c r="AI273" i="4"/>
  <c r="AI274" i="4"/>
  <c r="AI275" i="4"/>
  <c r="AI276" i="4"/>
  <c r="AI277" i="4"/>
  <c r="AI278" i="4"/>
  <c r="AI279" i="4"/>
  <c r="AI280" i="4"/>
  <c r="AI281" i="4"/>
  <c r="AI282" i="4"/>
  <c r="AI283" i="4"/>
  <c r="AI284" i="4"/>
  <c r="AI285" i="4"/>
  <c r="AI286" i="4"/>
  <c r="AI287" i="4"/>
  <c r="AI288" i="4"/>
  <c r="AI289" i="4"/>
  <c r="AI290" i="4"/>
  <c r="AI291" i="4"/>
  <c r="AI292" i="4"/>
  <c r="AI293" i="4"/>
  <c r="AI294" i="4"/>
  <c r="AI295" i="4"/>
  <c r="AI3" i="4"/>
  <c r="AF4" i="4"/>
  <c r="AF5" i="4"/>
  <c r="AF6" i="4"/>
  <c r="AF7" i="4"/>
  <c r="AF8" i="4"/>
  <c r="AF9" i="4"/>
  <c r="AF10" i="4"/>
  <c r="AF11" i="4"/>
  <c r="AF12" i="4"/>
  <c r="AF13" i="4"/>
  <c r="AF14" i="4"/>
  <c r="AF15" i="4"/>
  <c r="AF16" i="4"/>
  <c r="AF17" i="4"/>
  <c r="AF18" i="4"/>
  <c r="AF19" i="4"/>
  <c r="AF20" i="4"/>
  <c r="AF21" i="4"/>
  <c r="AF22" i="4"/>
  <c r="AF23" i="4"/>
  <c r="AF24" i="4"/>
  <c r="AF25" i="4"/>
  <c r="AF26" i="4"/>
  <c r="AF27" i="4"/>
  <c r="AF28" i="4"/>
  <c r="AF29" i="4"/>
  <c r="AF30" i="4"/>
  <c r="AF31" i="4"/>
  <c r="AF32" i="4"/>
  <c r="AF33" i="4"/>
  <c r="AF34" i="4"/>
  <c r="AF35" i="4"/>
  <c r="AF36" i="4"/>
  <c r="AF37" i="4"/>
  <c r="AF38" i="4"/>
  <c r="AF39" i="4"/>
  <c r="AF40" i="4"/>
  <c r="AF41" i="4"/>
  <c r="AF42" i="4"/>
  <c r="AF43" i="4"/>
  <c r="AF44" i="4"/>
  <c r="AF45" i="4"/>
  <c r="AF46" i="4"/>
  <c r="AF47" i="4"/>
  <c r="AF48" i="4"/>
  <c r="AF49" i="4"/>
  <c r="AF50" i="4"/>
  <c r="AF51" i="4"/>
  <c r="AF52" i="4"/>
  <c r="AF53" i="4"/>
  <c r="AF54" i="4"/>
  <c r="AF55" i="4"/>
  <c r="AF56" i="4"/>
  <c r="AF57" i="4"/>
  <c r="AF58" i="4"/>
  <c r="AF59" i="4"/>
  <c r="AF60" i="4"/>
  <c r="AF61" i="4"/>
  <c r="AF62" i="4"/>
  <c r="AF63" i="4"/>
  <c r="AF64" i="4"/>
  <c r="AF65" i="4"/>
  <c r="AF66" i="4"/>
  <c r="AF67" i="4"/>
  <c r="AF68" i="4"/>
  <c r="AF69" i="4"/>
  <c r="AF70" i="4"/>
  <c r="AF71" i="4"/>
  <c r="AF72" i="4"/>
  <c r="AF73" i="4"/>
  <c r="AF74" i="4"/>
  <c r="AF75" i="4"/>
  <c r="AF76" i="4"/>
  <c r="AF77" i="4"/>
  <c r="AF78" i="4"/>
  <c r="AF79" i="4"/>
  <c r="AF80" i="4"/>
  <c r="AF81" i="4"/>
  <c r="AF82" i="4"/>
  <c r="AF83" i="4"/>
  <c r="AF84" i="4"/>
  <c r="AF85" i="4"/>
  <c r="AF86" i="4"/>
  <c r="AF87" i="4"/>
  <c r="AF88" i="4"/>
  <c r="AF89" i="4"/>
  <c r="AF90" i="4"/>
  <c r="AF91" i="4"/>
  <c r="AF92" i="4"/>
  <c r="AF93" i="4"/>
  <c r="AF94" i="4"/>
  <c r="AF95" i="4"/>
  <c r="AF96" i="4"/>
  <c r="AF97" i="4"/>
  <c r="AF98" i="4"/>
  <c r="AF99" i="4"/>
  <c r="AF100" i="4"/>
  <c r="AF101" i="4"/>
  <c r="AF102" i="4"/>
  <c r="AF103" i="4"/>
  <c r="AF104" i="4"/>
  <c r="AF105" i="4"/>
  <c r="AF106" i="4"/>
  <c r="AF107" i="4"/>
  <c r="AF108" i="4"/>
  <c r="AF109" i="4"/>
  <c r="AF110" i="4"/>
  <c r="AF111" i="4"/>
  <c r="AF112" i="4"/>
  <c r="AF113" i="4"/>
  <c r="AF114" i="4"/>
  <c r="AF115" i="4"/>
  <c r="AF116" i="4"/>
  <c r="AF117" i="4"/>
  <c r="AF118" i="4"/>
  <c r="AF119" i="4"/>
  <c r="AF120" i="4"/>
  <c r="AF121" i="4"/>
  <c r="AF122" i="4"/>
  <c r="AF123" i="4"/>
  <c r="AF124" i="4"/>
  <c r="AF125" i="4"/>
  <c r="AF126" i="4"/>
  <c r="AF127" i="4"/>
  <c r="AF128" i="4"/>
  <c r="AF129" i="4"/>
  <c r="AF130" i="4"/>
  <c r="AF131" i="4"/>
  <c r="AF132" i="4"/>
  <c r="AF133" i="4"/>
  <c r="AF134" i="4"/>
  <c r="AF135" i="4"/>
  <c r="AF136" i="4"/>
  <c r="AF137" i="4"/>
  <c r="AF138" i="4"/>
  <c r="AF139" i="4"/>
  <c r="AF140" i="4"/>
  <c r="AF141" i="4"/>
  <c r="AF142" i="4"/>
  <c r="AF143" i="4"/>
  <c r="AF144" i="4"/>
  <c r="AF145" i="4"/>
  <c r="AF146" i="4"/>
  <c r="AF147" i="4"/>
  <c r="AF148" i="4"/>
  <c r="AF149" i="4"/>
  <c r="AF150" i="4"/>
  <c r="AF151" i="4"/>
  <c r="AF152" i="4"/>
  <c r="AF153" i="4"/>
  <c r="AF154" i="4"/>
  <c r="AF155" i="4"/>
  <c r="AF156" i="4"/>
  <c r="AF157" i="4"/>
  <c r="AF158" i="4"/>
  <c r="AF159" i="4"/>
  <c r="AF160" i="4"/>
  <c r="AF161" i="4"/>
  <c r="AF162" i="4"/>
  <c r="AF163" i="4"/>
  <c r="AF164" i="4"/>
  <c r="AF165" i="4"/>
  <c r="AF166" i="4"/>
  <c r="AF167" i="4"/>
  <c r="AF168" i="4"/>
  <c r="AF169" i="4"/>
  <c r="AF170" i="4"/>
  <c r="AF171" i="4"/>
  <c r="AF172" i="4"/>
  <c r="AF173" i="4"/>
  <c r="AF174" i="4"/>
  <c r="AF175" i="4"/>
  <c r="AF176" i="4"/>
  <c r="AF177" i="4"/>
  <c r="AF178" i="4"/>
  <c r="AF179" i="4"/>
  <c r="AF180" i="4"/>
  <c r="AF181" i="4"/>
  <c r="AF182" i="4"/>
  <c r="AF183" i="4"/>
  <c r="AF184" i="4"/>
  <c r="AF185" i="4"/>
  <c r="AF186" i="4"/>
  <c r="AF187" i="4"/>
  <c r="AF188" i="4"/>
  <c r="AF189" i="4"/>
  <c r="AF190" i="4"/>
  <c r="AF191" i="4"/>
  <c r="AF192" i="4"/>
  <c r="AF193" i="4"/>
  <c r="AF194" i="4"/>
  <c r="AF195" i="4"/>
  <c r="AF196" i="4"/>
  <c r="AF197" i="4"/>
  <c r="AF198" i="4"/>
  <c r="AF199" i="4"/>
  <c r="AF200" i="4"/>
  <c r="AF201" i="4"/>
  <c r="AF202" i="4"/>
  <c r="AF203" i="4"/>
  <c r="AF204" i="4"/>
  <c r="AF205" i="4"/>
  <c r="AF206" i="4"/>
  <c r="AF207" i="4"/>
  <c r="AF208" i="4"/>
  <c r="AF209" i="4"/>
  <c r="AF210" i="4"/>
  <c r="AF211" i="4"/>
  <c r="AF212" i="4"/>
  <c r="AF213" i="4"/>
  <c r="AF214" i="4"/>
  <c r="AF215" i="4"/>
  <c r="AF216" i="4"/>
  <c r="AF217" i="4"/>
  <c r="AF218" i="4"/>
  <c r="AF219" i="4"/>
  <c r="AF220" i="4"/>
  <c r="AF221" i="4"/>
  <c r="AF222" i="4"/>
  <c r="AF223" i="4"/>
  <c r="AF224" i="4"/>
  <c r="AF225" i="4"/>
  <c r="AF226" i="4"/>
  <c r="AF227" i="4"/>
  <c r="AF228" i="4"/>
  <c r="AF229" i="4"/>
  <c r="AF230" i="4"/>
  <c r="AF231" i="4"/>
  <c r="AF232" i="4"/>
  <c r="AF233" i="4"/>
  <c r="AF234" i="4"/>
  <c r="AF235" i="4"/>
  <c r="AF236" i="4"/>
  <c r="AF237" i="4"/>
  <c r="AF238" i="4"/>
  <c r="AF239" i="4"/>
  <c r="AF240" i="4"/>
  <c r="AF241" i="4"/>
  <c r="AF242" i="4"/>
  <c r="AF243" i="4"/>
  <c r="AF244" i="4"/>
  <c r="AF245" i="4"/>
  <c r="AF246" i="4"/>
  <c r="AF247" i="4"/>
  <c r="AF248" i="4"/>
  <c r="AF249" i="4"/>
  <c r="AF250" i="4"/>
  <c r="AF251" i="4"/>
  <c r="AF252" i="4"/>
  <c r="AF253" i="4"/>
  <c r="AF254" i="4"/>
  <c r="AF255" i="4"/>
  <c r="AF256" i="4"/>
  <c r="AF257" i="4"/>
  <c r="AF258" i="4"/>
  <c r="AF259" i="4"/>
  <c r="AF260" i="4"/>
  <c r="AF261" i="4"/>
  <c r="AF262" i="4"/>
  <c r="AF263" i="4"/>
  <c r="AF264" i="4"/>
  <c r="AF265" i="4"/>
  <c r="AF266" i="4"/>
  <c r="AF267" i="4"/>
  <c r="AF268" i="4"/>
  <c r="AF269" i="4"/>
  <c r="AF270" i="4"/>
  <c r="AF271" i="4"/>
  <c r="AF272" i="4"/>
  <c r="AF273" i="4"/>
  <c r="AF274" i="4"/>
  <c r="AF275" i="4"/>
  <c r="AF276" i="4"/>
  <c r="AF277" i="4"/>
  <c r="AF278" i="4"/>
  <c r="AF279" i="4"/>
  <c r="AF280" i="4"/>
  <c r="AF281" i="4"/>
  <c r="AF282" i="4"/>
  <c r="AF283" i="4"/>
  <c r="AF284" i="4"/>
  <c r="AF285" i="4"/>
  <c r="AF286" i="4"/>
  <c r="AF287" i="4"/>
  <c r="AF288" i="4"/>
  <c r="AF289" i="4"/>
  <c r="AF290" i="4"/>
  <c r="AF291" i="4"/>
  <c r="AF292" i="4"/>
  <c r="AF293" i="4"/>
  <c r="AF294" i="4"/>
  <c r="AF295" i="4"/>
  <c r="AF3" i="4"/>
  <c r="AC4" i="4"/>
  <c r="AC5" i="4"/>
  <c r="AC6" i="4"/>
  <c r="AC7" i="4"/>
  <c r="AC8" i="4"/>
  <c r="AC9" i="4"/>
  <c r="AC10" i="4"/>
  <c r="AC11" i="4"/>
  <c r="AC12" i="4"/>
  <c r="AC13" i="4"/>
  <c r="AC14" i="4"/>
  <c r="AC15" i="4"/>
  <c r="AC16" i="4"/>
  <c r="AC17" i="4"/>
  <c r="AC18" i="4"/>
  <c r="AC19" i="4"/>
  <c r="AC20" i="4"/>
  <c r="AC21" i="4"/>
  <c r="AC22" i="4"/>
  <c r="AC23" i="4"/>
  <c r="AC24" i="4"/>
  <c r="AC25" i="4"/>
  <c r="AC26" i="4"/>
  <c r="AC27" i="4"/>
  <c r="AC28" i="4"/>
  <c r="AC29" i="4"/>
  <c r="AC30" i="4"/>
  <c r="AC31" i="4"/>
  <c r="AC32" i="4"/>
  <c r="AC33" i="4"/>
  <c r="AC34" i="4"/>
  <c r="AC35" i="4"/>
  <c r="AC36" i="4"/>
  <c r="AC37" i="4"/>
  <c r="AC38" i="4"/>
  <c r="AC39" i="4"/>
  <c r="AC40" i="4"/>
  <c r="AC41" i="4"/>
  <c r="AC42" i="4"/>
  <c r="AC43" i="4"/>
  <c r="AC44" i="4"/>
  <c r="AC45" i="4"/>
  <c r="AC46" i="4"/>
  <c r="AC47" i="4"/>
  <c r="AC48" i="4"/>
  <c r="AC49" i="4"/>
  <c r="AC50" i="4"/>
  <c r="AC51" i="4"/>
  <c r="AC52" i="4"/>
  <c r="AC53" i="4"/>
  <c r="AC54" i="4"/>
  <c r="AC55" i="4"/>
  <c r="AC56" i="4"/>
  <c r="AC57" i="4"/>
  <c r="AC58" i="4"/>
  <c r="AC59" i="4"/>
  <c r="AC60" i="4"/>
  <c r="AC61" i="4"/>
  <c r="AC62" i="4"/>
  <c r="AC63" i="4"/>
  <c r="AC64" i="4"/>
  <c r="AC65" i="4"/>
  <c r="AC66" i="4"/>
  <c r="AC67" i="4"/>
  <c r="AC68" i="4"/>
  <c r="AC69" i="4"/>
  <c r="AC70" i="4"/>
  <c r="AC71" i="4"/>
  <c r="AC72" i="4"/>
  <c r="AC73" i="4"/>
  <c r="AC74" i="4"/>
  <c r="AC75" i="4"/>
  <c r="AC76" i="4"/>
  <c r="AC77" i="4"/>
  <c r="AC78" i="4"/>
  <c r="AC79" i="4"/>
  <c r="AC80" i="4"/>
  <c r="AC81" i="4"/>
  <c r="AC82" i="4"/>
  <c r="AC83" i="4"/>
  <c r="AC84" i="4"/>
  <c r="AC85" i="4"/>
  <c r="AC86" i="4"/>
  <c r="AC87" i="4"/>
  <c r="AC88" i="4"/>
  <c r="AC89" i="4"/>
  <c r="AC90" i="4"/>
  <c r="AC91" i="4"/>
  <c r="AC92" i="4"/>
  <c r="AC93" i="4"/>
  <c r="AC94" i="4"/>
  <c r="AC95" i="4"/>
  <c r="AC96" i="4"/>
  <c r="AC97" i="4"/>
  <c r="AC98" i="4"/>
  <c r="AC99" i="4"/>
  <c r="AC100" i="4"/>
  <c r="AC101" i="4"/>
  <c r="AC102" i="4"/>
  <c r="AC103" i="4"/>
  <c r="AC104" i="4"/>
  <c r="AC105" i="4"/>
  <c r="AC106" i="4"/>
  <c r="AC107" i="4"/>
  <c r="AC108" i="4"/>
  <c r="AC109" i="4"/>
  <c r="AC110" i="4"/>
  <c r="AC111" i="4"/>
  <c r="AC112" i="4"/>
  <c r="AC113" i="4"/>
  <c r="AC114" i="4"/>
  <c r="AC115" i="4"/>
  <c r="AC116" i="4"/>
  <c r="AC117" i="4"/>
  <c r="AC118" i="4"/>
  <c r="AC119" i="4"/>
  <c r="AC120" i="4"/>
  <c r="AC121" i="4"/>
  <c r="AC122" i="4"/>
  <c r="AC123" i="4"/>
  <c r="AC124" i="4"/>
  <c r="AC125" i="4"/>
  <c r="AC126" i="4"/>
  <c r="AC127" i="4"/>
  <c r="AC128" i="4"/>
  <c r="AC129" i="4"/>
  <c r="AC130" i="4"/>
  <c r="AC131" i="4"/>
  <c r="AC132" i="4"/>
  <c r="AC133" i="4"/>
  <c r="AC134" i="4"/>
  <c r="AC135" i="4"/>
  <c r="AC136" i="4"/>
  <c r="AC137" i="4"/>
  <c r="AC138" i="4"/>
  <c r="AC139" i="4"/>
  <c r="AC140" i="4"/>
  <c r="AC141" i="4"/>
  <c r="AC142" i="4"/>
  <c r="AC143" i="4"/>
  <c r="AC144" i="4"/>
  <c r="AC145" i="4"/>
  <c r="AC146" i="4"/>
  <c r="AC147" i="4"/>
  <c r="AC148" i="4"/>
  <c r="AC149" i="4"/>
  <c r="AC150" i="4"/>
  <c r="AC151" i="4"/>
  <c r="AC152" i="4"/>
  <c r="AC153" i="4"/>
  <c r="AC154" i="4"/>
  <c r="AC155" i="4"/>
  <c r="AC156" i="4"/>
  <c r="AC157" i="4"/>
  <c r="AC158" i="4"/>
  <c r="AC159" i="4"/>
  <c r="AC160" i="4"/>
  <c r="AC161" i="4"/>
  <c r="AC162" i="4"/>
  <c r="AC163" i="4"/>
  <c r="AC164" i="4"/>
  <c r="AC165" i="4"/>
  <c r="AC166" i="4"/>
  <c r="AC167" i="4"/>
  <c r="AC168" i="4"/>
  <c r="AC169" i="4"/>
  <c r="AC170" i="4"/>
  <c r="AC171" i="4"/>
  <c r="AC172" i="4"/>
  <c r="AC173" i="4"/>
  <c r="AC174" i="4"/>
  <c r="AC175" i="4"/>
  <c r="AC176" i="4"/>
  <c r="AC177" i="4"/>
  <c r="AC178" i="4"/>
  <c r="AC179" i="4"/>
  <c r="AC180" i="4"/>
  <c r="AC181" i="4"/>
  <c r="AC182" i="4"/>
  <c r="AC183" i="4"/>
  <c r="AC184" i="4"/>
  <c r="AC185" i="4"/>
  <c r="AC186" i="4"/>
  <c r="AC187" i="4"/>
  <c r="AC188" i="4"/>
  <c r="AC189" i="4"/>
  <c r="AC190" i="4"/>
  <c r="AC191" i="4"/>
  <c r="AC192" i="4"/>
  <c r="AC193" i="4"/>
  <c r="AC194" i="4"/>
  <c r="AC195" i="4"/>
  <c r="AC196" i="4"/>
  <c r="AC197" i="4"/>
  <c r="AC198" i="4"/>
  <c r="AC199" i="4"/>
  <c r="AC200" i="4"/>
  <c r="AC201" i="4"/>
  <c r="AC202" i="4"/>
  <c r="AC203" i="4"/>
  <c r="AC204" i="4"/>
  <c r="AC205" i="4"/>
  <c r="AC206" i="4"/>
  <c r="AC207" i="4"/>
  <c r="AC208" i="4"/>
  <c r="AC209" i="4"/>
  <c r="AC210" i="4"/>
  <c r="AC211" i="4"/>
  <c r="AC212" i="4"/>
  <c r="AC213" i="4"/>
  <c r="AC214" i="4"/>
  <c r="AC215" i="4"/>
  <c r="AC216" i="4"/>
  <c r="AC217" i="4"/>
  <c r="AC218" i="4"/>
  <c r="AC219" i="4"/>
  <c r="AC220" i="4"/>
  <c r="AC221" i="4"/>
  <c r="AC222" i="4"/>
  <c r="AC223" i="4"/>
  <c r="AC224" i="4"/>
  <c r="AC225" i="4"/>
  <c r="AC226" i="4"/>
  <c r="AC227" i="4"/>
  <c r="AC228" i="4"/>
  <c r="AC229" i="4"/>
  <c r="AC230" i="4"/>
  <c r="AC231" i="4"/>
  <c r="AC232" i="4"/>
  <c r="AC233" i="4"/>
  <c r="AC234" i="4"/>
  <c r="AC235" i="4"/>
  <c r="AC236" i="4"/>
  <c r="AC237" i="4"/>
  <c r="AC238" i="4"/>
  <c r="AC239" i="4"/>
  <c r="AC240" i="4"/>
  <c r="AC241" i="4"/>
  <c r="AC242" i="4"/>
  <c r="AC243" i="4"/>
  <c r="AC244" i="4"/>
  <c r="AC245" i="4"/>
  <c r="AC246" i="4"/>
  <c r="AC247" i="4"/>
  <c r="AC248" i="4"/>
  <c r="AC249" i="4"/>
  <c r="AC250" i="4"/>
  <c r="AC251" i="4"/>
  <c r="AC252" i="4"/>
  <c r="AC253" i="4"/>
  <c r="AC254" i="4"/>
  <c r="AC255" i="4"/>
  <c r="AC256" i="4"/>
  <c r="AC257" i="4"/>
  <c r="AC258" i="4"/>
  <c r="AC259" i="4"/>
  <c r="AC260" i="4"/>
  <c r="AC261" i="4"/>
  <c r="AC262" i="4"/>
  <c r="AC263" i="4"/>
  <c r="AC264" i="4"/>
  <c r="AC265" i="4"/>
  <c r="AC266" i="4"/>
  <c r="AC267" i="4"/>
  <c r="AC268" i="4"/>
  <c r="AC269" i="4"/>
  <c r="AC270" i="4"/>
  <c r="AC271" i="4"/>
  <c r="AC272" i="4"/>
  <c r="AC273" i="4"/>
  <c r="AC274" i="4"/>
  <c r="AC275" i="4"/>
  <c r="AC276" i="4"/>
  <c r="AC277" i="4"/>
  <c r="AC278" i="4"/>
  <c r="AC279" i="4"/>
  <c r="AC280" i="4"/>
  <c r="AC281" i="4"/>
  <c r="AC282" i="4"/>
  <c r="AC283" i="4"/>
  <c r="AC284" i="4"/>
  <c r="AC285" i="4"/>
  <c r="AC286" i="4"/>
  <c r="AC287" i="4"/>
  <c r="AC288" i="4"/>
  <c r="AC289" i="4"/>
  <c r="AC290" i="4"/>
  <c r="AC291" i="4"/>
  <c r="AC292" i="4"/>
  <c r="AC293" i="4"/>
  <c r="AC294" i="4"/>
  <c r="AC295" i="4"/>
  <c r="AC3" i="4"/>
  <c r="Z4" i="4"/>
  <c r="Z5" i="4"/>
  <c r="Z6" i="4"/>
  <c r="Z7" i="4"/>
  <c r="Z8" i="4"/>
  <c r="Z9" i="4"/>
  <c r="Z10" i="4"/>
  <c r="Z11" i="4"/>
  <c r="Z12" i="4"/>
  <c r="Z13" i="4"/>
  <c r="Z14" i="4"/>
  <c r="Z15" i="4"/>
  <c r="Z16" i="4"/>
  <c r="Z17" i="4"/>
  <c r="Z18" i="4"/>
  <c r="Z19" i="4"/>
  <c r="Z20" i="4"/>
  <c r="Z21" i="4"/>
  <c r="Z22" i="4"/>
  <c r="Z23" i="4"/>
  <c r="Z24" i="4"/>
  <c r="Z25" i="4"/>
  <c r="Z26" i="4"/>
  <c r="Z27" i="4"/>
  <c r="Z28" i="4"/>
  <c r="Z29" i="4"/>
  <c r="Z30" i="4"/>
  <c r="Z31" i="4"/>
  <c r="Z32" i="4"/>
  <c r="Z33" i="4"/>
  <c r="Z34" i="4"/>
  <c r="Z35" i="4"/>
  <c r="Z36" i="4"/>
  <c r="Z37" i="4"/>
  <c r="Z38" i="4"/>
  <c r="Z39" i="4"/>
  <c r="Z40" i="4"/>
  <c r="Z41" i="4"/>
  <c r="Z42" i="4"/>
  <c r="Z43" i="4"/>
  <c r="Z44" i="4"/>
  <c r="Z45" i="4"/>
  <c r="Z46" i="4"/>
  <c r="Z47" i="4"/>
  <c r="Z48" i="4"/>
  <c r="Z49" i="4"/>
  <c r="Z50" i="4"/>
  <c r="Z51" i="4"/>
  <c r="Z52" i="4"/>
  <c r="Z53" i="4"/>
  <c r="Z54" i="4"/>
  <c r="Z55" i="4"/>
  <c r="Z56" i="4"/>
  <c r="Z57" i="4"/>
  <c r="Z58" i="4"/>
  <c r="Z59" i="4"/>
  <c r="Z60" i="4"/>
  <c r="Z61" i="4"/>
  <c r="Z62" i="4"/>
  <c r="Z63" i="4"/>
  <c r="Z64" i="4"/>
  <c r="Z65" i="4"/>
  <c r="Z66" i="4"/>
  <c r="Z67" i="4"/>
  <c r="Z68" i="4"/>
  <c r="Z69" i="4"/>
  <c r="Z70" i="4"/>
  <c r="Z71" i="4"/>
  <c r="Z72" i="4"/>
  <c r="Z73" i="4"/>
  <c r="Z74" i="4"/>
  <c r="Z75" i="4"/>
  <c r="Z76" i="4"/>
  <c r="Z77" i="4"/>
  <c r="Z78" i="4"/>
  <c r="Z79" i="4"/>
  <c r="Z80" i="4"/>
  <c r="Z81" i="4"/>
  <c r="Z82" i="4"/>
  <c r="Z83" i="4"/>
  <c r="Z84" i="4"/>
  <c r="Z85" i="4"/>
  <c r="Z86" i="4"/>
  <c r="Z87" i="4"/>
  <c r="Z88" i="4"/>
  <c r="Z89" i="4"/>
  <c r="Z90" i="4"/>
  <c r="Z91" i="4"/>
  <c r="Z92" i="4"/>
  <c r="Z93" i="4"/>
  <c r="Z94" i="4"/>
  <c r="Z95" i="4"/>
  <c r="Z96" i="4"/>
  <c r="Z97" i="4"/>
  <c r="Z98" i="4"/>
  <c r="Z99" i="4"/>
  <c r="Z100" i="4"/>
  <c r="Z101" i="4"/>
  <c r="Z102" i="4"/>
  <c r="Z103" i="4"/>
  <c r="Z104" i="4"/>
  <c r="Z105" i="4"/>
  <c r="Z106" i="4"/>
  <c r="Z107" i="4"/>
  <c r="Z108" i="4"/>
  <c r="Z109" i="4"/>
  <c r="Z110" i="4"/>
  <c r="Z111" i="4"/>
  <c r="Z112" i="4"/>
  <c r="Z113" i="4"/>
  <c r="Z114" i="4"/>
  <c r="Z115" i="4"/>
  <c r="Z116" i="4"/>
  <c r="Z117" i="4"/>
  <c r="Z118" i="4"/>
  <c r="Z119" i="4"/>
  <c r="Z120" i="4"/>
  <c r="Z121" i="4"/>
  <c r="Z122" i="4"/>
  <c r="Z123" i="4"/>
  <c r="Z124" i="4"/>
  <c r="Z125" i="4"/>
  <c r="Z126" i="4"/>
  <c r="Z127" i="4"/>
  <c r="Z128" i="4"/>
  <c r="Z129" i="4"/>
  <c r="Z130" i="4"/>
  <c r="Z131" i="4"/>
  <c r="Z132" i="4"/>
  <c r="Z133" i="4"/>
  <c r="Z134" i="4"/>
  <c r="Z135" i="4"/>
  <c r="Z136" i="4"/>
  <c r="Z137" i="4"/>
  <c r="Z138" i="4"/>
  <c r="Z139" i="4"/>
  <c r="Z140" i="4"/>
  <c r="Z141" i="4"/>
  <c r="Z142" i="4"/>
  <c r="Z143" i="4"/>
  <c r="Z144" i="4"/>
  <c r="Z145" i="4"/>
  <c r="Z146" i="4"/>
  <c r="Z147" i="4"/>
  <c r="Z148" i="4"/>
  <c r="Z149" i="4"/>
  <c r="Z150" i="4"/>
  <c r="Z151" i="4"/>
  <c r="Z152" i="4"/>
  <c r="Z153" i="4"/>
  <c r="Z154" i="4"/>
  <c r="Z155" i="4"/>
  <c r="Z156" i="4"/>
  <c r="Z157" i="4"/>
  <c r="Z158" i="4"/>
  <c r="Z159" i="4"/>
  <c r="Z160" i="4"/>
  <c r="Z161" i="4"/>
  <c r="Z162" i="4"/>
  <c r="Z163" i="4"/>
  <c r="Z164" i="4"/>
  <c r="Z165" i="4"/>
  <c r="Z166" i="4"/>
  <c r="Z167" i="4"/>
  <c r="Z168" i="4"/>
  <c r="Z169" i="4"/>
  <c r="Z170" i="4"/>
  <c r="Z171" i="4"/>
  <c r="Z172" i="4"/>
  <c r="Z173" i="4"/>
  <c r="Z174" i="4"/>
  <c r="Z175" i="4"/>
  <c r="Z176" i="4"/>
  <c r="Z177" i="4"/>
  <c r="Z178" i="4"/>
  <c r="Z179" i="4"/>
  <c r="Z180" i="4"/>
  <c r="Z181" i="4"/>
  <c r="Z182" i="4"/>
  <c r="Z183" i="4"/>
  <c r="Z184" i="4"/>
  <c r="Z185" i="4"/>
  <c r="Z186" i="4"/>
  <c r="Z187" i="4"/>
  <c r="Z188" i="4"/>
  <c r="Z189" i="4"/>
  <c r="Z190" i="4"/>
  <c r="Z191" i="4"/>
  <c r="Z192" i="4"/>
  <c r="Z193" i="4"/>
  <c r="Z194" i="4"/>
  <c r="Z195" i="4"/>
  <c r="Z196" i="4"/>
  <c r="Z197" i="4"/>
  <c r="Z198" i="4"/>
  <c r="Z199" i="4"/>
  <c r="Z200" i="4"/>
  <c r="Z201" i="4"/>
  <c r="Z202" i="4"/>
  <c r="Z203" i="4"/>
  <c r="Z204" i="4"/>
  <c r="Z205" i="4"/>
  <c r="Z206" i="4"/>
  <c r="Z207" i="4"/>
  <c r="Z208" i="4"/>
  <c r="Z209" i="4"/>
  <c r="Z210" i="4"/>
  <c r="Z211" i="4"/>
  <c r="Z212" i="4"/>
  <c r="Z213" i="4"/>
  <c r="Z214" i="4"/>
  <c r="Z215" i="4"/>
  <c r="Z216" i="4"/>
  <c r="Z217" i="4"/>
  <c r="Z218" i="4"/>
  <c r="Z219" i="4"/>
  <c r="Z220" i="4"/>
  <c r="Z221" i="4"/>
  <c r="Z222" i="4"/>
  <c r="Z223" i="4"/>
  <c r="Z224" i="4"/>
  <c r="Z225" i="4"/>
  <c r="Z226" i="4"/>
  <c r="Z227" i="4"/>
  <c r="Z228" i="4"/>
  <c r="Z229" i="4"/>
  <c r="Z230" i="4"/>
  <c r="Z231" i="4"/>
  <c r="Z232" i="4"/>
  <c r="Z233" i="4"/>
  <c r="Z234" i="4"/>
  <c r="Z235" i="4"/>
  <c r="Z236" i="4"/>
  <c r="Z237" i="4"/>
  <c r="Z238" i="4"/>
  <c r="Z239" i="4"/>
  <c r="Z240" i="4"/>
  <c r="Z241" i="4"/>
  <c r="Z242" i="4"/>
  <c r="Z243" i="4"/>
  <c r="Z244" i="4"/>
  <c r="Z245" i="4"/>
  <c r="Z246" i="4"/>
  <c r="Z247" i="4"/>
  <c r="Z248" i="4"/>
  <c r="Z249" i="4"/>
  <c r="Z250" i="4"/>
  <c r="Z251" i="4"/>
  <c r="Z252" i="4"/>
  <c r="Z253" i="4"/>
  <c r="Z254" i="4"/>
  <c r="Z255" i="4"/>
  <c r="Z256" i="4"/>
  <c r="Z257" i="4"/>
  <c r="Z258" i="4"/>
  <c r="Z259" i="4"/>
  <c r="Z260" i="4"/>
  <c r="Z261" i="4"/>
  <c r="Z262" i="4"/>
  <c r="Z263" i="4"/>
  <c r="Z264" i="4"/>
  <c r="Z265" i="4"/>
  <c r="Z266" i="4"/>
  <c r="Z267" i="4"/>
  <c r="Z268" i="4"/>
  <c r="Z269" i="4"/>
  <c r="Z270" i="4"/>
  <c r="Z271" i="4"/>
  <c r="Z272" i="4"/>
  <c r="Z273" i="4"/>
  <c r="Z274" i="4"/>
  <c r="Z275" i="4"/>
  <c r="Z276" i="4"/>
  <c r="Z277" i="4"/>
  <c r="Z278" i="4"/>
  <c r="Z279" i="4"/>
  <c r="Z280" i="4"/>
  <c r="Z281" i="4"/>
  <c r="Z282" i="4"/>
  <c r="Z283" i="4"/>
  <c r="Z284" i="4"/>
  <c r="Z285" i="4"/>
  <c r="Z286" i="4"/>
  <c r="Z287" i="4"/>
  <c r="Z288" i="4"/>
  <c r="Z289" i="4"/>
  <c r="Z290" i="4"/>
  <c r="Z291" i="4"/>
  <c r="Z292" i="4"/>
  <c r="Z293" i="4"/>
  <c r="Z294" i="4"/>
  <c r="Z295" i="4"/>
  <c r="Z3" i="4"/>
  <c r="W4" i="4"/>
  <c r="W5" i="4"/>
  <c r="W6" i="4"/>
  <c r="W7" i="4"/>
  <c r="W8" i="4"/>
  <c r="W9" i="4"/>
  <c r="W10" i="4"/>
  <c r="W11" i="4"/>
  <c r="W12" i="4"/>
  <c r="W13" i="4"/>
  <c r="W14" i="4"/>
  <c r="W15" i="4"/>
  <c r="W16" i="4"/>
  <c r="W17" i="4"/>
  <c r="W18" i="4"/>
  <c r="W19" i="4"/>
  <c r="W20" i="4"/>
  <c r="W21" i="4"/>
  <c r="W22" i="4"/>
  <c r="W23" i="4"/>
  <c r="W24" i="4"/>
  <c r="W25" i="4"/>
  <c r="W26" i="4"/>
  <c r="W27" i="4"/>
  <c r="W28" i="4"/>
  <c r="W29" i="4"/>
  <c r="W30" i="4"/>
  <c r="W31" i="4"/>
  <c r="W32" i="4"/>
  <c r="W33" i="4"/>
  <c r="W34" i="4"/>
  <c r="W35" i="4"/>
  <c r="W36" i="4"/>
  <c r="W37" i="4"/>
  <c r="W38" i="4"/>
  <c r="W39" i="4"/>
  <c r="W40" i="4"/>
  <c r="W41" i="4"/>
  <c r="W42" i="4"/>
  <c r="W43" i="4"/>
  <c r="W44" i="4"/>
  <c r="W45" i="4"/>
  <c r="W46" i="4"/>
  <c r="W47" i="4"/>
  <c r="W48" i="4"/>
  <c r="W49" i="4"/>
  <c r="W50" i="4"/>
  <c r="W51" i="4"/>
  <c r="W52" i="4"/>
  <c r="W53" i="4"/>
  <c r="W54" i="4"/>
  <c r="W55" i="4"/>
  <c r="W56" i="4"/>
  <c r="W57" i="4"/>
  <c r="W58" i="4"/>
  <c r="W59" i="4"/>
  <c r="W60" i="4"/>
  <c r="W61" i="4"/>
  <c r="W62" i="4"/>
  <c r="W63" i="4"/>
  <c r="W64" i="4"/>
  <c r="W65" i="4"/>
  <c r="W66" i="4"/>
  <c r="W67" i="4"/>
  <c r="W68" i="4"/>
  <c r="W69" i="4"/>
  <c r="W70" i="4"/>
  <c r="W71" i="4"/>
  <c r="W72" i="4"/>
  <c r="W73" i="4"/>
  <c r="W74" i="4"/>
  <c r="W75" i="4"/>
  <c r="W76" i="4"/>
  <c r="W77" i="4"/>
  <c r="W78" i="4"/>
  <c r="W79" i="4"/>
  <c r="W80" i="4"/>
  <c r="W81" i="4"/>
  <c r="W82" i="4"/>
  <c r="W83" i="4"/>
  <c r="W84" i="4"/>
  <c r="W85" i="4"/>
  <c r="W86" i="4"/>
  <c r="W87" i="4"/>
  <c r="W88" i="4"/>
  <c r="W89" i="4"/>
  <c r="W90" i="4"/>
  <c r="W91" i="4"/>
  <c r="W92" i="4"/>
  <c r="W93" i="4"/>
  <c r="W94" i="4"/>
  <c r="W95" i="4"/>
  <c r="W96" i="4"/>
  <c r="W97" i="4"/>
  <c r="W98" i="4"/>
  <c r="W99" i="4"/>
  <c r="W100" i="4"/>
  <c r="W101" i="4"/>
  <c r="W102" i="4"/>
  <c r="W103" i="4"/>
  <c r="W104" i="4"/>
  <c r="W105" i="4"/>
  <c r="W106" i="4"/>
  <c r="W107" i="4"/>
  <c r="W108" i="4"/>
  <c r="W109" i="4"/>
  <c r="W110" i="4"/>
  <c r="W111" i="4"/>
  <c r="W112" i="4"/>
  <c r="W113" i="4"/>
  <c r="W114" i="4"/>
  <c r="W115" i="4"/>
  <c r="W116" i="4"/>
  <c r="W117" i="4"/>
  <c r="W118" i="4"/>
  <c r="W119" i="4"/>
  <c r="W120" i="4"/>
  <c r="W121" i="4"/>
  <c r="W122" i="4"/>
  <c r="W123" i="4"/>
  <c r="W124" i="4"/>
  <c r="W125" i="4"/>
  <c r="W126" i="4"/>
  <c r="W127" i="4"/>
  <c r="W128" i="4"/>
  <c r="W129" i="4"/>
  <c r="W130" i="4"/>
  <c r="W131" i="4"/>
  <c r="W132" i="4"/>
  <c r="W133" i="4"/>
  <c r="W134" i="4"/>
  <c r="W135" i="4"/>
  <c r="W136" i="4"/>
  <c r="W137" i="4"/>
  <c r="W138" i="4"/>
  <c r="W139" i="4"/>
  <c r="W140" i="4"/>
  <c r="W141" i="4"/>
  <c r="W142" i="4"/>
  <c r="W143" i="4"/>
  <c r="W144" i="4"/>
  <c r="W145" i="4"/>
  <c r="W146" i="4"/>
  <c r="W147" i="4"/>
  <c r="W148" i="4"/>
  <c r="W149" i="4"/>
  <c r="W150" i="4"/>
  <c r="W151" i="4"/>
  <c r="W152" i="4"/>
  <c r="W153" i="4"/>
  <c r="W154" i="4"/>
  <c r="W155" i="4"/>
  <c r="W156" i="4"/>
  <c r="W157" i="4"/>
  <c r="W158" i="4"/>
  <c r="W159" i="4"/>
  <c r="W160" i="4"/>
  <c r="W161" i="4"/>
  <c r="W162" i="4"/>
  <c r="W163" i="4"/>
  <c r="W164" i="4"/>
  <c r="W165" i="4"/>
  <c r="W166" i="4"/>
  <c r="W167" i="4"/>
  <c r="W168" i="4"/>
  <c r="W169" i="4"/>
  <c r="W170" i="4"/>
  <c r="W171" i="4"/>
  <c r="W172" i="4"/>
  <c r="W173" i="4"/>
  <c r="W174" i="4"/>
  <c r="W175" i="4"/>
  <c r="W176" i="4"/>
  <c r="W177" i="4"/>
  <c r="W178" i="4"/>
  <c r="W179" i="4"/>
  <c r="W180" i="4"/>
  <c r="W181" i="4"/>
  <c r="W182" i="4"/>
  <c r="W183" i="4"/>
  <c r="W184" i="4"/>
  <c r="W185" i="4"/>
  <c r="W186" i="4"/>
  <c r="W187" i="4"/>
  <c r="W188" i="4"/>
  <c r="W189" i="4"/>
  <c r="W190" i="4"/>
  <c r="W191" i="4"/>
  <c r="W192" i="4"/>
  <c r="W193" i="4"/>
  <c r="W194" i="4"/>
  <c r="W195" i="4"/>
  <c r="W196" i="4"/>
  <c r="W197" i="4"/>
  <c r="W198" i="4"/>
  <c r="W199" i="4"/>
  <c r="W200" i="4"/>
  <c r="W201" i="4"/>
  <c r="W202" i="4"/>
  <c r="W203" i="4"/>
  <c r="W204" i="4"/>
  <c r="W205" i="4"/>
  <c r="W206" i="4"/>
  <c r="W207" i="4"/>
  <c r="W208" i="4"/>
  <c r="W209" i="4"/>
  <c r="W210" i="4"/>
  <c r="W211" i="4"/>
  <c r="W212" i="4"/>
  <c r="W213" i="4"/>
  <c r="W214" i="4"/>
  <c r="W215" i="4"/>
  <c r="W216" i="4"/>
  <c r="W217" i="4"/>
  <c r="W218" i="4"/>
  <c r="W219" i="4"/>
  <c r="W220" i="4"/>
  <c r="W221" i="4"/>
  <c r="W222" i="4"/>
  <c r="W223" i="4"/>
  <c r="W224" i="4"/>
  <c r="W225" i="4"/>
  <c r="W226" i="4"/>
  <c r="W227" i="4"/>
  <c r="W228" i="4"/>
  <c r="W229" i="4"/>
  <c r="W230" i="4"/>
  <c r="W231" i="4"/>
  <c r="W232" i="4"/>
  <c r="W233" i="4"/>
  <c r="W234" i="4"/>
  <c r="W235" i="4"/>
  <c r="W236" i="4"/>
  <c r="W237" i="4"/>
  <c r="W238" i="4"/>
  <c r="W239" i="4"/>
  <c r="W240" i="4"/>
  <c r="W241" i="4"/>
  <c r="W242" i="4"/>
  <c r="W243" i="4"/>
  <c r="W244" i="4"/>
  <c r="W245" i="4"/>
  <c r="W246" i="4"/>
  <c r="W247" i="4"/>
  <c r="W248" i="4"/>
  <c r="W249" i="4"/>
  <c r="W250" i="4"/>
  <c r="W251" i="4"/>
  <c r="W252" i="4"/>
  <c r="W253" i="4"/>
  <c r="W254" i="4"/>
  <c r="W255" i="4"/>
  <c r="W256" i="4"/>
  <c r="W257" i="4"/>
  <c r="W258" i="4"/>
  <c r="W259" i="4"/>
  <c r="W260" i="4"/>
  <c r="W261" i="4"/>
  <c r="W262" i="4"/>
  <c r="W263" i="4"/>
  <c r="W264" i="4"/>
  <c r="W265" i="4"/>
  <c r="W266" i="4"/>
  <c r="W267" i="4"/>
  <c r="W268" i="4"/>
  <c r="W269" i="4"/>
  <c r="W270" i="4"/>
  <c r="W271" i="4"/>
  <c r="W272" i="4"/>
  <c r="W273" i="4"/>
  <c r="W274" i="4"/>
  <c r="W275" i="4"/>
  <c r="W276" i="4"/>
  <c r="W277" i="4"/>
  <c r="W278" i="4"/>
  <c r="W279" i="4"/>
  <c r="W280" i="4"/>
  <c r="W281" i="4"/>
  <c r="W282" i="4"/>
  <c r="W283" i="4"/>
  <c r="W284" i="4"/>
  <c r="W285" i="4"/>
  <c r="W286" i="4"/>
  <c r="W287" i="4"/>
  <c r="W288" i="4"/>
  <c r="W289" i="4"/>
  <c r="W290" i="4"/>
  <c r="W291" i="4"/>
  <c r="W292" i="4"/>
  <c r="W293" i="4"/>
  <c r="W294" i="4"/>
  <c r="W295" i="4"/>
  <c r="W3" i="4"/>
  <c r="T4" i="4"/>
  <c r="T5" i="4"/>
  <c r="T6" i="4"/>
  <c r="T7" i="4"/>
  <c r="T8" i="4"/>
  <c r="T9" i="4"/>
  <c r="T10" i="4"/>
  <c r="T11" i="4"/>
  <c r="T12" i="4"/>
  <c r="T13" i="4"/>
  <c r="T14" i="4"/>
  <c r="T15" i="4"/>
  <c r="T16" i="4"/>
  <c r="T17" i="4"/>
  <c r="T18" i="4"/>
  <c r="T19" i="4"/>
  <c r="T20" i="4"/>
  <c r="T21" i="4"/>
  <c r="T22" i="4"/>
  <c r="T23" i="4"/>
  <c r="T24" i="4"/>
  <c r="T25" i="4"/>
  <c r="T26" i="4"/>
  <c r="T27" i="4"/>
  <c r="T28" i="4"/>
  <c r="T29" i="4"/>
  <c r="T30" i="4"/>
  <c r="T31" i="4"/>
  <c r="T32" i="4"/>
  <c r="T33" i="4"/>
  <c r="T34" i="4"/>
  <c r="T35" i="4"/>
  <c r="T36" i="4"/>
  <c r="T37" i="4"/>
  <c r="T38" i="4"/>
  <c r="T39" i="4"/>
  <c r="T40" i="4"/>
  <c r="T41" i="4"/>
  <c r="T42" i="4"/>
  <c r="T43" i="4"/>
  <c r="T44" i="4"/>
  <c r="T45" i="4"/>
  <c r="T46" i="4"/>
  <c r="T47" i="4"/>
  <c r="T48" i="4"/>
  <c r="T49" i="4"/>
  <c r="T50" i="4"/>
  <c r="T51" i="4"/>
  <c r="T52" i="4"/>
  <c r="T53" i="4"/>
  <c r="T54" i="4"/>
  <c r="T55" i="4"/>
  <c r="T56" i="4"/>
  <c r="T57" i="4"/>
  <c r="T58" i="4"/>
  <c r="T59" i="4"/>
  <c r="T60" i="4"/>
  <c r="T61" i="4"/>
  <c r="T62" i="4"/>
  <c r="T63" i="4"/>
  <c r="T64" i="4"/>
  <c r="T65" i="4"/>
  <c r="T66" i="4"/>
  <c r="T67" i="4"/>
  <c r="T68" i="4"/>
  <c r="T69" i="4"/>
  <c r="T70" i="4"/>
  <c r="T71" i="4"/>
  <c r="T72" i="4"/>
  <c r="T73" i="4"/>
  <c r="T74" i="4"/>
  <c r="T75" i="4"/>
  <c r="T76" i="4"/>
  <c r="T77" i="4"/>
  <c r="T78" i="4"/>
  <c r="T79" i="4"/>
  <c r="T80" i="4"/>
  <c r="T81" i="4"/>
  <c r="T82" i="4"/>
  <c r="T83" i="4"/>
  <c r="T84" i="4"/>
  <c r="T85" i="4"/>
  <c r="T86" i="4"/>
  <c r="T87" i="4"/>
  <c r="T88" i="4"/>
  <c r="T89" i="4"/>
  <c r="T90" i="4"/>
  <c r="T91" i="4"/>
  <c r="T92" i="4"/>
  <c r="T93" i="4"/>
  <c r="T94" i="4"/>
  <c r="T95" i="4"/>
  <c r="T96" i="4"/>
  <c r="T97" i="4"/>
  <c r="T98" i="4"/>
  <c r="T99" i="4"/>
  <c r="T100" i="4"/>
  <c r="T101" i="4"/>
  <c r="T102" i="4"/>
  <c r="T103" i="4"/>
  <c r="T104" i="4"/>
  <c r="T105" i="4"/>
  <c r="T106" i="4"/>
  <c r="T107" i="4"/>
  <c r="T108" i="4"/>
  <c r="T109" i="4"/>
  <c r="T110" i="4"/>
  <c r="T111" i="4"/>
  <c r="T112" i="4"/>
  <c r="T113" i="4"/>
  <c r="T114" i="4"/>
  <c r="T115" i="4"/>
  <c r="T116" i="4"/>
  <c r="T117" i="4"/>
  <c r="T118" i="4"/>
  <c r="T119" i="4"/>
  <c r="T120" i="4"/>
  <c r="T121" i="4"/>
  <c r="T122" i="4"/>
  <c r="T123" i="4"/>
  <c r="T124" i="4"/>
  <c r="T125" i="4"/>
  <c r="T126" i="4"/>
  <c r="T127" i="4"/>
  <c r="T128" i="4"/>
  <c r="T129" i="4"/>
  <c r="T130" i="4"/>
  <c r="T131" i="4"/>
  <c r="T132" i="4"/>
  <c r="T133" i="4"/>
  <c r="T134" i="4"/>
  <c r="T135" i="4"/>
  <c r="T136" i="4"/>
  <c r="T137" i="4"/>
  <c r="T138" i="4"/>
  <c r="T139" i="4"/>
  <c r="T140" i="4"/>
  <c r="T141" i="4"/>
  <c r="T142" i="4"/>
  <c r="T143" i="4"/>
  <c r="T144" i="4"/>
  <c r="T145" i="4"/>
  <c r="T146" i="4"/>
  <c r="T147" i="4"/>
  <c r="T148" i="4"/>
  <c r="T149" i="4"/>
  <c r="T150" i="4"/>
  <c r="T151" i="4"/>
  <c r="T152" i="4"/>
  <c r="T153" i="4"/>
  <c r="T154" i="4"/>
  <c r="T155" i="4"/>
  <c r="T156" i="4"/>
  <c r="T157" i="4"/>
  <c r="T158" i="4"/>
  <c r="T159" i="4"/>
  <c r="T160" i="4"/>
  <c r="T161" i="4"/>
  <c r="T162" i="4"/>
  <c r="T163" i="4"/>
  <c r="T164" i="4"/>
  <c r="T165" i="4"/>
  <c r="T166" i="4"/>
  <c r="T167" i="4"/>
  <c r="T168" i="4"/>
  <c r="T169" i="4"/>
  <c r="T170" i="4"/>
  <c r="T171" i="4"/>
  <c r="T172" i="4"/>
  <c r="T173" i="4"/>
  <c r="T174" i="4"/>
  <c r="T175" i="4"/>
  <c r="T176" i="4"/>
  <c r="T177" i="4"/>
  <c r="T178" i="4"/>
  <c r="T179" i="4"/>
  <c r="T180" i="4"/>
  <c r="T181" i="4"/>
  <c r="T182" i="4"/>
  <c r="T183" i="4"/>
  <c r="T184" i="4"/>
  <c r="T185" i="4"/>
  <c r="T186" i="4"/>
  <c r="T187" i="4"/>
  <c r="T188" i="4"/>
  <c r="T189" i="4"/>
  <c r="T190" i="4"/>
  <c r="T191" i="4"/>
  <c r="T192" i="4"/>
  <c r="T193" i="4"/>
  <c r="T194" i="4"/>
  <c r="T195" i="4"/>
  <c r="T196" i="4"/>
  <c r="T197" i="4"/>
  <c r="T198" i="4"/>
  <c r="T199" i="4"/>
  <c r="T200" i="4"/>
  <c r="T201" i="4"/>
  <c r="T202" i="4"/>
  <c r="T203" i="4"/>
  <c r="T204" i="4"/>
  <c r="T205" i="4"/>
  <c r="T206" i="4"/>
  <c r="T207" i="4"/>
  <c r="T208" i="4"/>
  <c r="T209" i="4"/>
  <c r="T210" i="4"/>
  <c r="T211" i="4"/>
  <c r="T212" i="4"/>
  <c r="T213" i="4"/>
  <c r="T214" i="4"/>
  <c r="T215" i="4"/>
  <c r="T216" i="4"/>
  <c r="T217" i="4"/>
  <c r="T218" i="4"/>
  <c r="T219" i="4"/>
  <c r="T220" i="4"/>
  <c r="T221" i="4"/>
  <c r="T222" i="4"/>
  <c r="T223" i="4"/>
  <c r="T224" i="4"/>
  <c r="T225" i="4"/>
  <c r="T226" i="4"/>
  <c r="T227" i="4"/>
  <c r="T228" i="4"/>
  <c r="T229" i="4"/>
  <c r="T230" i="4"/>
  <c r="T231" i="4"/>
  <c r="T232" i="4"/>
  <c r="T233" i="4"/>
  <c r="T234" i="4"/>
  <c r="T235" i="4"/>
  <c r="T236" i="4"/>
  <c r="T237" i="4"/>
  <c r="T238" i="4"/>
  <c r="T239" i="4"/>
  <c r="T240" i="4"/>
  <c r="T241" i="4"/>
  <c r="T242" i="4"/>
  <c r="T243" i="4"/>
  <c r="T244" i="4"/>
  <c r="T245" i="4"/>
  <c r="T246" i="4"/>
  <c r="T247" i="4"/>
  <c r="T248" i="4"/>
  <c r="T249" i="4"/>
  <c r="T250" i="4"/>
  <c r="T251" i="4"/>
  <c r="T252" i="4"/>
  <c r="T253" i="4"/>
  <c r="T254" i="4"/>
  <c r="T255" i="4"/>
  <c r="T256" i="4"/>
  <c r="T257" i="4"/>
  <c r="T258" i="4"/>
  <c r="T259" i="4"/>
  <c r="T260" i="4"/>
  <c r="T261" i="4"/>
  <c r="T262" i="4"/>
  <c r="T263" i="4"/>
  <c r="T264" i="4"/>
  <c r="T265" i="4"/>
  <c r="T266" i="4"/>
  <c r="T267" i="4"/>
  <c r="T268" i="4"/>
  <c r="T269" i="4"/>
  <c r="T270" i="4"/>
  <c r="T271" i="4"/>
  <c r="T272" i="4"/>
  <c r="T273" i="4"/>
  <c r="T274" i="4"/>
  <c r="T275" i="4"/>
  <c r="T276" i="4"/>
  <c r="T277" i="4"/>
  <c r="T278" i="4"/>
  <c r="T279" i="4"/>
  <c r="T280" i="4"/>
  <c r="T281" i="4"/>
  <c r="T282" i="4"/>
  <c r="T283" i="4"/>
  <c r="T284" i="4"/>
  <c r="T285" i="4"/>
  <c r="T286" i="4"/>
  <c r="T287" i="4"/>
  <c r="T288" i="4"/>
  <c r="T289" i="4"/>
  <c r="T290" i="4"/>
  <c r="T291" i="4"/>
  <c r="T292" i="4"/>
  <c r="T293" i="4"/>
  <c r="T294" i="4"/>
  <c r="T295" i="4"/>
  <c r="T3" i="4"/>
  <c r="Q4" i="4"/>
  <c r="Q5" i="4"/>
  <c r="Q6" i="4"/>
  <c r="Q7" i="4"/>
  <c r="Q8" i="4"/>
  <c r="Q9" i="4"/>
  <c r="Q10" i="4"/>
  <c r="Q11" i="4"/>
  <c r="Q12" i="4"/>
  <c r="Q13" i="4"/>
  <c r="Q14" i="4"/>
  <c r="Q15" i="4"/>
  <c r="Q16" i="4"/>
  <c r="Q17" i="4"/>
  <c r="Q18" i="4"/>
  <c r="Q19" i="4"/>
  <c r="Q20" i="4"/>
  <c r="Q21" i="4"/>
  <c r="Q22" i="4"/>
  <c r="Q23" i="4"/>
  <c r="Q24" i="4"/>
  <c r="Q25" i="4"/>
  <c r="Q26" i="4"/>
  <c r="Q27" i="4"/>
  <c r="Q28" i="4"/>
  <c r="Q29" i="4"/>
  <c r="Q30" i="4"/>
  <c r="Q31" i="4"/>
  <c r="Q32" i="4"/>
  <c r="Q33" i="4"/>
  <c r="Q34" i="4"/>
  <c r="Q35" i="4"/>
  <c r="Q36" i="4"/>
  <c r="Q37" i="4"/>
  <c r="Q38" i="4"/>
  <c r="Q39" i="4"/>
  <c r="Q40" i="4"/>
  <c r="Q41" i="4"/>
  <c r="Q42" i="4"/>
  <c r="Q43" i="4"/>
  <c r="Q44" i="4"/>
  <c r="Q45" i="4"/>
  <c r="Q46" i="4"/>
  <c r="Q47" i="4"/>
  <c r="Q48" i="4"/>
  <c r="Q49" i="4"/>
  <c r="Q50" i="4"/>
  <c r="Q51" i="4"/>
  <c r="Q52" i="4"/>
  <c r="Q53" i="4"/>
  <c r="Q54" i="4"/>
  <c r="Q55" i="4"/>
  <c r="Q56" i="4"/>
  <c r="Q57" i="4"/>
  <c r="Q58" i="4"/>
  <c r="Q59" i="4"/>
  <c r="Q60" i="4"/>
  <c r="Q61" i="4"/>
  <c r="Q62" i="4"/>
  <c r="Q63" i="4"/>
  <c r="Q64" i="4"/>
  <c r="Q65" i="4"/>
  <c r="Q66" i="4"/>
  <c r="Q67" i="4"/>
  <c r="Q68" i="4"/>
  <c r="Q69" i="4"/>
  <c r="Q70" i="4"/>
  <c r="Q71" i="4"/>
  <c r="Q72" i="4"/>
  <c r="Q73" i="4"/>
  <c r="Q74" i="4"/>
  <c r="Q75" i="4"/>
  <c r="Q76" i="4"/>
  <c r="Q77" i="4"/>
  <c r="Q78" i="4"/>
  <c r="Q79" i="4"/>
  <c r="Q80" i="4"/>
  <c r="Q81" i="4"/>
  <c r="Q82" i="4"/>
  <c r="Q83" i="4"/>
  <c r="Q84" i="4"/>
  <c r="Q85" i="4"/>
  <c r="Q86" i="4"/>
  <c r="Q87" i="4"/>
  <c r="Q88" i="4"/>
  <c r="Q89" i="4"/>
  <c r="Q90" i="4"/>
  <c r="Q91" i="4"/>
  <c r="Q92" i="4"/>
  <c r="Q93" i="4"/>
  <c r="Q94" i="4"/>
  <c r="Q95" i="4"/>
  <c r="Q96" i="4"/>
  <c r="Q97" i="4"/>
  <c r="Q98" i="4"/>
  <c r="Q99" i="4"/>
  <c r="Q100" i="4"/>
  <c r="Q101" i="4"/>
  <c r="Q102" i="4"/>
  <c r="Q103" i="4"/>
  <c r="Q104" i="4"/>
  <c r="Q105" i="4"/>
  <c r="Q106" i="4"/>
  <c r="Q107" i="4"/>
  <c r="Q108" i="4"/>
  <c r="Q109" i="4"/>
  <c r="Q110" i="4"/>
  <c r="Q111" i="4"/>
  <c r="Q112" i="4"/>
  <c r="Q113" i="4"/>
  <c r="Q114" i="4"/>
  <c r="Q115" i="4"/>
  <c r="Q116" i="4"/>
  <c r="Q117" i="4"/>
  <c r="Q118" i="4"/>
  <c r="Q119" i="4"/>
  <c r="Q120" i="4"/>
  <c r="Q121" i="4"/>
  <c r="Q122" i="4"/>
  <c r="Q123" i="4"/>
  <c r="Q124" i="4"/>
  <c r="Q125" i="4"/>
  <c r="Q126" i="4"/>
  <c r="Q127" i="4"/>
  <c r="Q128" i="4"/>
  <c r="Q129" i="4"/>
  <c r="Q130" i="4"/>
  <c r="Q131" i="4"/>
  <c r="Q132" i="4"/>
  <c r="Q133" i="4"/>
  <c r="Q134" i="4"/>
  <c r="Q135" i="4"/>
  <c r="Q136" i="4"/>
  <c r="Q137" i="4"/>
  <c r="Q138" i="4"/>
  <c r="Q139" i="4"/>
  <c r="Q140" i="4"/>
  <c r="Q141" i="4"/>
  <c r="Q142" i="4"/>
  <c r="Q143" i="4"/>
  <c r="Q144" i="4"/>
  <c r="Q145" i="4"/>
  <c r="Q146" i="4"/>
  <c r="Q147" i="4"/>
  <c r="Q148" i="4"/>
  <c r="Q149" i="4"/>
  <c r="Q150" i="4"/>
  <c r="Q151" i="4"/>
  <c r="Q152" i="4"/>
  <c r="Q153" i="4"/>
  <c r="Q154" i="4"/>
  <c r="Q155" i="4"/>
  <c r="Q156" i="4"/>
  <c r="Q157" i="4"/>
  <c r="Q158" i="4"/>
  <c r="Q159" i="4"/>
  <c r="Q160" i="4"/>
  <c r="Q161" i="4"/>
  <c r="Q162" i="4"/>
  <c r="Q163" i="4"/>
  <c r="Q164" i="4"/>
  <c r="Q165" i="4"/>
  <c r="Q166" i="4"/>
  <c r="Q167" i="4"/>
  <c r="Q168" i="4"/>
  <c r="Q169" i="4"/>
  <c r="Q170" i="4"/>
  <c r="Q171" i="4"/>
  <c r="Q172" i="4"/>
  <c r="Q173" i="4"/>
  <c r="Q174" i="4"/>
  <c r="Q175" i="4"/>
  <c r="Q176" i="4"/>
  <c r="Q177" i="4"/>
  <c r="Q178" i="4"/>
  <c r="Q179" i="4"/>
  <c r="Q180" i="4"/>
  <c r="Q181" i="4"/>
  <c r="Q182" i="4"/>
  <c r="Q183" i="4"/>
  <c r="Q184" i="4"/>
  <c r="Q185" i="4"/>
  <c r="Q186" i="4"/>
  <c r="Q187" i="4"/>
  <c r="Q188" i="4"/>
  <c r="Q189" i="4"/>
  <c r="Q190" i="4"/>
  <c r="Q191" i="4"/>
  <c r="Q192" i="4"/>
  <c r="Q193" i="4"/>
  <c r="Q194" i="4"/>
  <c r="Q195" i="4"/>
  <c r="Q196" i="4"/>
  <c r="Q197" i="4"/>
  <c r="Q198" i="4"/>
  <c r="Q199" i="4"/>
  <c r="Q200" i="4"/>
  <c r="Q201" i="4"/>
  <c r="Q202" i="4"/>
  <c r="Q203" i="4"/>
  <c r="Q204" i="4"/>
  <c r="Q205" i="4"/>
  <c r="Q206" i="4"/>
  <c r="Q207" i="4"/>
  <c r="Q208" i="4"/>
  <c r="Q209" i="4"/>
  <c r="Q210" i="4"/>
  <c r="Q211" i="4"/>
  <c r="Q212" i="4"/>
  <c r="Q213" i="4"/>
  <c r="Q214" i="4"/>
  <c r="Q215" i="4"/>
  <c r="Q216" i="4"/>
  <c r="Q217" i="4"/>
  <c r="Q218" i="4"/>
  <c r="Q219" i="4"/>
  <c r="Q220" i="4"/>
  <c r="Q221" i="4"/>
  <c r="Q222" i="4"/>
  <c r="Q223" i="4"/>
  <c r="Q224" i="4"/>
  <c r="Q225" i="4"/>
  <c r="Q226" i="4"/>
  <c r="Q227" i="4"/>
  <c r="Q228" i="4"/>
  <c r="Q229" i="4"/>
  <c r="Q230" i="4"/>
  <c r="Q231" i="4"/>
  <c r="Q232" i="4"/>
  <c r="Q233" i="4"/>
  <c r="Q234" i="4"/>
  <c r="Q235" i="4"/>
  <c r="Q236" i="4"/>
  <c r="Q237" i="4"/>
  <c r="Q238" i="4"/>
  <c r="Q239" i="4"/>
  <c r="Q240" i="4"/>
  <c r="Q241" i="4"/>
  <c r="Q242" i="4"/>
  <c r="Q243" i="4"/>
  <c r="Q244" i="4"/>
  <c r="Q245" i="4"/>
  <c r="Q246" i="4"/>
  <c r="Q247" i="4"/>
  <c r="Q248" i="4"/>
  <c r="Q249" i="4"/>
  <c r="Q250" i="4"/>
  <c r="Q251" i="4"/>
  <c r="Q252" i="4"/>
  <c r="Q253" i="4"/>
  <c r="Q254" i="4"/>
  <c r="Q255" i="4"/>
  <c r="Q256" i="4"/>
  <c r="Q257" i="4"/>
  <c r="Q258" i="4"/>
  <c r="Q259" i="4"/>
  <c r="Q260" i="4"/>
  <c r="Q261" i="4"/>
  <c r="Q262" i="4"/>
  <c r="Q263" i="4"/>
  <c r="Q264" i="4"/>
  <c r="Q265" i="4"/>
  <c r="Q266" i="4"/>
  <c r="Q267" i="4"/>
  <c r="Q268" i="4"/>
  <c r="Q269" i="4"/>
  <c r="Q270" i="4"/>
  <c r="Q271" i="4"/>
  <c r="Q272" i="4"/>
  <c r="Q273" i="4"/>
  <c r="Q274" i="4"/>
  <c r="Q275" i="4"/>
  <c r="Q276" i="4"/>
  <c r="Q277" i="4"/>
  <c r="Q278" i="4"/>
  <c r="Q279" i="4"/>
  <c r="Q280" i="4"/>
  <c r="Q281" i="4"/>
  <c r="Q282" i="4"/>
  <c r="Q283" i="4"/>
  <c r="Q284" i="4"/>
  <c r="Q285" i="4"/>
  <c r="Q286" i="4"/>
  <c r="Q287" i="4"/>
  <c r="Q288" i="4"/>
  <c r="Q289" i="4"/>
  <c r="Q290" i="4"/>
  <c r="Q291" i="4"/>
  <c r="Q292" i="4"/>
  <c r="Q293" i="4"/>
  <c r="Q294" i="4"/>
  <c r="Q295" i="4"/>
  <c r="Q3" i="4"/>
  <c r="N4" i="4"/>
  <c r="N5" i="4"/>
  <c r="N6" i="4"/>
  <c r="N7" i="4"/>
  <c r="N8" i="4"/>
  <c r="N9" i="4"/>
  <c r="N10" i="4"/>
  <c r="N11" i="4"/>
  <c r="N12" i="4"/>
  <c r="N13" i="4"/>
  <c r="N14" i="4"/>
  <c r="N15" i="4"/>
  <c r="N16" i="4"/>
  <c r="N17" i="4"/>
  <c r="N18" i="4"/>
  <c r="N19" i="4"/>
  <c r="N20" i="4"/>
  <c r="N21" i="4"/>
  <c r="N22" i="4"/>
  <c r="N23" i="4"/>
  <c r="N24" i="4"/>
  <c r="N25" i="4"/>
  <c r="N26" i="4"/>
  <c r="N27" i="4"/>
  <c r="N28" i="4"/>
  <c r="N29" i="4"/>
  <c r="N30" i="4"/>
  <c r="N31" i="4"/>
  <c r="N32" i="4"/>
  <c r="N33" i="4"/>
  <c r="N34" i="4"/>
  <c r="N35" i="4"/>
  <c r="N36" i="4"/>
  <c r="N37" i="4"/>
  <c r="N38" i="4"/>
  <c r="N39" i="4"/>
  <c r="N40" i="4"/>
  <c r="N41" i="4"/>
  <c r="N42" i="4"/>
  <c r="N43" i="4"/>
  <c r="N44" i="4"/>
  <c r="N45" i="4"/>
  <c r="N46" i="4"/>
  <c r="N47" i="4"/>
  <c r="N48" i="4"/>
  <c r="N49" i="4"/>
  <c r="N50" i="4"/>
  <c r="N51" i="4"/>
  <c r="N52" i="4"/>
  <c r="N53" i="4"/>
  <c r="N54" i="4"/>
  <c r="N55" i="4"/>
  <c r="N56" i="4"/>
  <c r="N57" i="4"/>
  <c r="N58" i="4"/>
  <c r="N59" i="4"/>
  <c r="N60" i="4"/>
  <c r="N61" i="4"/>
  <c r="N62" i="4"/>
  <c r="N63" i="4"/>
  <c r="N64" i="4"/>
  <c r="N65" i="4"/>
  <c r="N66" i="4"/>
  <c r="N67" i="4"/>
  <c r="N68" i="4"/>
  <c r="N69" i="4"/>
  <c r="N70" i="4"/>
  <c r="N71" i="4"/>
  <c r="N72" i="4"/>
  <c r="N73" i="4"/>
  <c r="N74" i="4"/>
  <c r="N75" i="4"/>
  <c r="N76" i="4"/>
  <c r="N77" i="4"/>
  <c r="N78" i="4"/>
  <c r="N79" i="4"/>
  <c r="N80" i="4"/>
  <c r="N81" i="4"/>
  <c r="N82" i="4"/>
  <c r="N83" i="4"/>
  <c r="N84" i="4"/>
  <c r="N85" i="4"/>
  <c r="N86" i="4"/>
  <c r="N87" i="4"/>
  <c r="N88" i="4"/>
  <c r="N89" i="4"/>
  <c r="N90" i="4"/>
  <c r="N91" i="4"/>
  <c r="N92" i="4"/>
  <c r="N93" i="4"/>
  <c r="N94" i="4"/>
  <c r="N95" i="4"/>
  <c r="N96" i="4"/>
  <c r="N97" i="4"/>
  <c r="N98" i="4"/>
  <c r="N99" i="4"/>
  <c r="N100" i="4"/>
  <c r="N101" i="4"/>
  <c r="N102" i="4"/>
  <c r="N103" i="4"/>
  <c r="N104" i="4"/>
  <c r="N105" i="4"/>
  <c r="N106" i="4"/>
  <c r="N107" i="4"/>
  <c r="N108" i="4"/>
  <c r="N109" i="4"/>
  <c r="N110" i="4"/>
  <c r="N111" i="4"/>
  <c r="N112" i="4"/>
  <c r="N113" i="4"/>
  <c r="N114" i="4"/>
  <c r="N115" i="4"/>
  <c r="N116" i="4"/>
  <c r="N117" i="4"/>
  <c r="N118" i="4"/>
  <c r="N119" i="4"/>
  <c r="N120" i="4"/>
  <c r="N121" i="4"/>
  <c r="N122" i="4"/>
  <c r="N123" i="4"/>
  <c r="N124" i="4"/>
  <c r="N125" i="4"/>
  <c r="N126" i="4"/>
  <c r="N127" i="4"/>
  <c r="N128" i="4"/>
  <c r="N129" i="4"/>
  <c r="N130" i="4"/>
  <c r="N131" i="4"/>
  <c r="N132" i="4"/>
  <c r="N133" i="4"/>
  <c r="N134" i="4"/>
  <c r="N135" i="4"/>
  <c r="N136" i="4"/>
  <c r="N137" i="4"/>
  <c r="N138" i="4"/>
  <c r="N139" i="4"/>
  <c r="N140" i="4"/>
  <c r="N141" i="4"/>
  <c r="N142" i="4"/>
  <c r="N143" i="4"/>
  <c r="N144" i="4"/>
  <c r="N145" i="4"/>
  <c r="N146" i="4"/>
  <c r="N147" i="4"/>
  <c r="N148" i="4"/>
  <c r="N149" i="4"/>
  <c r="N150" i="4"/>
  <c r="N151" i="4"/>
  <c r="N152" i="4"/>
  <c r="N153" i="4"/>
  <c r="N154" i="4"/>
  <c r="N155" i="4"/>
  <c r="N156" i="4"/>
  <c r="N157" i="4"/>
  <c r="N158" i="4"/>
  <c r="N159" i="4"/>
  <c r="N160" i="4"/>
  <c r="N161" i="4"/>
  <c r="N162" i="4"/>
  <c r="N163" i="4"/>
  <c r="N164" i="4"/>
  <c r="N165" i="4"/>
  <c r="N166" i="4"/>
  <c r="N167" i="4"/>
  <c r="N168" i="4"/>
  <c r="N169" i="4"/>
  <c r="N170" i="4"/>
  <c r="N171" i="4"/>
  <c r="N172" i="4"/>
  <c r="N173" i="4"/>
  <c r="N174" i="4"/>
  <c r="N175" i="4"/>
  <c r="N176" i="4"/>
  <c r="N177" i="4"/>
  <c r="N178" i="4"/>
  <c r="N179" i="4"/>
  <c r="N180" i="4"/>
  <c r="N181" i="4"/>
  <c r="N182" i="4"/>
  <c r="N183" i="4"/>
  <c r="N184" i="4"/>
  <c r="N185" i="4"/>
  <c r="N186" i="4"/>
  <c r="N187" i="4"/>
  <c r="N188" i="4"/>
  <c r="N189" i="4"/>
  <c r="N190" i="4"/>
  <c r="N191" i="4"/>
  <c r="N192" i="4"/>
  <c r="N193" i="4"/>
  <c r="N194" i="4"/>
  <c r="N195" i="4"/>
  <c r="N196" i="4"/>
  <c r="N197" i="4"/>
  <c r="N198" i="4"/>
  <c r="N199" i="4"/>
  <c r="N200" i="4"/>
  <c r="N201" i="4"/>
  <c r="N202" i="4"/>
  <c r="N203" i="4"/>
  <c r="N204" i="4"/>
  <c r="N205" i="4"/>
  <c r="N206" i="4"/>
  <c r="N207" i="4"/>
  <c r="N208" i="4"/>
  <c r="N209" i="4"/>
  <c r="N210" i="4"/>
  <c r="N211" i="4"/>
  <c r="N212" i="4"/>
  <c r="N213" i="4"/>
  <c r="N214" i="4"/>
  <c r="N215" i="4"/>
  <c r="N216" i="4"/>
  <c r="N217" i="4"/>
  <c r="N218" i="4"/>
  <c r="N219" i="4"/>
  <c r="N220" i="4"/>
  <c r="N221" i="4"/>
  <c r="N222" i="4"/>
  <c r="N223" i="4"/>
  <c r="N224" i="4"/>
  <c r="N225" i="4"/>
  <c r="N226" i="4"/>
  <c r="N227" i="4"/>
  <c r="N228" i="4"/>
  <c r="N229" i="4"/>
  <c r="N230" i="4"/>
  <c r="N231" i="4"/>
  <c r="N232" i="4"/>
  <c r="N233" i="4"/>
  <c r="N234" i="4"/>
  <c r="N235" i="4"/>
  <c r="N236" i="4"/>
  <c r="N237" i="4"/>
  <c r="N238" i="4"/>
  <c r="N239" i="4"/>
  <c r="N240" i="4"/>
  <c r="N241" i="4"/>
  <c r="N242" i="4"/>
  <c r="N243" i="4"/>
  <c r="N244" i="4"/>
  <c r="N245" i="4"/>
  <c r="N246" i="4"/>
  <c r="N247" i="4"/>
  <c r="N248" i="4"/>
  <c r="N249" i="4"/>
  <c r="N250" i="4"/>
  <c r="N251" i="4"/>
  <c r="N252" i="4"/>
  <c r="N253" i="4"/>
  <c r="N254" i="4"/>
  <c r="N255" i="4"/>
  <c r="N256" i="4"/>
  <c r="N257" i="4"/>
  <c r="N258" i="4"/>
  <c r="N259" i="4"/>
  <c r="N260" i="4"/>
  <c r="N261" i="4"/>
  <c r="N262" i="4"/>
  <c r="N263" i="4"/>
  <c r="N264" i="4"/>
  <c r="N265" i="4"/>
  <c r="N266" i="4"/>
  <c r="N267" i="4"/>
  <c r="N268" i="4"/>
  <c r="N269" i="4"/>
  <c r="N270" i="4"/>
  <c r="N271" i="4"/>
  <c r="N272" i="4"/>
  <c r="N273" i="4"/>
  <c r="N274" i="4"/>
  <c r="N275" i="4"/>
  <c r="N276" i="4"/>
  <c r="N277" i="4"/>
  <c r="N278" i="4"/>
  <c r="N279" i="4"/>
  <c r="N280" i="4"/>
  <c r="N281" i="4"/>
  <c r="N282" i="4"/>
  <c r="N283" i="4"/>
  <c r="N284" i="4"/>
  <c r="N285" i="4"/>
  <c r="N286" i="4"/>
  <c r="N287" i="4"/>
  <c r="N288" i="4"/>
  <c r="N289" i="4"/>
  <c r="N290" i="4"/>
  <c r="N291" i="4"/>
  <c r="N292" i="4"/>
  <c r="N293" i="4"/>
  <c r="N294" i="4"/>
  <c r="N295" i="4"/>
  <c r="N3" i="4"/>
  <c r="K4" i="4"/>
  <c r="K5" i="4"/>
  <c r="K6" i="4"/>
  <c r="K7" i="4"/>
  <c r="K8" i="4"/>
  <c r="K9" i="4"/>
  <c r="K10" i="4"/>
  <c r="K11" i="4"/>
  <c r="K12" i="4"/>
  <c r="K13" i="4"/>
  <c r="K14" i="4"/>
  <c r="K15" i="4"/>
  <c r="K16" i="4"/>
  <c r="K17" i="4"/>
  <c r="K18" i="4"/>
  <c r="K19" i="4"/>
  <c r="K20" i="4"/>
  <c r="K21" i="4"/>
  <c r="K22" i="4"/>
  <c r="K23" i="4"/>
  <c r="K24" i="4"/>
  <c r="K25" i="4"/>
  <c r="K26" i="4"/>
  <c r="K27" i="4"/>
  <c r="K28" i="4"/>
  <c r="K29" i="4"/>
  <c r="K30" i="4"/>
  <c r="K31" i="4"/>
  <c r="K32" i="4"/>
  <c r="K33" i="4"/>
  <c r="K34" i="4"/>
  <c r="K35" i="4"/>
  <c r="K36" i="4"/>
  <c r="K37" i="4"/>
  <c r="K38" i="4"/>
  <c r="K39" i="4"/>
  <c r="K40" i="4"/>
  <c r="K41" i="4"/>
  <c r="K42" i="4"/>
  <c r="K43" i="4"/>
  <c r="K44" i="4"/>
  <c r="K45" i="4"/>
  <c r="K46" i="4"/>
  <c r="K47" i="4"/>
  <c r="K48" i="4"/>
  <c r="K49" i="4"/>
  <c r="K50" i="4"/>
  <c r="K51" i="4"/>
  <c r="K52" i="4"/>
  <c r="K53" i="4"/>
  <c r="K54" i="4"/>
  <c r="K55" i="4"/>
  <c r="K56" i="4"/>
  <c r="K57" i="4"/>
  <c r="K58" i="4"/>
  <c r="K59" i="4"/>
  <c r="K60" i="4"/>
  <c r="K61" i="4"/>
  <c r="K62" i="4"/>
  <c r="K63" i="4"/>
  <c r="K64" i="4"/>
  <c r="K65" i="4"/>
  <c r="K66" i="4"/>
  <c r="K67" i="4"/>
  <c r="K68" i="4"/>
  <c r="K69" i="4"/>
  <c r="K70" i="4"/>
  <c r="K71" i="4"/>
  <c r="K72" i="4"/>
  <c r="K73" i="4"/>
  <c r="K74" i="4"/>
  <c r="K75" i="4"/>
  <c r="K76" i="4"/>
  <c r="K77" i="4"/>
  <c r="K78" i="4"/>
  <c r="K79" i="4"/>
  <c r="K80" i="4"/>
  <c r="K81" i="4"/>
  <c r="K82" i="4"/>
  <c r="K83" i="4"/>
  <c r="K84" i="4"/>
  <c r="K85" i="4"/>
  <c r="K86" i="4"/>
  <c r="K87" i="4"/>
  <c r="K88" i="4"/>
  <c r="K89" i="4"/>
  <c r="K90" i="4"/>
  <c r="K91" i="4"/>
  <c r="K92" i="4"/>
  <c r="K93" i="4"/>
  <c r="K94" i="4"/>
  <c r="K95" i="4"/>
  <c r="K96" i="4"/>
  <c r="K97" i="4"/>
  <c r="K98" i="4"/>
  <c r="K99" i="4"/>
  <c r="K100" i="4"/>
  <c r="K101" i="4"/>
  <c r="K102" i="4"/>
  <c r="K103" i="4"/>
  <c r="K104" i="4"/>
  <c r="K105" i="4"/>
  <c r="K106" i="4"/>
  <c r="K107" i="4"/>
  <c r="K108" i="4"/>
  <c r="K109" i="4"/>
  <c r="K110" i="4"/>
  <c r="K111" i="4"/>
  <c r="K112" i="4"/>
  <c r="K113" i="4"/>
  <c r="K114" i="4"/>
  <c r="K115" i="4"/>
  <c r="K116" i="4"/>
  <c r="K117" i="4"/>
  <c r="K118" i="4"/>
  <c r="K119" i="4"/>
  <c r="K120" i="4"/>
  <c r="K121" i="4"/>
  <c r="K122" i="4"/>
  <c r="K123" i="4"/>
  <c r="K124" i="4"/>
  <c r="K125" i="4"/>
  <c r="K126" i="4"/>
  <c r="K127" i="4"/>
  <c r="K128" i="4"/>
  <c r="K129" i="4"/>
  <c r="K130" i="4"/>
  <c r="K131" i="4"/>
  <c r="K132" i="4"/>
  <c r="K133" i="4"/>
  <c r="K134" i="4"/>
  <c r="K135" i="4"/>
  <c r="K136" i="4"/>
  <c r="K137" i="4"/>
  <c r="K138" i="4"/>
  <c r="K139" i="4"/>
  <c r="K140" i="4"/>
  <c r="K141" i="4"/>
  <c r="K142" i="4"/>
  <c r="K143" i="4"/>
  <c r="K144" i="4"/>
  <c r="K145" i="4"/>
  <c r="K146" i="4"/>
  <c r="K147" i="4"/>
  <c r="K148" i="4"/>
  <c r="K149" i="4"/>
  <c r="K150" i="4"/>
  <c r="K151" i="4"/>
  <c r="K152" i="4"/>
  <c r="K153" i="4"/>
  <c r="K154" i="4"/>
  <c r="K155" i="4"/>
  <c r="K156" i="4"/>
  <c r="K157" i="4"/>
  <c r="K158" i="4"/>
  <c r="K159" i="4"/>
  <c r="K160" i="4"/>
  <c r="K161" i="4"/>
  <c r="K162" i="4"/>
  <c r="K163" i="4"/>
  <c r="K164" i="4"/>
  <c r="K165" i="4"/>
  <c r="K166" i="4"/>
  <c r="K167" i="4"/>
  <c r="K168" i="4"/>
  <c r="K169" i="4"/>
  <c r="K170" i="4"/>
  <c r="K171" i="4"/>
  <c r="K172" i="4"/>
  <c r="K173" i="4"/>
  <c r="K174" i="4"/>
  <c r="K175" i="4"/>
  <c r="K176" i="4"/>
  <c r="K177" i="4"/>
  <c r="K178" i="4"/>
  <c r="K179" i="4"/>
  <c r="K180" i="4"/>
  <c r="K181" i="4"/>
  <c r="K182" i="4"/>
  <c r="K183" i="4"/>
  <c r="K184" i="4"/>
  <c r="K185" i="4"/>
  <c r="K186" i="4"/>
  <c r="K187" i="4"/>
  <c r="K188" i="4"/>
  <c r="K189" i="4"/>
  <c r="K190" i="4"/>
  <c r="K191" i="4"/>
  <c r="K192" i="4"/>
  <c r="K193" i="4"/>
  <c r="K194" i="4"/>
  <c r="K195" i="4"/>
  <c r="K196" i="4"/>
  <c r="K197" i="4"/>
  <c r="K198" i="4"/>
  <c r="K199" i="4"/>
  <c r="K200" i="4"/>
  <c r="K201" i="4"/>
  <c r="K202" i="4"/>
  <c r="K203" i="4"/>
  <c r="K204" i="4"/>
  <c r="K205" i="4"/>
  <c r="K206" i="4"/>
  <c r="K207" i="4"/>
  <c r="K208" i="4"/>
  <c r="K209" i="4"/>
  <c r="K210" i="4"/>
  <c r="K211" i="4"/>
  <c r="K212" i="4"/>
  <c r="K213" i="4"/>
  <c r="K214" i="4"/>
  <c r="K215" i="4"/>
  <c r="K216" i="4"/>
  <c r="K217" i="4"/>
  <c r="K218" i="4"/>
  <c r="K219" i="4"/>
  <c r="K220" i="4"/>
  <c r="K221" i="4"/>
  <c r="K222" i="4"/>
  <c r="K223" i="4"/>
  <c r="K224" i="4"/>
  <c r="K225" i="4"/>
  <c r="K226" i="4"/>
  <c r="K227" i="4"/>
  <c r="K228" i="4"/>
  <c r="K229" i="4"/>
  <c r="K230" i="4"/>
  <c r="K231" i="4"/>
  <c r="K232" i="4"/>
  <c r="K233" i="4"/>
  <c r="K234" i="4"/>
  <c r="K235" i="4"/>
  <c r="K236" i="4"/>
  <c r="K237" i="4"/>
  <c r="K238" i="4"/>
  <c r="K239" i="4"/>
  <c r="K240" i="4"/>
  <c r="K241" i="4"/>
  <c r="K242" i="4"/>
  <c r="K243" i="4"/>
  <c r="K244" i="4"/>
  <c r="K245" i="4"/>
  <c r="K246" i="4"/>
  <c r="K247" i="4"/>
  <c r="K248" i="4"/>
  <c r="K249" i="4"/>
  <c r="K250" i="4"/>
  <c r="K251" i="4"/>
  <c r="K252" i="4"/>
  <c r="K253" i="4"/>
  <c r="K254" i="4"/>
  <c r="K255" i="4"/>
  <c r="K256" i="4"/>
  <c r="K257" i="4"/>
  <c r="K258" i="4"/>
  <c r="K259" i="4"/>
  <c r="K260" i="4"/>
  <c r="K261" i="4"/>
  <c r="K262" i="4"/>
  <c r="K263" i="4"/>
  <c r="K264" i="4"/>
  <c r="K265" i="4"/>
  <c r="K266" i="4"/>
  <c r="K267" i="4"/>
  <c r="K268" i="4"/>
  <c r="K269" i="4"/>
  <c r="K270" i="4"/>
  <c r="K271" i="4"/>
  <c r="K272" i="4"/>
  <c r="K273" i="4"/>
  <c r="K274" i="4"/>
  <c r="K275" i="4"/>
  <c r="K276" i="4"/>
  <c r="K277" i="4"/>
  <c r="K278" i="4"/>
  <c r="K279" i="4"/>
  <c r="K280" i="4"/>
  <c r="K281" i="4"/>
  <c r="K282" i="4"/>
  <c r="K283" i="4"/>
  <c r="K284" i="4"/>
  <c r="K285" i="4"/>
  <c r="K286" i="4"/>
  <c r="K287" i="4"/>
  <c r="K288" i="4"/>
  <c r="K289" i="4"/>
  <c r="K290" i="4"/>
  <c r="K291" i="4"/>
  <c r="K292" i="4"/>
  <c r="K293" i="4"/>
  <c r="K294" i="4"/>
  <c r="K295" i="4"/>
  <c r="K3" i="4"/>
  <c r="H4" i="4"/>
  <c r="H5" i="4"/>
  <c r="H6" i="4"/>
  <c r="H7" i="4"/>
  <c r="H8" i="4"/>
  <c r="H9" i="4"/>
  <c r="H10" i="4"/>
  <c r="H11" i="4"/>
  <c r="H12" i="4"/>
  <c r="H13" i="4"/>
  <c r="H14" i="4"/>
  <c r="H15" i="4"/>
  <c r="H16" i="4"/>
  <c r="H17" i="4"/>
  <c r="H18" i="4"/>
  <c r="H19" i="4"/>
  <c r="H20" i="4"/>
  <c r="H21" i="4"/>
  <c r="H22" i="4"/>
  <c r="H23" i="4"/>
  <c r="H24" i="4"/>
  <c r="H25" i="4"/>
  <c r="H26" i="4"/>
  <c r="H27" i="4"/>
  <c r="H28" i="4"/>
  <c r="H29" i="4"/>
  <c r="H30" i="4"/>
  <c r="H31" i="4"/>
  <c r="H32" i="4"/>
  <c r="H33" i="4"/>
  <c r="H34" i="4"/>
  <c r="H35" i="4"/>
  <c r="H36" i="4"/>
  <c r="H37" i="4"/>
  <c r="H38" i="4"/>
  <c r="H39" i="4"/>
  <c r="H40" i="4"/>
  <c r="H41" i="4"/>
  <c r="H42" i="4"/>
  <c r="H43" i="4"/>
  <c r="H44" i="4"/>
  <c r="H45" i="4"/>
  <c r="H46" i="4"/>
  <c r="H47" i="4"/>
  <c r="H48" i="4"/>
  <c r="H49" i="4"/>
  <c r="H50" i="4"/>
  <c r="H51" i="4"/>
  <c r="H52" i="4"/>
  <c r="H53" i="4"/>
  <c r="H54" i="4"/>
  <c r="H55" i="4"/>
  <c r="H56" i="4"/>
  <c r="H57" i="4"/>
  <c r="H58" i="4"/>
  <c r="H59" i="4"/>
  <c r="H60" i="4"/>
  <c r="H61" i="4"/>
  <c r="H62" i="4"/>
  <c r="H63" i="4"/>
  <c r="H64" i="4"/>
  <c r="H65" i="4"/>
  <c r="H66" i="4"/>
  <c r="H67" i="4"/>
  <c r="H68" i="4"/>
  <c r="H69" i="4"/>
  <c r="H70" i="4"/>
  <c r="H71" i="4"/>
  <c r="H72" i="4"/>
  <c r="H73" i="4"/>
  <c r="H74" i="4"/>
  <c r="H75" i="4"/>
  <c r="H76" i="4"/>
  <c r="H77" i="4"/>
  <c r="H78" i="4"/>
  <c r="H79" i="4"/>
  <c r="H80" i="4"/>
  <c r="H81" i="4"/>
  <c r="H82" i="4"/>
  <c r="H83" i="4"/>
  <c r="H84" i="4"/>
  <c r="H85" i="4"/>
  <c r="H86" i="4"/>
  <c r="H87" i="4"/>
  <c r="H88" i="4"/>
  <c r="H89" i="4"/>
  <c r="H90" i="4"/>
  <c r="H91" i="4"/>
  <c r="H92" i="4"/>
  <c r="H93" i="4"/>
  <c r="H94" i="4"/>
  <c r="H95" i="4"/>
  <c r="H96" i="4"/>
  <c r="H97" i="4"/>
  <c r="H98" i="4"/>
  <c r="H99" i="4"/>
  <c r="H100" i="4"/>
  <c r="H101" i="4"/>
  <c r="H102" i="4"/>
  <c r="H103" i="4"/>
  <c r="H104" i="4"/>
  <c r="H105" i="4"/>
  <c r="H106" i="4"/>
  <c r="H107" i="4"/>
  <c r="H108" i="4"/>
  <c r="H109" i="4"/>
  <c r="H110" i="4"/>
  <c r="H111" i="4"/>
  <c r="H112" i="4"/>
  <c r="H113" i="4"/>
  <c r="H114" i="4"/>
  <c r="H115" i="4"/>
  <c r="H116" i="4"/>
  <c r="H117" i="4"/>
  <c r="H118" i="4"/>
  <c r="H119" i="4"/>
  <c r="H120" i="4"/>
  <c r="H121" i="4"/>
  <c r="H122" i="4"/>
  <c r="H123" i="4"/>
  <c r="H124" i="4"/>
  <c r="H125" i="4"/>
  <c r="H126" i="4"/>
  <c r="H127" i="4"/>
  <c r="H128" i="4"/>
  <c r="H129" i="4"/>
  <c r="H130" i="4"/>
  <c r="H131" i="4"/>
  <c r="H132" i="4"/>
  <c r="H133" i="4"/>
  <c r="H134" i="4"/>
  <c r="H135" i="4"/>
  <c r="H136" i="4"/>
  <c r="H137" i="4"/>
  <c r="H138" i="4"/>
  <c r="H139" i="4"/>
  <c r="H140" i="4"/>
  <c r="H141" i="4"/>
  <c r="H142" i="4"/>
  <c r="H143" i="4"/>
  <c r="H144" i="4"/>
  <c r="H145" i="4"/>
  <c r="H146" i="4"/>
  <c r="H147" i="4"/>
  <c r="H148" i="4"/>
  <c r="H149" i="4"/>
  <c r="H150" i="4"/>
  <c r="H151" i="4"/>
  <c r="H152" i="4"/>
  <c r="H153" i="4"/>
  <c r="H154" i="4"/>
  <c r="H155" i="4"/>
  <c r="H156" i="4"/>
  <c r="H157" i="4"/>
  <c r="H158" i="4"/>
  <c r="H159" i="4"/>
  <c r="H160" i="4"/>
  <c r="H161" i="4"/>
  <c r="H162" i="4"/>
  <c r="H163" i="4"/>
  <c r="H164" i="4"/>
  <c r="H165" i="4"/>
  <c r="H166" i="4"/>
  <c r="H167" i="4"/>
  <c r="H168" i="4"/>
  <c r="H169" i="4"/>
  <c r="H170" i="4"/>
  <c r="H171" i="4"/>
  <c r="H172" i="4"/>
  <c r="H173" i="4"/>
  <c r="H174" i="4"/>
  <c r="H175" i="4"/>
  <c r="H176" i="4"/>
  <c r="H177" i="4"/>
  <c r="H178" i="4"/>
  <c r="H179" i="4"/>
  <c r="H180" i="4"/>
  <c r="H181" i="4"/>
  <c r="H182" i="4"/>
  <c r="H183" i="4"/>
  <c r="H184" i="4"/>
  <c r="H185" i="4"/>
  <c r="H186" i="4"/>
  <c r="H187" i="4"/>
  <c r="H188" i="4"/>
  <c r="H189" i="4"/>
  <c r="H190" i="4"/>
  <c r="H191" i="4"/>
  <c r="H192" i="4"/>
  <c r="H193" i="4"/>
  <c r="H194" i="4"/>
  <c r="H195" i="4"/>
  <c r="H196" i="4"/>
  <c r="H197" i="4"/>
  <c r="H198" i="4"/>
  <c r="H199" i="4"/>
  <c r="H200" i="4"/>
  <c r="H201" i="4"/>
  <c r="H202" i="4"/>
  <c r="H203" i="4"/>
  <c r="H204" i="4"/>
  <c r="H205" i="4"/>
  <c r="H206" i="4"/>
  <c r="H207" i="4"/>
  <c r="H208" i="4"/>
  <c r="H209" i="4"/>
  <c r="H210" i="4"/>
  <c r="H211" i="4"/>
  <c r="H212" i="4"/>
  <c r="H213" i="4"/>
  <c r="H214" i="4"/>
  <c r="H215" i="4"/>
  <c r="H216" i="4"/>
  <c r="H217" i="4"/>
  <c r="H218" i="4"/>
  <c r="H219" i="4"/>
  <c r="H220" i="4"/>
  <c r="H221" i="4"/>
  <c r="H222" i="4"/>
  <c r="H223" i="4"/>
  <c r="H224" i="4"/>
  <c r="H225" i="4"/>
  <c r="H226" i="4"/>
  <c r="H227" i="4"/>
  <c r="H228" i="4"/>
  <c r="H229" i="4"/>
  <c r="H230" i="4"/>
  <c r="H231" i="4"/>
  <c r="H232" i="4"/>
  <c r="H233" i="4"/>
  <c r="H234" i="4"/>
  <c r="H235" i="4"/>
  <c r="H236" i="4"/>
  <c r="H237" i="4"/>
  <c r="H238" i="4"/>
  <c r="H239" i="4"/>
  <c r="H240" i="4"/>
  <c r="H241" i="4"/>
  <c r="H242" i="4"/>
  <c r="H243" i="4"/>
  <c r="H244" i="4"/>
  <c r="H245" i="4"/>
  <c r="H246" i="4"/>
  <c r="H247" i="4"/>
  <c r="H248" i="4"/>
  <c r="H249" i="4"/>
  <c r="H250" i="4"/>
  <c r="H251" i="4"/>
  <c r="H252" i="4"/>
  <c r="H253" i="4"/>
  <c r="H254" i="4"/>
  <c r="H255" i="4"/>
  <c r="H256" i="4"/>
  <c r="H257" i="4"/>
  <c r="H258" i="4"/>
  <c r="H259" i="4"/>
  <c r="H260" i="4"/>
  <c r="H261" i="4"/>
  <c r="H262" i="4"/>
  <c r="H263" i="4"/>
  <c r="H264" i="4"/>
  <c r="H265" i="4"/>
  <c r="H266" i="4"/>
  <c r="H267" i="4"/>
  <c r="H268" i="4"/>
  <c r="H269" i="4"/>
  <c r="H270" i="4"/>
  <c r="H271" i="4"/>
  <c r="H272" i="4"/>
  <c r="H273" i="4"/>
  <c r="H274" i="4"/>
  <c r="H275" i="4"/>
  <c r="H276" i="4"/>
  <c r="H277" i="4"/>
  <c r="H278" i="4"/>
  <c r="H279" i="4"/>
  <c r="H280" i="4"/>
  <c r="H281" i="4"/>
  <c r="H282" i="4"/>
  <c r="H283" i="4"/>
  <c r="H284" i="4"/>
  <c r="H285" i="4"/>
  <c r="H286" i="4"/>
  <c r="H287" i="4"/>
  <c r="H288" i="4"/>
  <c r="H289" i="4"/>
  <c r="H290" i="4"/>
  <c r="H291" i="4"/>
  <c r="H292" i="4"/>
  <c r="H293" i="4"/>
  <c r="H294" i="4"/>
  <c r="H295" i="4"/>
  <c r="H3" i="4"/>
  <c r="E4" i="4"/>
  <c r="E5" i="4"/>
  <c r="E6" i="4"/>
  <c r="E7" i="4"/>
  <c r="E8" i="4"/>
  <c r="E9" i="4"/>
  <c r="E10" i="4"/>
  <c r="E11" i="4"/>
  <c r="E12" i="4"/>
  <c r="E13" i="4"/>
  <c r="E14" i="4"/>
  <c r="E15" i="4"/>
  <c r="E16" i="4"/>
  <c r="E17" i="4"/>
  <c r="E18" i="4"/>
  <c r="E19" i="4"/>
  <c r="E20" i="4"/>
  <c r="E21" i="4"/>
  <c r="E22" i="4"/>
  <c r="E23" i="4"/>
  <c r="E24" i="4"/>
  <c r="E25" i="4"/>
  <c r="E26" i="4"/>
  <c r="E27" i="4"/>
  <c r="E28" i="4"/>
  <c r="E29" i="4"/>
  <c r="E30" i="4"/>
  <c r="E31" i="4"/>
  <c r="E32" i="4"/>
  <c r="E33" i="4"/>
  <c r="E34" i="4"/>
  <c r="E35" i="4"/>
  <c r="E36" i="4"/>
  <c r="E37" i="4"/>
  <c r="E38" i="4"/>
  <c r="E39" i="4"/>
  <c r="E40" i="4"/>
  <c r="E41" i="4"/>
  <c r="E42" i="4"/>
  <c r="E43" i="4"/>
  <c r="E44" i="4"/>
  <c r="E45" i="4"/>
  <c r="E46" i="4"/>
  <c r="E47" i="4"/>
  <c r="E48" i="4"/>
  <c r="E49" i="4"/>
  <c r="E50" i="4"/>
  <c r="E51" i="4"/>
  <c r="E52" i="4"/>
  <c r="E53" i="4"/>
  <c r="E54" i="4"/>
  <c r="E55" i="4"/>
  <c r="E56" i="4"/>
  <c r="E57" i="4"/>
  <c r="E58" i="4"/>
  <c r="E59" i="4"/>
  <c r="E60" i="4"/>
  <c r="E61" i="4"/>
  <c r="E62" i="4"/>
  <c r="E63" i="4"/>
  <c r="E64" i="4"/>
  <c r="E65" i="4"/>
  <c r="E66" i="4"/>
  <c r="E67" i="4"/>
  <c r="E68" i="4"/>
  <c r="E69" i="4"/>
  <c r="E70" i="4"/>
  <c r="E71" i="4"/>
  <c r="E72" i="4"/>
  <c r="E73" i="4"/>
  <c r="E74" i="4"/>
  <c r="E75" i="4"/>
  <c r="E76" i="4"/>
  <c r="E77" i="4"/>
  <c r="E78" i="4"/>
  <c r="E79" i="4"/>
  <c r="E80" i="4"/>
  <c r="E81" i="4"/>
  <c r="E82" i="4"/>
  <c r="E83" i="4"/>
  <c r="E84" i="4"/>
  <c r="E85" i="4"/>
  <c r="E86" i="4"/>
  <c r="E87" i="4"/>
  <c r="E88" i="4"/>
  <c r="E89" i="4"/>
  <c r="E90" i="4"/>
  <c r="E91" i="4"/>
  <c r="E92" i="4"/>
  <c r="E93" i="4"/>
  <c r="E94" i="4"/>
  <c r="E95" i="4"/>
  <c r="E96" i="4"/>
  <c r="E97" i="4"/>
  <c r="E98" i="4"/>
  <c r="E99" i="4"/>
  <c r="E100" i="4"/>
  <c r="E101" i="4"/>
  <c r="E102" i="4"/>
  <c r="E103" i="4"/>
  <c r="E104" i="4"/>
  <c r="E105" i="4"/>
  <c r="E106" i="4"/>
  <c r="E107" i="4"/>
  <c r="E108" i="4"/>
  <c r="E109" i="4"/>
  <c r="E110" i="4"/>
  <c r="E111" i="4"/>
  <c r="E112" i="4"/>
  <c r="E113" i="4"/>
  <c r="E114" i="4"/>
  <c r="E115" i="4"/>
  <c r="E116" i="4"/>
  <c r="E117" i="4"/>
  <c r="E118" i="4"/>
  <c r="E119" i="4"/>
  <c r="E120" i="4"/>
  <c r="E121" i="4"/>
  <c r="E122" i="4"/>
  <c r="E123" i="4"/>
  <c r="E124" i="4"/>
  <c r="E125" i="4"/>
  <c r="E126" i="4"/>
  <c r="E127" i="4"/>
  <c r="E128" i="4"/>
  <c r="E129" i="4"/>
  <c r="E130" i="4"/>
  <c r="E131" i="4"/>
  <c r="E132" i="4"/>
  <c r="E133" i="4"/>
  <c r="E134" i="4"/>
  <c r="E135" i="4"/>
  <c r="E136" i="4"/>
  <c r="E137" i="4"/>
  <c r="E138" i="4"/>
  <c r="E139" i="4"/>
  <c r="E140" i="4"/>
  <c r="E141" i="4"/>
  <c r="E142" i="4"/>
  <c r="E143" i="4"/>
  <c r="E144" i="4"/>
  <c r="E145" i="4"/>
  <c r="E146" i="4"/>
  <c r="E147" i="4"/>
  <c r="E148" i="4"/>
  <c r="E149" i="4"/>
  <c r="E150" i="4"/>
  <c r="E151" i="4"/>
  <c r="E152" i="4"/>
  <c r="E153" i="4"/>
  <c r="E154" i="4"/>
  <c r="E155" i="4"/>
  <c r="E156" i="4"/>
  <c r="E157" i="4"/>
  <c r="E158" i="4"/>
  <c r="E159" i="4"/>
  <c r="E160" i="4"/>
  <c r="E161" i="4"/>
  <c r="E162" i="4"/>
  <c r="E163" i="4"/>
  <c r="E164" i="4"/>
  <c r="E165" i="4"/>
  <c r="E166" i="4"/>
  <c r="E167" i="4"/>
  <c r="E168" i="4"/>
  <c r="E169" i="4"/>
  <c r="E170" i="4"/>
  <c r="E171" i="4"/>
  <c r="E172" i="4"/>
  <c r="E173" i="4"/>
  <c r="E174" i="4"/>
  <c r="E175" i="4"/>
  <c r="E176" i="4"/>
  <c r="E177" i="4"/>
  <c r="E178" i="4"/>
  <c r="E179" i="4"/>
  <c r="E180" i="4"/>
  <c r="E181" i="4"/>
  <c r="E182" i="4"/>
  <c r="E183" i="4"/>
  <c r="E184" i="4"/>
  <c r="E185" i="4"/>
  <c r="E186" i="4"/>
  <c r="E187" i="4"/>
  <c r="E188" i="4"/>
  <c r="E189" i="4"/>
  <c r="E190" i="4"/>
  <c r="E191" i="4"/>
  <c r="E192" i="4"/>
  <c r="E193" i="4"/>
  <c r="E194" i="4"/>
  <c r="E195" i="4"/>
  <c r="E196" i="4"/>
  <c r="E197" i="4"/>
  <c r="E198" i="4"/>
  <c r="E199" i="4"/>
  <c r="E200" i="4"/>
  <c r="E201" i="4"/>
  <c r="E202" i="4"/>
  <c r="E203" i="4"/>
  <c r="E204" i="4"/>
  <c r="E205" i="4"/>
  <c r="E206" i="4"/>
  <c r="E207" i="4"/>
  <c r="E208" i="4"/>
  <c r="E209" i="4"/>
  <c r="E210" i="4"/>
  <c r="E211" i="4"/>
  <c r="E212" i="4"/>
  <c r="E213" i="4"/>
  <c r="E214" i="4"/>
  <c r="E215" i="4"/>
  <c r="E216" i="4"/>
  <c r="E217" i="4"/>
  <c r="E218" i="4"/>
  <c r="E219" i="4"/>
  <c r="E220" i="4"/>
  <c r="E221" i="4"/>
  <c r="E222" i="4"/>
  <c r="E223" i="4"/>
  <c r="E224" i="4"/>
  <c r="E225" i="4"/>
  <c r="E226" i="4"/>
  <c r="E227" i="4"/>
  <c r="E228" i="4"/>
  <c r="E229" i="4"/>
  <c r="E230" i="4"/>
  <c r="E231" i="4"/>
  <c r="E232" i="4"/>
  <c r="E233" i="4"/>
  <c r="E234" i="4"/>
  <c r="E235" i="4"/>
  <c r="E236" i="4"/>
  <c r="E237" i="4"/>
  <c r="E238" i="4"/>
  <c r="E239" i="4"/>
  <c r="E240" i="4"/>
  <c r="E241" i="4"/>
  <c r="E242" i="4"/>
  <c r="E243" i="4"/>
  <c r="E244" i="4"/>
  <c r="E245" i="4"/>
  <c r="E246" i="4"/>
  <c r="E247" i="4"/>
  <c r="E248" i="4"/>
  <c r="E249" i="4"/>
  <c r="E250" i="4"/>
  <c r="E251" i="4"/>
  <c r="E252" i="4"/>
  <c r="E253" i="4"/>
  <c r="E254" i="4"/>
  <c r="E255" i="4"/>
  <c r="E256" i="4"/>
  <c r="E257" i="4"/>
  <c r="E258" i="4"/>
  <c r="E259" i="4"/>
  <c r="E260" i="4"/>
  <c r="E261" i="4"/>
  <c r="E262" i="4"/>
  <c r="E263" i="4"/>
  <c r="E264" i="4"/>
  <c r="E265" i="4"/>
  <c r="E266" i="4"/>
  <c r="E267" i="4"/>
  <c r="E268" i="4"/>
  <c r="E269" i="4"/>
  <c r="E270" i="4"/>
  <c r="E271" i="4"/>
  <c r="E272" i="4"/>
  <c r="E273" i="4"/>
  <c r="E274" i="4"/>
  <c r="E275" i="4"/>
  <c r="E276" i="4"/>
  <c r="E277" i="4"/>
  <c r="E278" i="4"/>
  <c r="E279" i="4"/>
  <c r="E280" i="4"/>
  <c r="E281" i="4"/>
  <c r="E282" i="4"/>
  <c r="E283" i="4"/>
  <c r="E284" i="4"/>
  <c r="E285" i="4"/>
  <c r="E286" i="4"/>
  <c r="E287" i="4"/>
  <c r="E288" i="4"/>
  <c r="E289" i="4"/>
  <c r="E290" i="4"/>
  <c r="E291" i="4"/>
  <c r="E292" i="4"/>
  <c r="E293" i="4"/>
  <c r="E294" i="4"/>
  <c r="E295" i="4"/>
  <c r="E3" i="4"/>
  <c r="B4" i="4"/>
  <c r="B5" i="4"/>
  <c r="B6" i="4"/>
  <c r="B7" i="4"/>
  <c r="B8" i="4"/>
  <c r="B9" i="4"/>
  <c r="B10" i="4"/>
  <c r="B11" i="4"/>
  <c r="B12" i="4"/>
  <c r="B13" i="4"/>
  <c r="B14" i="4"/>
  <c r="B15" i="4"/>
  <c r="B16" i="4"/>
  <c r="B17" i="4"/>
  <c r="B18" i="4"/>
  <c r="B19" i="4"/>
  <c r="B20" i="4"/>
  <c r="B21" i="4"/>
  <c r="B22" i="4"/>
  <c r="B23" i="4"/>
  <c r="B24" i="4"/>
  <c r="B25" i="4"/>
  <c r="B26" i="4"/>
  <c r="B27" i="4"/>
  <c r="B28" i="4"/>
  <c r="B29" i="4"/>
  <c r="B30" i="4"/>
  <c r="B31" i="4"/>
  <c r="B32" i="4"/>
  <c r="B33" i="4"/>
  <c r="B34" i="4"/>
  <c r="B35" i="4"/>
  <c r="B36" i="4"/>
  <c r="B37" i="4"/>
  <c r="B38" i="4"/>
  <c r="B39" i="4"/>
  <c r="B40" i="4"/>
  <c r="B41" i="4"/>
  <c r="B42" i="4"/>
  <c r="B43" i="4"/>
  <c r="B44" i="4"/>
  <c r="B45" i="4"/>
  <c r="B46" i="4"/>
  <c r="B47" i="4"/>
  <c r="B48" i="4"/>
  <c r="B49" i="4"/>
  <c r="B50" i="4"/>
  <c r="B51" i="4"/>
  <c r="B52" i="4"/>
  <c r="B53" i="4"/>
  <c r="B54" i="4"/>
  <c r="B55" i="4"/>
  <c r="B56" i="4"/>
  <c r="B57" i="4"/>
  <c r="B58" i="4"/>
  <c r="B59" i="4"/>
  <c r="B60" i="4"/>
  <c r="B61" i="4"/>
  <c r="B62" i="4"/>
  <c r="B63" i="4"/>
  <c r="B64" i="4"/>
  <c r="B65" i="4"/>
  <c r="B66" i="4"/>
  <c r="B67" i="4"/>
  <c r="B68" i="4"/>
  <c r="B69" i="4"/>
  <c r="B70" i="4"/>
  <c r="B71" i="4"/>
  <c r="B72" i="4"/>
  <c r="B73" i="4"/>
  <c r="B74" i="4"/>
  <c r="B75" i="4"/>
  <c r="B76" i="4"/>
  <c r="B77" i="4"/>
  <c r="B78" i="4"/>
  <c r="B79" i="4"/>
  <c r="B80" i="4"/>
  <c r="B81" i="4"/>
  <c r="B82" i="4"/>
  <c r="B83" i="4"/>
  <c r="B84" i="4"/>
  <c r="B85" i="4"/>
  <c r="B86" i="4"/>
  <c r="B87" i="4"/>
  <c r="B88" i="4"/>
  <c r="B89" i="4"/>
  <c r="B90" i="4"/>
  <c r="B91" i="4"/>
  <c r="B92" i="4"/>
  <c r="B93" i="4"/>
  <c r="B94" i="4"/>
  <c r="B95" i="4"/>
  <c r="B96" i="4"/>
  <c r="B97" i="4"/>
  <c r="B98" i="4"/>
  <c r="B99" i="4"/>
  <c r="B100" i="4"/>
  <c r="B101" i="4"/>
  <c r="B102" i="4"/>
  <c r="B103" i="4"/>
  <c r="B104" i="4"/>
  <c r="B105" i="4"/>
  <c r="B106" i="4"/>
  <c r="B107" i="4"/>
  <c r="B108" i="4"/>
  <c r="B109" i="4"/>
  <c r="B110" i="4"/>
  <c r="B111" i="4"/>
  <c r="B112" i="4"/>
  <c r="B113" i="4"/>
  <c r="B114" i="4"/>
  <c r="B115" i="4"/>
  <c r="B116" i="4"/>
  <c r="B117" i="4"/>
  <c r="B118" i="4"/>
  <c r="B119" i="4"/>
  <c r="B120" i="4"/>
  <c r="B121" i="4"/>
  <c r="B122" i="4"/>
  <c r="B123" i="4"/>
  <c r="B124" i="4"/>
  <c r="B125" i="4"/>
  <c r="B126" i="4"/>
  <c r="B127" i="4"/>
  <c r="B128" i="4"/>
  <c r="B129" i="4"/>
  <c r="B130" i="4"/>
  <c r="B131" i="4"/>
  <c r="B132" i="4"/>
  <c r="B133" i="4"/>
  <c r="B134" i="4"/>
  <c r="B135" i="4"/>
  <c r="B136" i="4"/>
  <c r="B137" i="4"/>
  <c r="B138" i="4"/>
  <c r="B139" i="4"/>
  <c r="B140" i="4"/>
  <c r="B141" i="4"/>
  <c r="B142" i="4"/>
  <c r="B143" i="4"/>
  <c r="B144" i="4"/>
  <c r="B145" i="4"/>
  <c r="B146" i="4"/>
  <c r="B147" i="4"/>
  <c r="B148" i="4"/>
  <c r="B149" i="4"/>
  <c r="B150" i="4"/>
  <c r="B151" i="4"/>
  <c r="B152" i="4"/>
  <c r="B153" i="4"/>
  <c r="B154" i="4"/>
  <c r="B155" i="4"/>
  <c r="B156" i="4"/>
  <c r="B157" i="4"/>
  <c r="B158" i="4"/>
  <c r="B159" i="4"/>
  <c r="B160" i="4"/>
  <c r="B161" i="4"/>
  <c r="B162" i="4"/>
  <c r="B163" i="4"/>
  <c r="B164" i="4"/>
  <c r="B165" i="4"/>
  <c r="B166" i="4"/>
  <c r="B167" i="4"/>
  <c r="B168" i="4"/>
  <c r="B169" i="4"/>
  <c r="B170" i="4"/>
  <c r="B171" i="4"/>
  <c r="B172" i="4"/>
  <c r="B173" i="4"/>
  <c r="B174" i="4"/>
  <c r="B175" i="4"/>
  <c r="B176" i="4"/>
  <c r="B177" i="4"/>
  <c r="B178" i="4"/>
  <c r="B179" i="4"/>
  <c r="B180" i="4"/>
  <c r="B181" i="4"/>
  <c r="B182" i="4"/>
  <c r="B183" i="4"/>
  <c r="B184" i="4"/>
  <c r="B185" i="4"/>
  <c r="B186" i="4"/>
  <c r="B187" i="4"/>
  <c r="B188" i="4"/>
  <c r="B189" i="4"/>
  <c r="B190" i="4"/>
  <c r="B191" i="4"/>
  <c r="B192" i="4"/>
  <c r="B193" i="4"/>
  <c r="B194" i="4"/>
  <c r="B195" i="4"/>
  <c r="B196" i="4"/>
  <c r="B197" i="4"/>
  <c r="B198" i="4"/>
  <c r="B199" i="4"/>
  <c r="B200" i="4"/>
  <c r="B201" i="4"/>
  <c r="B202" i="4"/>
  <c r="B203" i="4"/>
  <c r="B204" i="4"/>
  <c r="B205" i="4"/>
  <c r="B206" i="4"/>
  <c r="B207" i="4"/>
  <c r="B208" i="4"/>
  <c r="B209" i="4"/>
  <c r="B210" i="4"/>
  <c r="B211" i="4"/>
  <c r="B212" i="4"/>
  <c r="B213" i="4"/>
  <c r="B214" i="4"/>
  <c r="B215" i="4"/>
  <c r="B216" i="4"/>
  <c r="B217" i="4"/>
  <c r="B218" i="4"/>
  <c r="B219" i="4"/>
  <c r="B220" i="4"/>
  <c r="B221" i="4"/>
  <c r="B222" i="4"/>
  <c r="B223" i="4"/>
  <c r="B224" i="4"/>
  <c r="B225" i="4"/>
  <c r="B226" i="4"/>
  <c r="B227" i="4"/>
  <c r="B228" i="4"/>
  <c r="B229" i="4"/>
  <c r="B230" i="4"/>
  <c r="B231" i="4"/>
  <c r="B232" i="4"/>
  <c r="B233" i="4"/>
  <c r="B234" i="4"/>
  <c r="B235" i="4"/>
  <c r="B236" i="4"/>
  <c r="B237" i="4"/>
  <c r="B238" i="4"/>
  <c r="B239" i="4"/>
  <c r="B240" i="4"/>
  <c r="B241" i="4"/>
  <c r="B242" i="4"/>
  <c r="B243" i="4"/>
  <c r="B244" i="4"/>
  <c r="B245" i="4"/>
  <c r="B246" i="4"/>
  <c r="B247" i="4"/>
  <c r="B248" i="4"/>
  <c r="B249" i="4"/>
  <c r="B250" i="4"/>
  <c r="B251" i="4"/>
  <c r="B252" i="4"/>
  <c r="B253" i="4"/>
  <c r="B254" i="4"/>
  <c r="B255" i="4"/>
  <c r="B256" i="4"/>
  <c r="B257" i="4"/>
  <c r="B258" i="4"/>
  <c r="B259" i="4"/>
  <c r="B260" i="4"/>
  <c r="B261" i="4"/>
  <c r="B262" i="4"/>
  <c r="B263" i="4"/>
  <c r="B264" i="4"/>
  <c r="B265" i="4"/>
  <c r="B266" i="4"/>
  <c r="B267" i="4"/>
  <c r="B268" i="4"/>
  <c r="B269" i="4"/>
  <c r="B270" i="4"/>
  <c r="B271" i="4"/>
  <c r="B272" i="4"/>
  <c r="B273" i="4"/>
  <c r="B274" i="4"/>
  <c r="B275" i="4"/>
  <c r="B276" i="4"/>
  <c r="B277" i="4"/>
  <c r="B278" i="4"/>
  <c r="B279" i="4"/>
  <c r="B280" i="4"/>
  <c r="B281" i="4"/>
  <c r="B282" i="4"/>
  <c r="B283" i="4"/>
  <c r="B284" i="4"/>
  <c r="B285" i="4"/>
  <c r="B286" i="4"/>
  <c r="B287" i="4"/>
  <c r="B288" i="4"/>
  <c r="B289" i="4"/>
  <c r="B290" i="4"/>
  <c r="B291" i="4"/>
  <c r="B292" i="4"/>
  <c r="B293" i="4"/>
  <c r="B294" i="4"/>
  <c r="B295" i="4"/>
  <c r="B3" i="4"/>
  <c r="Z2" i="1"/>
  <c r="Y18" i="1"/>
  <c r="Y15" i="1"/>
  <c r="Y12" i="1"/>
  <c r="K19" i="1" l="1"/>
  <c r="L19" i="1" l="1"/>
  <c r="P19" i="1"/>
  <c r="Q19" i="1" s="1"/>
  <c r="G47" i="1"/>
  <c r="G11" i="1"/>
  <c r="G29" i="1"/>
  <c r="Y4" i="1" l="1"/>
  <c r="M45" i="1" s="1"/>
  <c r="X30" i="1" l="1"/>
  <c r="X29" i="1"/>
  <c r="X31" i="1"/>
  <c r="N27" i="1"/>
  <c r="R45" i="1"/>
  <c r="M46" i="1"/>
  <c r="R27" i="1"/>
  <c r="R46" i="1"/>
  <c r="Y31" i="1" l="1"/>
  <c r="Z31" i="1" s="1"/>
  <c r="Y29" i="1"/>
  <c r="Z29" i="1" s="1"/>
  <c r="Y30" i="1"/>
  <c r="Z30" i="1" s="1"/>
  <c r="X24" i="1"/>
  <c r="Y24" i="1" s="1"/>
  <c r="Z24" i="1" s="1"/>
  <c r="X26" i="1"/>
  <c r="Y26" i="1" s="1"/>
  <c r="Z26" i="1" s="1"/>
  <c r="X25" i="1"/>
  <c r="Y25" i="1" s="1"/>
  <c r="Z25" i="1" s="1"/>
  <c r="X36" i="1"/>
  <c r="Y36" i="1" s="1"/>
  <c r="X34" i="1"/>
  <c r="Y34" i="1" s="1"/>
  <c r="X35" i="1"/>
  <c r="Y35" i="1" s="1"/>
  <c r="Z35" i="1" l="1"/>
  <c r="Z36" i="1"/>
  <c r="Z34" i="1"/>
  <c r="C13" i="1" l="1"/>
  <c r="BL295" i="4"/>
  <c r="BK295" i="4"/>
  <c r="BI295" i="4"/>
  <c r="BH295" i="4"/>
  <c r="BF295" i="4"/>
  <c r="BE295" i="4"/>
  <c r="BL294" i="4"/>
  <c r="BK294" i="4"/>
  <c r="BI294" i="4"/>
  <c r="BH294" i="4"/>
  <c r="BF294" i="4"/>
  <c r="BE294" i="4"/>
  <c r="BL293" i="4"/>
  <c r="BK293" i="4"/>
  <c r="BI293" i="4"/>
  <c r="BH293" i="4"/>
  <c r="BF293" i="4"/>
  <c r="BE293" i="4"/>
  <c r="BL292" i="4"/>
  <c r="BK292" i="4"/>
  <c r="BI292" i="4"/>
  <c r="BH292" i="4"/>
  <c r="BF292" i="4"/>
  <c r="BE292" i="4"/>
  <c r="BL291" i="4"/>
  <c r="BK291" i="4"/>
  <c r="BI291" i="4"/>
  <c r="BH291" i="4"/>
  <c r="BF291" i="4"/>
  <c r="BE291" i="4"/>
  <c r="BL290" i="4"/>
  <c r="BK290" i="4"/>
  <c r="BI290" i="4"/>
  <c r="BH290" i="4"/>
  <c r="BF290" i="4"/>
  <c r="BE290" i="4"/>
  <c r="BL289" i="4"/>
  <c r="BK289" i="4"/>
  <c r="BI289" i="4"/>
  <c r="BH289" i="4"/>
  <c r="BF289" i="4"/>
  <c r="BE289" i="4"/>
  <c r="BL288" i="4"/>
  <c r="BK288" i="4"/>
  <c r="BI288" i="4"/>
  <c r="BH288" i="4"/>
  <c r="BF288" i="4"/>
  <c r="BE288" i="4"/>
  <c r="BL287" i="4"/>
  <c r="BK287" i="4"/>
  <c r="BI287" i="4"/>
  <c r="BH287" i="4"/>
  <c r="BF287" i="4"/>
  <c r="BE287" i="4"/>
  <c r="BL286" i="4"/>
  <c r="BK286" i="4"/>
  <c r="BI286" i="4"/>
  <c r="BH286" i="4"/>
  <c r="BF286" i="4"/>
  <c r="BE286" i="4"/>
  <c r="BL285" i="4"/>
  <c r="BK285" i="4"/>
  <c r="BI285" i="4"/>
  <c r="BH285" i="4"/>
  <c r="BF285" i="4"/>
  <c r="BE285" i="4"/>
  <c r="BL284" i="4"/>
  <c r="BK284" i="4"/>
  <c r="BI284" i="4"/>
  <c r="BH284" i="4"/>
  <c r="BF284" i="4"/>
  <c r="BE284" i="4"/>
  <c r="BL283" i="4"/>
  <c r="BK283" i="4"/>
  <c r="BI283" i="4"/>
  <c r="BH283" i="4"/>
  <c r="BF283" i="4"/>
  <c r="BE283" i="4"/>
  <c r="BL282" i="4"/>
  <c r="BK282" i="4"/>
  <c r="BI282" i="4"/>
  <c r="BH282" i="4"/>
  <c r="BF282" i="4"/>
  <c r="BE282" i="4"/>
  <c r="BL281" i="4"/>
  <c r="BK281" i="4"/>
  <c r="BI281" i="4"/>
  <c r="BH281" i="4"/>
  <c r="BF281" i="4"/>
  <c r="BE281" i="4"/>
  <c r="BL280" i="4"/>
  <c r="BK280" i="4"/>
  <c r="BI280" i="4"/>
  <c r="BH280" i="4"/>
  <c r="BF280" i="4"/>
  <c r="BE280" i="4"/>
  <c r="BL279" i="4"/>
  <c r="BK279" i="4"/>
  <c r="BI279" i="4"/>
  <c r="BH279" i="4"/>
  <c r="BF279" i="4"/>
  <c r="BE279" i="4"/>
  <c r="BL278" i="4"/>
  <c r="BK278" i="4"/>
  <c r="BI278" i="4"/>
  <c r="BH278" i="4"/>
  <c r="BF278" i="4"/>
  <c r="BE278" i="4"/>
  <c r="BL277" i="4"/>
  <c r="BK277" i="4"/>
  <c r="BI277" i="4"/>
  <c r="BH277" i="4"/>
  <c r="BF277" i="4"/>
  <c r="BE277" i="4"/>
  <c r="BL276" i="4"/>
  <c r="BK276" i="4"/>
  <c r="BI276" i="4"/>
  <c r="BH276" i="4"/>
  <c r="BF276" i="4"/>
  <c r="BE276" i="4"/>
  <c r="BL275" i="4"/>
  <c r="BK275" i="4"/>
  <c r="BI275" i="4"/>
  <c r="BH275" i="4"/>
  <c r="BF275" i="4"/>
  <c r="BE275" i="4"/>
  <c r="BL274" i="4"/>
  <c r="BK274" i="4"/>
  <c r="BI274" i="4"/>
  <c r="BH274" i="4"/>
  <c r="BF274" i="4"/>
  <c r="BE274" i="4"/>
  <c r="BL273" i="4"/>
  <c r="BK273" i="4"/>
  <c r="BI273" i="4"/>
  <c r="BH273" i="4"/>
  <c r="BF273" i="4"/>
  <c r="BE273" i="4"/>
  <c r="BL272" i="4"/>
  <c r="BK272" i="4"/>
  <c r="BI272" i="4"/>
  <c r="BH272" i="4"/>
  <c r="BF272" i="4"/>
  <c r="BE272" i="4"/>
  <c r="BL271" i="4"/>
  <c r="BK271" i="4"/>
  <c r="BI271" i="4"/>
  <c r="BH271" i="4"/>
  <c r="BF271" i="4"/>
  <c r="BE271" i="4"/>
  <c r="BL270" i="4"/>
  <c r="BK270" i="4"/>
  <c r="BI270" i="4"/>
  <c r="BH270" i="4"/>
  <c r="BF270" i="4"/>
  <c r="BE270" i="4"/>
  <c r="BL269" i="4"/>
  <c r="BK269" i="4"/>
  <c r="BI269" i="4"/>
  <c r="BH269" i="4"/>
  <c r="BF269" i="4"/>
  <c r="BE269" i="4"/>
  <c r="BL268" i="4"/>
  <c r="BK268" i="4"/>
  <c r="BI268" i="4"/>
  <c r="BH268" i="4"/>
  <c r="BF268" i="4"/>
  <c r="BE268" i="4"/>
  <c r="BL267" i="4"/>
  <c r="BK267" i="4"/>
  <c r="BI267" i="4"/>
  <c r="BH267" i="4"/>
  <c r="BF267" i="4"/>
  <c r="BE267" i="4"/>
  <c r="BL266" i="4"/>
  <c r="BK266" i="4"/>
  <c r="BI266" i="4"/>
  <c r="BH266" i="4"/>
  <c r="BF266" i="4"/>
  <c r="BE266" i="4"/>
  <c r="BL265" i="4"/>
  <c r="BK265" i="4"/>
  <c r="BI265" i="4"/>
  <c r="BH265" i="4"/>
  <c r="BF265" i="4"/>
  <c r="BE265" i="4"/>
  <c r="BL264" i="4"/>
  <c r="BK264" i="4"/>
  <c r="BI264" i="4"/>
  <c r="BH264" i="4"/>
  <c r="BF264" i="4"/>
  <c r="BE264" i="4"/>
  <c r="BL263" i="4"/>
  <c r="BK263" i="4"/>
  <c r="BI263" i="4"/>
  <c r="BH263" i="4"/>
  <c r="BF263" i="4"/>
  <c r="BE263" i="4"/>
  <c r="BL262" i="4"/>
  <c r="BK262" i="4"/>
  <c r="BI262" i="4"/>
  <c r="BH262" i="4"/>
  <c r="BF262" i="4"/>
  <c r="BE262" i="4"/>
  <c r="BL261" i="4"/>
  <c r="BK261" i="4"/>
  <c r="BI261" i="4"/>
  <c r="BH261" i="4"/>
  <c r="BF261" i="4"/>
  <c r="BE261" i="4"/>
  <c r="BL260" i="4"/>
  <c r="BK260" i="4"/>
  <c r="BI260" i="4"/>
  <c r="BH260" i="4"/>
  <c r="BF260" i="4"/>
  <c r="BE260" i="4"/>
  <c r="BL259" i="4"/>
  <c r="BK259" i="4"/>
  <c r="BI259" i="4"/>
  <c r="BH259" i="4"/>
  <c r="BF259" i="4"/>
  <c r="BE259" i="4"/>
  <c r="BL258" i="4"/>
  <c r="BK258" i="4"/>
  <c r="BI258" i="4"/>
  <c r="BH258" i="4"/>
  <c r="BF258" i="4"/>
  <c r="BE258" i="4"/>
  <c r="BL257" i="4"/>
  <c r="BK257" i="4"/>
  <c r="BI257" i="4"/>
  <c r="BH257" i="4"/>
  <c r="BF257" i="4"/>
  <c r="BE257" i="4"/>
  <c r="BL256" i="4"/>
  <c r="BK256" i="4"/>
  <c r="BI256" i="4"/>
  <c r="BH256" i="4"/>
  <c r="BF256" i="4"/>
  <c r="BE256" i="4"/>
  <c r="BL255" i="4"/>
  <c r="BK255" i="4"/>
  <c r="BI255" i="4"/>
  <c r="BH255" i="4"/>
  <c r="BF255" i="4"/>
  <c r="BE255" i="4"/>
  <c r="BL254" i="4"/>
  <c r="BK254" i="4"/>
  <c r="BI254" i="4"/>
  <c r="BH254" i="4"/>
  <c r="BF254" i="4"/>
  <c r="BE254" i="4"/>
  <c r="BL253" i="4"/>
  <c r="BK253" i="4"/>
  <c r="BI253" i="4"/>
  <c r="BH253" i="4"/>
  <c r="BF253" i="4"/>
  <c r="BE253" i="4"/>
  <c r="BL252" i="4"/>
  <c r="BK252" i="4"/>
  <c r="BI252" i="4"/>
  <c r="BH252" i="4"/>
  <c r="BF252" i="4"/>
  <c r="BE252" i="4"/>
  <c r="BL251" i="4"/>
  <c r="BK251" i="4"/>
  <c r="BI251" i="4"/>
  <c r="BH251" i="4"/>
  <c r="BF251" i="4"/>
  <c r="BE251" i="4"/>
  <c r="BL250" i="4"/>
  <c r="BK250" i="4"/>
  <c r="BI250" i="4"/>
  <c r="BH250" i="4"/>
  <c r="BF250" i="4"/>
  <c r="BE250" i="4"/>
  <c r="BL249" i="4"/>
  <c r="BK249" i="4"/>
  <c r="BI249" i="4"/>
  <c r="BH249" i="4"/>
  <c r="BF249" i="4"/>
  <c r="BE249" i="4"/>
  <c r="BL248" i="4"/>
  <c r="BK248" i="4"/>
  <c r="BI248" i="4"/>
  <c r="BH248" i="4"/>
  <c r="BF248" i="4"/>
  <c r="BE248" i="4"/>
  <c r="BL247" i="4"/>
  <c r="BK247" i="4"/>
  <c r="BI247" i="4"/>
  <c r="BH247" i="4"/>
  <c r="BF247" i="4"/>
  <c r="BE247" i="4"/>
  <c r="BL246" i="4"/>
  <c r="BK246" i="4"/>
  <c r="BI246" i="4"/>
  <c r="BH246" i="4"/>
  <c r="BF246" i="4"/>
  <c r="BE246" i="4"/>
  <c r="BL245" i="4"/>
  <c r="BK245" i="4"/>
  <c r="BI245" i="4"/>
  <c r="BH245" i="4"/>
  <c r="BF245" i="4"/>
  <c r="BE245" i="4"/>
  <c r="BL244" i="4"/>
  <c r="BK244" i="4"/>
  <c r="BI244" i="4"/>
  <c r="BH244" i="4"/>
  <c r="BF244" i="4"/>
  <c r="BE244" i="4"/>
  <c r="BL243" i="4"/>
  <c r="BK243" i="4"/>
  <c r="BI243" i="4"/>
  <c r="BH243" i="4"/>
  <c r="BF243" i="4"/>
  <c r="BE243" i="4"/>
  <c r="BL242" i="4"/>
  <c r="BK242" i="4"/>
  <c r="BI242" i="4"/>
  <c r="BH242" i="4"/>
  <c r="BF242" i="4"/>
  <c r="BE242" i="4"/>
  <c r="BL241" i="4"/>
  <c r="BK241" i="4"/>
  <c r="BI241" i="4"/>
  <c r="BH241" i="4"/>
  <c r="BF241" i="4"/>
  <c r="BE241" i="4"/>
  <c r="BL240" i="4"/>
  <c r="BK240" i="4"/>
  <c r="BI240" i="4"/>
  <c r="BH240" i="4"/>
  <c r="BF240" i="4"/>
  <c r="BE240" i="4"/>
  <c r="BL239" i="4"/>
  <c r="BK239" i="4"/>
  <c r="BI239" i="4"/>
  <c r="BH239" i="4"/>
  <c r="BF239" i="4"/>
  <c r="BE239" i="4"/>
  <c r="BL238" i="4"/>
  <c r="BK238" i="4"/>
  <c r="BI238" i="4"/>
  <c r="BH238" i="4"/>
  <c r="BF238" i="4"/>
  <c r="BE238" i="4"/>
  <c r="BL237" i="4"/>
  <c r="BK237" i="4"/>
  <c r="BI237" i="4"/>
  <c r="BH237" i="4"/>
  <c r="BF237" i="4"/>
  <c r="BE237" i="4"/>
  <c r="BL236" i="4"/>
  <c r="BK236" i="4"/>
  <c r="BI236" i="4"/>
  <c r="BH236" i="4"/>
  <c r="BF236" i="4"/>
  <c r="BE236" i="4"/>
  <c r="BL235" i="4"/>
  <c r="BK235" i="4"/>
  <c r="BI235" i="4"/>
  <c r="BH235" i="4"/>
  <c r="BF235" i="4"/>
  <c r="BE235" i="4"/>
  <c r="BL234" i="4"/>
  <c r="BK234" i="4"/>
  <c r="BI234" i="4"/>
  <c r="BH234" i="4"/>
  <c r="BF234" i="4"/>
  <c r="BE234" i="4"/>
  <c r="BL233" i="4"/>
  <c r="BK233" i="4"/>
  <c r="BI233" i="4"/>
  <c r="BH233" i="4"/>
  <c r="BF233" i="4"/>
  <c r="BE233" i="4"/>
  <c r="BL232" i="4"/>
  <c r="BK232" i="4"/>
  <c r="BI232" i="4"/>
  <c r="BH232" i="4"/>
  <c r="BF232" i="4"/>
  <c r="BE232" i="4"/>
  <c r="BL231" i="4"/>
  <c r="BK231" i="4"/>
  <c r="BI231" i="4"/>
  <c r="BH231" i="4"/>
  <c r="BF231" i="4"/>
  <c r="BE231" i="4"/>
  <c r="BL230" i="4"/>
  <c r="BK230" i="4"/>
  <c r="BI230" i="4"/>
  <c r="BH230" i="4"/>
  <c r="BF230" i="4"/>
  <c r="BE230" i="4"/>
  <c r="BL229" i="4"/>
  <c r="BK229" i="4"/>
  <c r="BI229" i="4"/>
  <c r="BH229" i="4"/>
  <c r="BF229" i="4"/>
  <c r="BE229" i="4"/>
  <c r="BL228" i="4"/>
  <c r="BK228" i="4"/>
  <c r="BI228" i="4"/>
  <c r="BH228" i="4"/>
  <c r="BF228" i="4"/>
  <c r="BE228" i="4"/>
  <c r="BL227" i="4"/>
  <c r="BK227" i="4"/>
  <c r="BI227" i="4"/>
  <c r="BH227" i="4"/>
  <c r="BF227" i="4"/>
  <c r="BE227" i="4"/>
  <c r="BL226" i="4"/>
  <c r="BK226" i="4"/>
  <c r="BI226" i="4"/>
  <c r="BH226" i="4"/>
  <c r="BF226" i="4"/>
  <c r="BE226" i="4"/>
  <c r="BL225" i="4"/>
  <c r="BK225" i="4"/>
  <c r="BI225" i="4"/>
  <c r="BH225" i="4"/>
  <c r="BF225" i="4"/>
  <c r="BE225" i="4"/>
  <c r="BL224" i="4"/>
  <c r="BK224" i="4"/>
  <c r="BI224" i="4"/>
  <c r="BH224" i="4"/>
  <c r="BF224" i="4"/>
  <c r="BE224" i="4"/>
  <c r="BL223" i="4"/>
  <c r="BK223" i="4"/>
  <c r="BI223" i="4"/>
  <c r="BH223" i="4"/>
  <c r="BF223" i="4"/>
  <c r="BE223" i="4"/>
  <c r="BL222" i="4"/>
  <c r="BK222" i="4"/>
  <c r="BI222" i="4"/>
  <c r="BH222" i="4"/>
  <c r="BF222" i="4"/>
  <c r="BE222" i="4"/>
  <c r="BL221" i="4"/>
  <c r="BK221" i="4"/>
  <c r="BI221" i="4"/>
  <c r="BH221" i="4"/>
  <c r="BF221" i="4"/>
  <c r="BE221" i="4"/>
  <c r="BL220" i="4"/>
  <c r="BK220" i="4"/>
  <c r="BI220" i="4"/>
  <c r="BH220" i="4"/>
  <c r="BF220" i="4"/>
  <c r="BE220" i="4"/>
  <c r="BL219" i="4"/>
  <c r="BK219" i="4"/>
  <c r="BI219" i="4"/>
  <c r="BH219" i="4"/>
  <c r="BF219" i="4"/>
  <c r="BE219" i="4"/>
  <c r="BL218" i="4"/>
  <c r="BK218" i="4"/>
  <c r="BI218" i="4"/>
  <c r="BH218" i="4"/>
  <c r="BF218" i="4"/>
  <c r="BE218" i="4"/>
  <c r="BL217" i="4"/>
  <c r="BK217" i="4"/>
  <c r="BI217" i="4"/>
  <c r="BH217" i="4"/>
  <c r="BF217" i="4"/>
  <c r="BE217" i="4"/>
  <c r="BL216" i="4"/>
  <c r="BK216" i="4"/>
  <c r="BI216" i="4"/>
  <c r="BH216" i="4"/>
  <c r="BF216" i="4"/>
  <c r="BE216" i="4"/>
  <c r="BL215" i="4"/>
  <c r="BK215" i="4"/>
  <c r="BI215" i="4"/>
  <c r="BH215" i="4"/>
  <c r="BF215" i="4"/>
  <c r="BE215" i="4"/>
  <c r="BL214" i="4"/>
  <c r="BK214" i="4"/>
  <c r="BI214" i="4"/>
  <c r="BH214" i="4"/>
  <c r="BF214" i="4"/>
  <c r="BE214" i="4"/>
  <c r="BL213" i="4"/>
  <c r="BK213" i="4"/>
  <c r="BI213" i="4"/>
  <c r="BH213" i="4"/>
  <c r="BF213" i="4"/>
  <c r="BE213" i="4"/>
  <c r="BL212" i="4"/>
  <c r="BK212" i="4"/>
  <c r="BI212" i="4"/>
  <c r="BH212" i="4"/>
  <c r="BF212" i="4"/>
  <c r="BE212" i="4"/>
  <c r="BL211" i="4"/>
  <c r="BK211" i="4"/>
  <c r="BI211" i="4"/>
  <c r="BH211" i="4"/>
  <c r="BF211" i="4"/>
  <c r="BE211" i="4"/>
  <c r="BL210" i="4"/>
  <c r="BK210" i="4"/>
  <c r="BI210" i="4"/>
  <c r="BH210" i="4"/>
  <c r="BF210" i="4"/>
  <c r="BE210" i="4"/>
  <c r="BL209" i="4"/>
  <c r="BK209" i="4"/>
  <c r="BI209" i="4"/>
  <c r="BH209" i="4"/>
  <c r="BF209" i="4"/>
  <c r="BE209" i="4"/>
  <c r="BL208" i="4"/>
  <c r="BK208" i="4"/>
  <c r="BI208" i="4"/>
  <c r="BH208" i="4"/>
  <c r="BF208" i="4"/>
  <c r="BE208" i="4"/>
  <c r="BL207" i="4"/>
  <c r="BK207" i="4"/>
  <c r="BI207" i="4"/>
  <c r="BH207" i="4"/>
  <c r="BF207" i="4"/>
  <c r="BE207" i="4"/>
  <c r="BL206" i="4"/>
  <c r="BK206" i="4"/>
  <c r="BI206" i="4"/>
  <c r="BH206" i="4"/>
  <c r="BF206" i="4"/>
  <c r="BE206" i="4"/>
  <c r="BL205" i="4"/>
  <c r="BK205" i="4"/>
  <c r="BI205" i="4"/>
  <c r="BH205" i="4"/>
  <c r="BF205" i="4"/>
  <c r="BE205" i="4"/>
  <c r="BL204" i="4"/>
  <c r="BK204" i="4"/>
  <c r="BI204" i="4"/>
  <c r="BH204" i="4"/>
  <c r="BF204" i="4"/>
  <c r="BE204" i="4"/>
  <c r="BL203" i="4"/>
  <c r="BK203" i="4"/>
  <c r="BI203" i="4"/>
  <c r="BH203" i="4"/>
  <c r="BF203" i="4"/>
  <c r="BE203" i="4"/>
  <c r="BL202" i="4"/>
  <c r="BK202" i="4"/>
  <c r="BI202" i="4"/>
  <c r="BH202" i="4"/>
  <c r="BF202" i="4"/>
  <c r="BE202" i="4"/>
  <c r="BL201" i="4"/>
  <c r="BK201" i="4"/>
  <c r="BI201" i="4"/>
  <c r="BH201" i="4"/>
  <c r="BF201" i="4"/>
  <c r="BE201" i="4"/>
  <c r="BL200" i="4"/>
  <c r="BK200" i="4"/>
  <c r="BI200" i="4"/>
  <c r="BH200" i="4"/>
  <c r="BF200" i="4"/>
  <c r="BE200" i="4"/>
  <c r="BL199" i="4"/>
  <c r="BK199" i="4"/>
  <c r="BI199" i="4"/>
  <c r="BH199" i="4"/>
  <c r="BF199" i="4"/>
  <c r="BE199" i="4"/>
  <c r="BL198" i="4"/>
  <c r="BK198" i="4"/>
  <c r="BI198" i="4"/>
  <c r="BH198" i="4"/>
  <c r="BF198" i="4"/>
  <c r="BE198" i="4"/>
  <c r="BL197" i="4"/>
  <c r="BK197" i="4"/>
  <c r="BI197" i="4"/>
  <c r="BH197" i="4"/>
  <c r="BF197" i="4"/>
  <c r="BE197" i="4"/>
  <c r="BL196" i="4"/>
  <c r="BK196" i="4"/>
  <c r="BI196" i="4"/>
  <c r="BH196" i="4"/>
  <c r="BF196" i="4"/>
  <c r="BE196" i="4"/>
  <c r="BL195" i="4"/>
  <c r="BK195" i="4"/>
  <c r="BI195" i="4"/>
  <c r="BH195" i="4"/>
  <c r="BF195" i="4"/>
  <c r="BE195" i="4"/>
  <c r="BL194" i="4"/>
  <c r="BK194" i="4"/>
  <c r="BI194" i="4"/>
  <c r="BH194" i="4"/>
  <c r="BF194" i="4"/>
  <c r="BE194" i="4"/>
  <c r="BL193" i="4"/>
  <c r="BK193" i="4"/>
  <c r="BI193" i="4"/>
  <c r="BH193" i="4"/>
  <c r="BF193" i="4"/>
  <c r="BE193" i="4"/>
  <c r="BL192" i="4"/>
  <c r="BK192" i="4"/>
  <c r="BI192" i="4"/>
  <c r="BH192" i="4"/>
  <c r="BF192" i="4"/>
  <c r="BE192" i="4"/>
  <c r="BL191" i="4"/>
  <c r="BK191" i="4"/>
  <c r="BI191" i="4"/>
  <c r="BH191" i="4"/>
  <c r="BF191" i="4"/>
  <c r="BE191" i="4"/>
  <c r="BL190" i="4"/>
  <c r="BK190" i="4"/>
  <c r="BI190" i="4"/>
  <c r="BH190" i="4"/>
  <c r="BF190" i="4"/>
  <c r="BE190" i="4"/>
  <c r="BL189" i="4"/>
  <c r="BK189" i="4"/>
  <c r="BI189" i="4"/>
  <c r="BH189" i="4"/>
  <c r="BF189" i="4"/>
  <c r="BE189" i="4"/>
  <c r="BL188" i="4"/>
  <c r="BK188" i="4"/>
  <c r="BI188" i="4"/>
  <c r="BH188" i="4"/>
  <c r="BF188" i="4"/>
  <c r="BE188" i="4"/>
  <c r="BL187" i="4"/>
  <c r="BK187" i="4"/>
  <c r="BI187" i="4"/>
  <c r="BH187" i="4"/>
  <c r="BF187" i="4"/>
  <c r="BE187" i="4"/>
  <c r="BL186" i="4"/>
  <c r="BK186" i="4"/>
  <c r="BI186" i="4"/>
  <c r="BH186" i="4"/>
  <c r="BF186" i="4"/>
  <c r="BE186" i="4"/>
  <c r="BL185" i="4"/>
  <c r="BK185" i="4"/>
  <c r="BI185" i="4"/>
  <c r="BH185" i="4"/>
  <c r="BF185" i="4"/>
  <c r="BE185" i="4"/>
  <c r="BL184" i="4"/>
  <c r="BK184" i="4"/>
  <c r="BI184" i="4"/>
  <c r="BH184" i="4"/>
  <c r="BF184" i="4"/>
  <c r="BE184" i="4"/>
  <c r="BL183" i="4"/>
  <c r="BK183" i="4"/>
  <c r="BI183" i="4"/>
  <c r="BH183" i="4"/>
  <c r="BF183" i="4"/>
  <c r="BE183" i="4"/>
  <c r="BL182" i="4"/>
  <c r="BK182" i="4"/>
  <c r="BI182" i="4"/>
  <c r="BH182" i="4"/>
  <c r="BF182" i="4"/>
  <c r="BE182" i="4"/>
  <c r="BL181" i="4"/>
  <c r="BK181" i="4"/>
  <c r="BI181" i="4"/>
  <c r="BH181" i="4"/>
  <c r="BF181" i="4"/>
  <c r="BE181" i="4"/>
  <c r="BL180" i="4"/>
  <c r="BK180" i="4"/>
  <c r="BI180" i="4"/>
  <c r="BH180" i="4"/>
  <c r="BF180" i="4"/>
  <c r="BE180" i="4"/>
  <c r="BL179" i="4"/>
  <c r="BK179" i="4"/>
  <c r="BI179" i="4"/>
  <c r="BH179" i="4"/>
  <c r="BF179" i="4"/>
  <c r="BE179" i="4"/>
  <c r="BL178" i="4"/>
  <c r="BK178" i="4"/>
  <c r="BI178" i="4"/>
  <c r="BH178" i="4"/>
  <c r="BF178" i="4"/>
  <c r="BE178" i="4"/>
  <c r="BL177" i="4"/>
  <c r="BK177" i="4"/>
  <c r="BI177" i="4"/>
  <c r="BH177" i="4"/>
  <c r="BF177" i="4"/>
  <c r="BE177" i="4"/>
  <c r="BL176" i="4"/>
  <c r="BK176" i="4"/>
  <c r="BI176" i="4"/>
  <c r="BH176" i="4"/>
  <c r="BF176" i="4"/>
  <c r="BE176" i="4"/>
  <c r="BL175" i="4"/>
  <c r="BK175" i="4"/>
  <c r="BI175" i="4"/>
  <c r="BH175" i="4"/>
  <c r="BF175" i="4"/>
  <c r="BE175" i="4"/>
  <c r="BL174" i="4"/>
  <c r="BK174" i="4"/>
  <c r="BI174" i="4"/>
  <c r="BH174" i="4"/>
  <c r="BF174" i="4"/>
  <c r="BE174" i="4"/>
  <c r="BL173" i="4"/>
  <c r="BK173" i="4"/>
  <c r="BI173" i="4"/>
  <c r="BH173" i="4"/>
  <c r="BF173" i="4"/>
  <c r="BE173" i="4"/>
  <c r="BL172" i="4"/>
  <c r="BK172" i="4"/>
  <c r="BI172" i="4"/>
  <c r="BH172" i="4"/>
  <c r="BF172" i="4"/>
  <c r="BE172" i="4"/>
  <c r="BL171" i="4"/>
  <c r="BK171" i="4"/>
  <c r="BI171" i="4"/>
  <c r="BH171" i="4"/>
  <c r="BF171" i="4"/>
  <c r="BE171" i="4"/>
  <c r="BL170" i="4"/>
  <c r="BK170" i="4"/>
  <c r="BI170" i="4"/>
  <c r="BH170" i="4"/>
  <c r="BF170" i="4"/>
  <c r="BE170" i="4"/>
  <c r="BL169" i="4"/>
  <c r="BK169" i="4"/>
  <c r="BI169" i="4"/>
  <c r="BH169" i="4"/>
  <c r="BF169" i="4"/>
  <c r="BE169" i="4"/>
  <c r="BL168" i="4"/>
  <c r="BK168" i="4"/>
  <c r="BI168" i="4"/>
  <c r="BH168" i="4"/>
  <c r="BF168" i="4"/>
  <c r="BE168" i="4"/>
  <c r="BL167" i="4"/>
  <c r="BK167" i="4"/>
  <c r="BI167" i="4"/>
  <c r="BH167" i="4"/>
  <c r="BF167" i="4"/>
  <c r="BE167" i="4"/>
  <c r="BL166" i="4"/>
  <c r="BK166" i="4"/>
  <c r="BI166" i="4"/>
  <c r="BH166" i="4"/>
  <c r="BF166" i="4"/>
  <c r="BE166" i="4"/>
  <c r="BL165" i="4"/>
  <c r="BK165" i="4"/>
  <c r="BI165" i="4"/>
  <c r="BH165" i="4"/>
  <c r="BF165" i="4"/>
  <c r="BE165" i="4"/>
  <c r="BL164" i="4"/>
  <c r="BK164" i="4"/>
  <c r="BI164" i="4"/>
  <c r="BH164" i="4"/>
  <c r="BF164" i="4"/>
  <c r="BE164" i="4"/>
  <c r="BL163" i="4"/>
  <c r="BK163" i="4"/>
  <c r="BI163" i="4"/>
  <c r="BH163" i="4"/>
  <c r="BF163" i="4"/>
  <c r="BE163" i="4"/>
  <c r="BL162" i="4"/>
  <c r="BK162" i="4"/>
  <c r="BI162" i="4"/>
  <c r="BH162" i="4"/>
  <c r="BF162" i="4"/>
  <c r="BE162" i="4"/>
  <c r="BL161" i="4"/>
  <c r="BK161" i="4"/>
  <c r="BI161" i="4"/>
  <c r="BH161" i="4"/>
  <c r="BF161" i="4"/>
  <c r="BE161" i="4"/>
  <c r="BL160" i="4"/>
  <c r="BK160" i="4"/>
  <c r="BI160" i="4"/>
  <c r="BH160" i="4"/>
  <c r="BF160" i="4"/>
  <c r="BE160" i="4"/>
  <c r="BL159" i="4"/>
  <c r="BK159" i="4"/>
  <c r="BI159" i="4"/>
  <c r="BH159" i="4"/>
  <c r="BF159" i="4"/>
  <c r="BE159" i="4"/>
  <c r="BL158" i="4"/>
  <c r="BK158" i="4"/>
  <c r="BI158" i="4"/>
  <c r="BH158" i="4"/>
  <c r="BF158" i="4"/>
  <c r="BE158" i="4"/>
  <c r="BL157" i="4"/>
  <c r="BK157" i="4"/>
  <c r="BI157" i="4"/>
  <c r="BH157" i="4"/>
  <c r="BF157" i="4"/>
  <c r="BE157" i="4"/>
  <c r="BL156" i="4"/>
  <c r="BK156" i="4"/>
  <c r="BI156" i="4"/>
  <c r="BH156" i="4"/>
  <c r="BF156" i="4"/>
  <c r="BE156" i="4"/>
  <c r="BL155" i="4"/>
  <c r="BK155" i="4"/>
  <c r="BI155" i="4"/>
  <c r="BH155" i="4"/>
  <c r="BF155" i="4"/>
  <c r="BE155" i="4"/>
  <c r="BL154" i="4"/>
  <c r="BK154" i="4"/>
  <c r="BI154" i="4"/>
  <c r="BH154" i="4"/>
  <c r="BF154" i="4"/>
  <c r="BE154" i="4"/>
  <c r="BL153" i="4"/>
  <c r="BK153" i="4"/>
  <c r="BI153" i="4"/>
  <c r="BH153" i="4"/>
  <c r="BF153" i="4"/>
  <c r="BE153" i="4"/>
  <c r="BL152" i="4"/>
  <c r="BK152" i="4"/>
  <c r="BI152" i="4"/>
  <c r="BH152" i="4"/>
  <c r="BF152" i="4"/>
  <c r="BE152" i="4"/>
  <c r="BL151" i="4"/>
  <c r="BK151" i="4"/>
  <c r="BI151" i="4"/>
  <c r="BH151" i="4"/>
  <c r="BF151" i="4"/>
  <c r="BE151" i="4"/>
  <c r="BL150" i="4"/>
  <c r="BK150" i="4"/>
  <c r="BI150" i="4"/>
  <c r="BH150" i="4"/>
  <c r="BF150" i="4"/>
  <c r="BE150" i="4"/>
  <c r="BL149" i="4"/>
  <c r="BK149" i="4"/>
  <c r="BI149" i="4"/>
  <c r="BH149" i="4"/>
  <c r="BF149" i="4"/>
  <c r="BE149" i="4"/>
  <c r="BL148" i="4"/>
  <c r="BK148" i="4"/>
  <c r="BI148" i="4"/>
  <c r="BH148" i="4"/>
  <c r="BF148" i="4"/>
  <c r="BE148" i="4"/>
  <c r="BL147" i="4"/>
  <c r="BK147" i="4"/>
  <c r="BI147" i="4"/>
  <c r="BH147" i="4"/>
  <c r="BF147" i="4"/>
  <c r="BE147" i="4"/>
  <c r="BL146" i="4"/>
  <c r="BK146" i="4"/>
  <c r="BI146" i="4"/>
  <c r="BH146" i="4"/>
  <c r="BF146" i="4"/>
  <c r="BE146" i="4"/>
  <c r="BL145" i="4"/>
  <c r="BK145" i="4"/>
  <c r="BI145" i="4"/>
  <c r="BH145" i="4"/>
  <c r="BF145" i="4"/>
  <c r="BE145" i="4"/>
  <c r="BL144" i="4"/>
  <c r="BK144" i="4"/>
  <c r="BI144" i="4"/>
  <c r="BH144" i="4"/>
  <c r="BF144" i="4"/>
  <c r="BE144" i="4"/>
  <c r="BL143" i="4"/>
  <c r="BK143" i="4"/>
  <c r="BI143" i="4"/>
  <c r="BH143" i="4"/>
  <c r="BF143" i="4"/>
  <c r="BE143" i="4"/>
  <c r="BL142" i="4"/>
  <c r="BK142" i="4"/>
  <c r="BI142" i="4"/>
  <c r="BH142" i="4"/>
  <c r="BF142" i="4"/>
  <c r="BE142" i="4"/>
  <c r="BL141" i="4"/>
  <c r="BK141" i="4"/>
  <c r="BI141" i="4"/>
  <c r="BH141" i="4"/>
  <c r="BF141" i="4"/>
  <c r="BE141" i="4"/>
  <c r="BL140" i="4"/>
  <c r="BK140" i="4"/>
  <c r="BI140" i="4"/>
  <c r="BH140" i="4"/>
  <c r="BF140" i="4"/>
  <c r="BE140" i="4"/>
  <c r="BL139" i="4"/>
  <c r="BK139" i="4"/>
  <c r="BI139" i="4"/>
  <c r="BH139" i="4"/>
  <c r="BF139" i="4"/>
  <c r="BE139" i="4"/>
  <c r="BL138" i="4"/>
  <c r="BK138" i="4"/>
  <c r="BI138" i="4"/>
  <c r="BH138" i="4"/>
  <c r="BF138" i="4"/>
  <c r="BE138" i="4"/>
  <c r="BL137" i="4"/>
  <c r="BK137" i="4"/>
  <c r="BI137" i="4"/>
  <c r="BH137" i="4"/>
  <c r="BF137" i="4"/>
  <c r="BE137" i="4"/>
  <c r="BL136" i="4"/>
  <c r="BK136" i="4"/>
  <c r="BI136" i="4"/>
  <c r="BH136" i="4"/>
  <c r="BF136" i="4"/>
  <c r="BE136" i="4"/>
  <c r="BL135" i="4"/>
  <c r="BK135" i="4"/>
  <c r="BI135" i="4"/>
  <c r="BH135" i="4"/>
  <c r="BF135" i="4"/>
  <c r="BE135" i="4"/>
  <c r="BL134" i="4"/>
  <c r="BK134" i="4"/>
  <c r="BI134" i="4"/>
  <c r="BH134" i="4"/>
  <c r="BF134" i="4"/>
  <c r="BE134" i="4"/>
  <c r="BL133" i="4"/>
  <c r="BK133" i="4"/>
  <c r="BI133" i="4"/>
  <c r="BH133" i="4"/>
  <c r="BF133" i="4"/>
  <c r="BE133" i="4"/>
  <c r="BL132" i="4"/>
  <c r="BK132" i="4"/>
  <c r="BI132" i="4"/>
  <c r="BH132" i="4"/>
  <c r="BF132" i="4"/>
  <c r="BE132" i="4"/>
  <c r="BL131" i="4"/>
  <c r="BK131" i="4"/>
  <c r="BI131" i="4"/>
  <c r="BH131" i="4"/>
  <c r="BF131" i="4"/>
  <c r="BE131" i="4"/>
  <c r="BL130" i="4"/>
  <c r="BK130" i="4"/>
  <c r="BI130" i="4"/>
  <c r="BH130" i="4"/>
  <c r="BF130" i="4"/>
  <c r="BE130" i="4"/>
  <c r="BL129" i="4"/>
  <c r="BK129" i="4"/>
  <c r="BI129" i="4"/>
  <c r="BH129" i="4"/>
  <c r="BF129" i="4"/>
  <c r="BE129" i="4"/>
  <c r="BL128" i="4"/>
  <c r="BK128" i="4"/>
  <c r="BI128" i="4"/>
  <c r="BH128" i="4"/>
  <c r="BF128" i="4"/>
  <c r="BE128" i="4"/>
  <c r="BL127" i="4"/>
  <c r="BK127" i="4"/>
  <c r="BI127" i="4"/>
  <c r="BH127" i="4"/>
  <c r="BF127" i="4"/>
  <c r="BE127" i="4"/>
  <c r="BL126" i="4"/>
  <c r="BK126" i="4"/>
  <c r="BI126" i="4"/>
  <c r="BH126" i="4"/>
  <c r="BF126" i="4"/>
  <c r="BE126" i="4"/>
  <c r="BL125" i="4"/>
  <c r="BK125" i="4"/>
  <c r="BI125" i="4"/>
  <c r="BH125" i="4"/>
  <c r="BF125" i="4"/>
  <c r="BE125" i="4"/>
  <c r="BL124" i="4"/>
  <c r="BK124" i="4"/>
  <c r="BI124" i="4"/>
  <c r="BH124" i="4"/>
  <c r="BF124" i="4"/>
  <c r="BE124" i="4"/>
  <c r="BL123" i="4"/>
  <c r="BK123" i="4"/>
  <c r="BI123" i="4"/>
  <c r="BH123" i="4"/>
  <c r="BF123" i="4"/>
  <c r="BE123" i="4"/>
  <c r="BL122" i="4"/>
  <c r="BK122" i="4"/>
  <c r="BI122" i="4"/>
  <c r="BH122" i="4"/>
  <c r="BF122" i="4"/>
  <c r="BE122" i="4"/>
  <c r="BL121" i="4"/>
  <c r="BK121" i="4"/>
  <c r="BI121" i="4"/>
  <c r="BH121" i="4"/>
  <c r="BF121" i="4"/>
  <c r="BE121" i="4"/>
  <c r="BL120" i="4"/>
  <c r="BK120" i="4"/>
  <c r="BI120" i="4"/>
  <c r="BH120" i="4"/>
  <c r="BF120" i="4"/>
  <c r="BE120" i="4"/>
  <c r="BL119" i="4"/>
  <c r="BK119" i="4"/>
  <c r="BI119" i="4"/>
  <c r="BH119" i="4"/>
  <c r="BF119" i="4"/>
  <c r="BE119" i="4"/>
  <c r="BL118" i="4"/>
  <c r="BK118" i="4"/>
  <c r="BI118" i="4"/>
  <c r="BH118" i="4"/>
  <c r="BF118" i="4"/>
  <c r="BE118" i="4"/>
  <c r="BL117" i="4"/>
  <c r="BK117" i="4"/>
  <c r="BI117" i="4"/>
  <c r="BH117" i="4"/>
  <c r="BF117" i="4"/>
  <c r="BE117" i="4"/>
  <c r="BL116" i="4"/>
  <c r="BK116" i="4"/>
  <c r="BI116" i="4"/>
  <c r="BH116" i="4"/>
  <c r="BF116" i="4"/>
  <c r="BE116" i="4"/>
  <c r="BL115" i="4"/>
  <c r="BK115" i="4"/>
  <c r="BI115" i="4"/>
  <c r="BH115" i="4"/>
  <c r="BF115" i="4"/>
  <c r="BE115" i="4"/>
  <c r="BL114" i="4"/>
  <c r="BK114" i="4"/>
  <c r="BI114" i="4"/>
  <c r="BH114" i="4"/>
  <c r="BF114" i="4"/>
  <c r="BE114" i="4"/>
  <c r="BL113" i="4"/>
  <c r="BK113" i="4"/>
  <c r="BI113" i="4"/>
  <c r="BH113" i="4"/>
  <c r="BF113" i="4"/>
  <c r="BE113" i="4"/>
  <c r="BL112" i="4"/>
  <c r="BK112" i="4"/>
  <c r="BI112" i="4"/>
  <c r="BH112" i="4"/>
  <c r="BF112" i="4"/>
  <c r="BE112" i="4"/>
  <c r="BL111" i="4"/>
  <c r="BK111" i="4"/>
  <c r="BI111" i="4"/>
  <c r="BH111" i="4"/>
  <c r="BF111" i="4"/>
  <c r="BE111" i="4"/>
  <c r="BL110" i="4"/>
  <c r="BK110" i="4"/>
  <c r="BI110" i="4"/>
  <c r="BH110" i="4"/>
  <c r="BF110" i="4"/>
  <c r="BE110" i="4"/>
  <c r="BL109" i="4"/>
  <c r="BK109" i="4"/>
  <c r="BI109" i="4"/>
  <c r="BH109" i="4"/>
  <c r="BF109" i="4"/>
  <c r="BE109" i="4"/>
  <c r="BL108" i="4"/>
  <c r="BK108" i="4"/>
  <c r="BI108" i="4"/>
  <c r="BH108" i="4"/>
  <c r="BF108" i="4"/>
  <c r="BE108" i="4"/>
  <c r="BL107" i="4"/>
  <c r="BK107" i="4"/>
  <c r="BI107" i="4"/>
  <c r="BH107" i="4"/>
  <c r="BF107" i="4"/>
  <c r="BE107" i="4"/>
  <c r="BL106" i="4"/>
  <c r="BK106" i="4"/>
  <c r="BI106" i="4"/>
  <c r="BH106" i="4"/>
  <c r="BF106" i="4"/>
  <c r="BE106" i="4"/>
  <c r="BL105" i="4"/>
  <c r="BK105" i="4"/>
  <c r="BI105" i="4"/>
  <c r="BH105" i="4"/>
  <c r="BF105" i="4"/>
  <c r="BE105" i="4"/>
  <c r="BL104" i="4"/>
  <c r="BK104" i="4"/>
  <c r="BI104" i="4"/>
  <c r="BH104" i="4"/>
  <c r="BF104" i="4"/>
  <c r="BE104" i="4"/>
  <c r="BL103" i="4"/>
  <c r="BK103" i="4"/>
  <c r="BI103" i="4"/>
  <c r="BH103" i="4"/>
  <c r="BF103" i="4"/>
  <c r="BE103" i="4"/>
  <c r="BL102" i="4"/>
  <c r="BK102" i="4"/>
  <c r="BI102" i="4"/>
  <c r="BH102" i="4"/>
  <c r="BF102" i="4"/>
  <c r="BE102" i="4"/>
  <c r="BL101" i="4"/>
  <c r="BK101" i="4"/>
  <c r="BI101" i="4"/>
  <c r="BH101" i="4"/>
  <c r="BF101" i="4"/>
  <c r="BE101" i="4"/>
  <c r="BL100" i="4"/>
  <c r="BK100" i="4"/>
  <c r="BI100" i="4"/>
  <c r="BH100" i="4"/>
  <c r="BF100" i="4"/>
  <c r="BE100" i="4"/>
  <c r="BL99" i="4"/>
  <c r="BK99" i="4"/>
  <c r="BI99" i="4"/>
  <c r="BH99" i="4"/>
  <c r="BF99" i="4"/>
  <c r="BE99" i="4"/>
  <c r="BL98" i="4"/>
  <c r="BK98" i="4"/>
  <c r="BI98" i="4"/>
  <c r="BH98" i="4"/>
  <c r="BF98" i="4"/>
  <c r="BE98" i="4"/>
  <c r="BL97" i="4"/>
  <c r="BK97" i="4"/>
  <c r="BI97" i="4"/>
  <c r="BH97" i="4"/>
  <c r="BF97" i="4"/>
  <c r="BE97" i="4"/>
  <c r="BL96" i="4"/>
  <c r="BK96" i="4"/>
  <c r="BI96" i="4"/>
  <c r="BH96" i="4"/>
  <c r="BF96" i="4"/>
  <c r="BE96" i="4"/>
  <c r="BL95" i="4"/>
  <c r="BK95" i="4"/>
  <c r="BI95" i="4"/>
  <c r="BH95" i="4"/>
  <c r="BF95" i="4"/>
  <c r="BE95" i="4"/>
  <c r="BL94" i="4"/>
  <c r="BK94" i="4"/>
  <c r="BI94" i="4"/>
  <c r="BH94" i="4"/>
  <c r="BF94" i="4"/>
  <c r="BE94" i="4"/>
  <c r="BL93" i="4"/>
  <c r="BK93" i="4"/>
  <c r="BI93" i="4"/>
  <c r="BH93" i="4"/>
  <c r="BF93" i="4"/>
  <c r="BE93" i="4"/>
  <c r="BL92" i="4"/>
  <c r="BK92" i="4"/>
  <c r="BI92" i="4"/>
  <c r="BH92" i="4"/>
  <c r="BF92" i="4"/>
  <c r="BE92" i="4"/>
  <c r="BL91" i="4"/>
  <c r="BK91" i="4"/>
  <c r="BI91" i="4"/>
  <c r="BH91" i="4"/>
  <c r="BF91" i="4"/>
  <c r="BE91" i="4"/>
  <c r="BL90" i="4"/>
  <c r="BK90" i="4"/>
  <c r="BI90" i="4"/>
  <c r="BH90" i="4"/>
  <c r="BF90" i="4"/>
  <c r="BE90" i="4"/>
  <c r="BL89" i="4"/>
  <c r="BK89" i="4"/>
  <c r="BI89" i="4"/>
  <c r="BH89" i="4"/>
  <c r="BF89" i="4"/>
  <c r="BE89" i="4"/>
  <c r="BL88" i="4"/>
  <c r="BK88" i="4"/>
  <c r="BI88" i="4"/>
  <c r="BH88" i="4"/>
  <c r="BF88" i="4"/>
  <c r="BE88" i="4"/>
  <c r="BL87" i="4"/>
  <c r="BK87" i="4"/>
  <c r="BI87" i="4"/>
  <c r="BH87" i="4"/>
  <c r="BF87" i="4"/>
  <c r="BE87" i="4"/>
  <c r="BL86" i="4"/>
  <c r="BK86" i="4"/>
  <c r="BI86" i="4"/>
  <c r="BH86" i="4"/>
  <c r="BF86" i="4"/>
  <c r="BE86" i="4"/>
  <c r="BL85" i="4"/>
  <c r="BK85" i="4"/>
  <c r="BI85" i="4"/>
  <c r="BH85" i="4"/>
  <c r="BF85" i="4"/>
  <c r="BE85" i="4"/>
  <c r="BL84" i="4"/>
  <c r="BK84" i="4"/>
  <c r="BI84" i="4"/>
  <c r="BH84" i="4"/>
  <c r="BF84" i="4"/>
  <c r="BE84" i="4"/>
  <c r="BL83" i="4"/>
  <c r="BK83" i="4"/>
  <c r="BI83" i="4"/>
  <c r="BH83" i="4"/>
  <c r="BF83" i="4"/>
  <c r="BE83" i="4"/>
  <c r="BL82" i="4"/>
  <c r="BK82" i="4"/>
  <c r="BI82" i="4"/>
  <c r="BH82" i="4"/>
  <c r="BF82" i="4"/>
  <c r="BE82" i="4"/>
  <c r="BL81" i="4"/>
  <c r="BK81" i="4"/>
  <c r="BI81" i="4"/>
  <c r="BH81" i="4"/>
  <c r="BF81" i="4"/>
  <c r="BE81" i="4"/>
  <c r="BL80" i="4"/>
  <c r="BK80" i="4"/>
  <c r="BI80" i="4"/>
  <c r="BH80" i="4"/>
  <c r="BF80" i="4"/>
  <c r="BE80" i="4"/>
  <c r="BL79" i="4"/>
  <c r="BK79" i="4"/>
  <c r="BI79" i="4"/>
  <c r="BH79" i="4"/>
  <c r="BF79" i="4"/>
  <c r="BE79" i="4"/>
  <c r="BL78" i="4"/>
  <c r="BK78" i="4"/>
  <c r="BI78" i="4"/>
  <c r="BH78" i="4"/>
  <c r="BF78" i="4"/>
  <c r="BE78" i="4"/>
  <c r="BL77" i="4"/>
  <c r="BK77" i="4"/>
  <c r="BI77" i="4"/>
  <c r="BH77" i="4"/>
  <c r="BF77" i="4"/>
  <c r="BE77" i="4"/>
  <c r="BL76" i="4"/>
  <c r="BK76" i="4"/>
  <c r="BI76" i="4"/>
  <c r="BH76" i="4"/>
  <c r="BF76" i="4"/>
  <c r="BE76" i="4"/>
  <c r="BL75" i="4"/>
  <c r="BK75" i="4"/>
  <c r="BI75" i="4"/>
  <c r="BH75" i="4"/>
  <c r="BF75" i="4"/>
  <c r="BE75" i="4"/>
  <c r="BL74" i="4"/>
  <c r="BK74" i="4"/>
  <c r="BI74" i="4"/>
  <c r="BH74" i="4"/>
  <c r="BF74" i="4"/>
  <c r="BE74" i="4"/>
  <c r="BL73" i="4"/>
  <c r="BK73" i="4"/>
  <c r="BI73" i="4"/>
  <c r="BH73" i="4"/>
  <c r="BF73" i="4"/>
  <c r="BE73" i="4"/>
  <c r="BL72" i="4"/>
  <c r="BK72" i="4"/>
  <c r="BI72" i="4"/>
  <c r="BH72" i="4"/>
  <c r="BF72" i="4"/>
  <c r="BE72" i="4"/>
  <c r="BL71" i="4"/>
  <c r="BK71" i="4"/>
  <c r="BI71" i="4"/>
  <c r="BH71" i="4"/>
  <c r="BF71" i="4"/>
  <c r="BE71" i="4"/>
  <c r="BL70" i="4"/>
  <c r="BK70" i="4"/>
  <c r="BI70" i="4"/>
  <c r="BH70" i="4"/>
  <c r="BF70" i="4"/>
  <c r="BE70" i="4"/>
  <c r="BL69" i="4"/>
  <c r="BK69" i="4"/>
  <c r="BI69" i="4"/>
  <c r="BH69" i="4"/>
  <c r="BF69" i="4"/>
  <c r="BE69" i="4"/>
  <c r="BL68" i="4"/>
  <c r="BK68" i="4"/>
  <c r="BI68" i="4"/>
  <c r="BH68" i="4"/>
  <c r="BF68" i="4"/>
  <c r="BE68" i="4"/>
  <c r="BL67" i="4"/>
  <c r="BK67" i="4"/>
  <c r="BI67" i="4"/>
  <c r="BH67" i="4"/>
  <c r="BF67" i="4"/>
  <c r="BE67" i="4"/>
  <c r="BL66" i="4"/>
  <c r="BK66" i="4"/>
  <c r="BI66" i="4"/>
  <c r="BH66" i="4"/>
  <c r="BF66" i="4"/>
  <c r="BE66" i="4"/>
  <c r="BL65" i="4"/>
  <c r="BK65" i="4"/>
  <c r="BI65" i="4"/>
  <c r="BH65" i="4"/>
  <c r="BF65" i="4"/>
  <c r="BE65" i="4"/>
  <c r="BL64" i="4"/>
  <c r="BK64" i="4"/>
  <c r="BI64" i="4"/>
  <c r="BH64" i="4"/>
  <c r="BF64" i="4"/>
  <c r="BE64" i="4"/>
  <c r="BL63" i="4"/>
  <c r="BK63" i="4"/>
  <c r="BI63" i="4"/>
  <c r="BH63" i="4"/>
  <c r="BF63" i="4"/>
  <c r="BE63" i="4"/>
  <c r="BL62" i="4"/>
  <c r="BK62" i="4"/>
  <c r="BI62" i="4"/>
  <c r="BH62" i="4"/>
  <c r="BF62" i="4"/>
  <c r="BE62" i="4"/>
  <c r="BL61" i="4"/>
  <c r="BK61" i="4"/>
  <c r="BI61" i="4"/>
  <c r="BH61" i="4"/>
  <c r="BF61" i="4"/>
  <c r="BE61" i="4"/>
  <c r="BL60" i="4"/>
  <c r="BK60" i="4"/>
  <c r="BI60" i="4"/>
  <c r="BH60" i="4"/>
  <c r="BF60" i="4"/>
  <c r="BE60" i="4"/>
  <c r="BL59" i="4"/>
  <c r="BK59" i="4"/>
  <c r="BI59" i="4"/>
  <c r="BH59" i="4"/>
  <c r="BF59" i="4"/>
  <c r="BE59" i="4"/>
  <c r="BL58" i="4"/>
  <c r="BK58" i="4"/>
  <c r="BI58" i="4"/>
  <c r="BH58" i="4"/>
  <c r="BF58" i="4"/>
  <c r="BE58" i="4"/>
  <c r="BL57" i="4"/>
  <c r="BK57" i="4"/>
  <c r="BI57" i="4"/>
  <c r="BH57" i="4"/>
  <c r="BF57" i="4"/>
  <c r="BE57" i="4"/>
  <c r="BL56" i="4"/>
  <c r="BK56" i="4"/>
  <c r="BI56" i="4"/>
  <c r="BH56" i="4"/>
  <c r="BF56" i="4"/>
  <c r="BE56" i="4"/>
  <c r="BL55" i="4"/>
  <c r="BK55" i="4"/>
  <c r="BI55" i="4"/>
  <c r="BH55" i="4"/>
  <c r="BF55" i="4"/>
  <c r="BE55" i="4"/>
  <c r="BL54" i="4"/>
  <c r="BK54" i="4"/>
  <c r="BI54" i="4"/>
  <c r="BH54" i="4"/>
  <c r="BF54" i="4"/>
  <c r="BE54" i="4"/>
  <c r="BL53" i="4"/>
  <c r="BK53" i="4"/>
  <c r="BI53" i="4"/>
  <c r="BH53" i="4"/>
  <c r="BF53" i="4"/>
  <c r="BE53" i="4"/>
  <c r="BL52" i="4"/>
  <c r="BK52" i="4"/>
  <c r="BI52" i="4"/>
  <c r="BH52" i="4"/>
  <c r="BF52" i="4"/>
  <c r="BE52" i="4"/>
  <c r="BL51" i="4"/>
  <c r="BK51" i="4"/>
  <c r="BI51" i="4"/>
  <c r="BH51" i="4"/>
  <c r="BF51" i="4"/>
  <c r="BE51" i="4"/>
  <c r="BL50" i="4"/>
  <c r="BK50" i="4"/>
  <c r="BI50" i="4"/>
  <c r="BH50" i="4"/>
  <c r="BF50" i="4"/>
  <c r="BE50" i="4"/>
  <c r="BL49" i="4"/>
  <c r="BK49" i="4"/>
  <c r="BI49" i="4"/>
  <c r="BH49" i="4"/>
  <c r="BF49" i="4"/>
  <c r="BE49" i="4"/>
  <c r="BL48" i="4"/>
  <c r="BK48" i="4"/>
  <c r="BI48" i="4"/>
  <c r="BH48" i="4"/>
  <c r="BF48" i="4"/>
  <c r="BE48" i="4"/>
  <c r="BL47" i="4"/>
  <c r="BK47" i="4"/>
  <c r="BI47" i="4"/>
  <c r="BH47" i="4"/>
  <c r="BF47" i="4"/>
  <c r="BE47" i="4"/>
  <c r="BL46" i="4"/>
  <c r="BK46" i="4"/>
  <c r="BI46" i="4"/>
  <c r="BH46" i="4"/>
  <c r="BF46" i="4"/>
  <c r="BE46" i="4"/>
  <c r="BL45" i="4"/>
  <c r="BK45" i="4"/>
  <c r="BI45" i="4"/>
  <c r="BH45" i="4"/>
  <c r="BF45" i="4"/>
  <c r="BE45" i="4"/>
  <c r="BL44" i="4"/>
  <c r="BK44" i="4"/>
  <c r="BI44" i="4"/>
  <c r="BH44" i="4"/>
  <c r="BF44" i="4"/>
  <c r="BE44" i="4"/>
  <c r="BL43" i="4"/>
  <c r="BK43" i="4"/>
  <c r="BI43" i="4"/>
  <c r="BH43" i="4"/>
  <c r="BF43" i="4"/>
  <c r="BE43" i="4"/>
  <c r="BL42" i="4"/>
  <c r="BK42" i="4"/>
  <c r="BI42" i="4"/>
  <c r="BH42" i="4"/>
  <c r="BF42" i="4"/>
  <c r="BE42" i="4"/>
  <c r="BL41" i="4"/>
  <c r="BK41" i="4"/>
  <c r="BI41" i="4"/>
  <c r="BH41" i="4"/>
  <c r="BF41" i="4"/>
  <c r="BE41" i="4"/>
  <c r="BL40" i="4"/>
  <c r="BK40" i="4"/>
  <c r="BI40" i="4"/>
  <c r="BH40" i="4"/>
  <c r="BF40" i="4"/>
  <c r="BE40" i="4"/>
  <c r="BL39" i="4"/>
  <c r="BK39" i="4"/>
  <c r="BI39" i="4"/>
  <c r="BH39" i="4"/>
  <c r="BF39" i="4"/>
  <c r="BE39" i="4"/>
  <c r="BL38" i="4"/>
  <c r="BK38" i="4"/>
  <c r="BI38" i="4"/>
  <c r="BH38" i="4"/>
  <c r="BF38" i="4"/>
  <c r="BE38" i="4"/>
  <c r="BL37" i="4"/>
  <c r="BK37" i="4"/>
  <c r="BI37" i="4"/>
  <c r="BH37" i="4"/>
  <c r="BF37" i="4"/>
  <c r="BE37" i="4"/>
  <c r="BL36" i="4"/>
  <c r="BK36" i="4"/>
  <c r="BI36" i="4"/>
  <c r="BH36" i="4"/>
  <c r="BF36" i="4"/>
  <c r="BE36" i="4"/>
  <c r="BL35" i="4"/>
  <c r="BK35" i="4"/>
  <c r="BI35" i="4"/>
  <c r="BH35" i="4"/>
  <c r="BF35" i="4"/>
  <c r="BE35" i="4"/>
  <c r="BL34" i="4"/>
  <c r="BK34" i="4"/>
  <c r="BI34" i="4"/>
  <c r="BH34" i="4"/>
  <c r="BF34" i="4"/>
  <c r="BE34" i="4"/>
  <c r="BL33" i="4"/>
  <c r="BK33" i="4"/>
  <c r="BI33" i="4"/>
  <c r="BH33" i="4"/>
  <c r="BF33" i="4"/>
  <c r="BE33" i="4"/>
  <c r="BL32" i="4"/>
  <c r="BK32" i="4"/>
  <c r="BI32" i="4"/>
  <c r="BH32" i="4"/>
  <c r="BF32" i="4"/>
  <c r="BE32" i="4"/>
  <c r="BL31" i="4"/>
  <c r="BK31" i="4"/>
  <c r="BI31" i="4"/>
  <c r="BH31" i="4"/>
  <c r="BF31" i="4"/>
  <c r="BE31" i="4"/>
  <c r="BL30" i="4"/>
  <c r="BK30" i="4"/>
  <c r="BI30" i="4"/>
  <c r="BH30" i="4"/>
  <c r="BF30" i="4"/>
  <c r="BE30" i="4"/>
  <c r="BL29" i="4"/>
  <c r="BK29" i="4"/>
  <c r="BI29" i="4"/>
  <c r="BH29" i="4"/>
  <c r="BF29" i="4"/>
  <c r="BE29" i="4"/>
  <c r="BL28" i="4"/>
  <c r="BK28" i="4"/>
  <c r="BI28" i="4"/>
  <c r="BH28" i="4"/>
  <c r="BF28" i="4"/>
  <c r="BE28" i="4"/>
  <c r="BL27" i="4"/>
  <c r="BK27" i="4"/>
  <c r="BI27" i="4"/>
  <c r="BH27" i="4"/>
  <c r="BF27" i="4"/>
  <c r="BE27" i="4"/>
  <c r="BL26" i="4"/>
  <c r="BK26" i="4"/>
  <c r="BI26" i="4"/>
  <c r="BH26" i="4"/>
  <c r="BF26" i="4"/>
  <c r="BE26" i="4"/>
  <c r="BL25" i="4"/>
  <c r="BK25" i="4"/>
  <c r="BI25" i="4"/>
  <c r="BH25" i="4"/>
  <c r="BF25" i="4"/>
  <c r="BE25" i="4"/>
  <c r="BL24" i="4"/>
  <c r="BK24" i="4"/>
  <c r="BI24" i="4"/>
  <c r="BH24" i="4"/>
  <c r="BF24" i="4"/>
  <c r="BE24" i="4"/>
  <c r="BL23" i="4"/>
  <c r="BK23" i="4"/>
  <c r="BI23" i="4"/>
  <c r="BH23" i="4"/>
  <c r="BF23" i="4"/>
  <c r="BE23" i="4"/>
  <c r="BL22" i="4"/>
  <c r="BK22" i="4"/>
  <c r="BI22" i="4"/>
  <c r="BH22" i="4"/>
  <c r="BF22" i="4"/>
  <c r="BE22" i="4"/>
  <c r="BL21" i="4"/>
  <c r="BK21" i="4"/>
  <c r="BI21" i="4"/>
  <c r="BH21" i="4"/>
  <c r="BF21" i="4"/>
  <c r="BE21" i="4"/>
  <c r="BL20" i="4"/>
  <c r="BK20" i="4"/>
  <c r="BI20" i="4"/>
  <c r="BH20" i="4"/>
  <c r="BF20" i="4"/>
  <c r="BE20" i="4"/>
  <c r="BL19" i="4"/>
  <c r="BK19" i="4"/>
  <c r="BI19" i="4"/>
  <c r="BH19" i="4"/>
  <c r="BF19" i="4"/>
  <c r="BE19" i="4"/>
  <c r="BL18" i="4"/>
  <c r="BK18" i="4"/>
  <c r="BI18" i="4"/>
  <c r="BH18" i="4"/>
  <c r="BF18" i="4"/>
  <c r="BE18" i="4"/>
  <c r="BL17" i="4"/>
  <c r="BK17" i="4"/>
  <c r="BI17" i="4"/>
  <c r="BH17" i="4"/>
  <c r="BF17" i="4"/>
  <c r="BE17" i="4"/>
  <c r="BL16" i="4"/>
  <c r="BK16" i="4"/>
  <c r="BI16" i="4"/>
  <c r="BH16" i="4"/>
  <c r="BF16" i="4"/>
  <c r="BE16" i="4"/>
  <c r="BL15" i="4"/>
  <c r="BK15" i="4"/>
  <c r="BI15" i="4"/>
  <c r="BH15" i="4"/>
  <c r="BF15" i="4"/>
  <c r="BE15" i="4"/>
  <c r="BL14" i="4"/>
  <c r="BK14" i="4"/>
  <c r="BI14" i="4"/>
  <c r="BH14" i="4"/>
  <c r="BF14" i="4"/>
  <c r="BE14" i="4"/>
  <c r="BL13" i="4"/>
  <c r="BK13" i="4"/>
  <c r="BI13" i="4"/>
  <c r="BH13" i="4"/>
  <c r="BF13" i="4"/>
  <c r="BE13" i="4"/>
  <c r="BL12" i="4"/>
  <c r="BK12" i="4"/>
  <c r="BI12" i="4"/>
  <c r="BH12" i="4"/>
  <c r="BF12" i="4"/>
  <c r="BE12" i="4"/>
  <c r="BL11" i="4"/>
  <c r="BK11" i="4"/>
  <c r="BI11" i="4"/>
  <c r="BH11" i="4"/>
  <c r="BF11" i="4"/>
  <c r="BE11" i="4"/>
  <c r="BL10" i="4"/>
  <c r="BK10" i="4"/>
  <c r="BI10" i="4"/>
  <c r="BH10" i="4"/>
  <c r="BF10" i="4"/>
  <c r="BE10" i="4"/>
  <c r="BL9" i="4"/>
  <c r="BK9" i="4"/>
  <c r="BI9" i="4"/>
  <c r="BH9" i="4"/>
  <c r="BF9" i="4"/>
  <c r="BE9" i="4"/>
  <c r="BL8" i="4"/>
  <c r="BK8" i="4"/>
  <c r="BI8" i="4"/>
  <c r="BH8" i="4"/>
  <c r="BF8" i="4"/>
  <c r="BE8" i="4"/>
  <c r="BL7" i="4"/>
  <c r="BK7" i="4"/>
  <c r="BI7" i="4"/>
  <c r="BH7" i="4"/>
  <c r="BF7" i="4"/>
  <c r="BE7" i="4"/>
  <c r="BL6" i="4"/>
  <c r="BK6" i="4"/>
  <c r="BI6" i="4"/>
  <c r="BH6" i="4"/>
  <c r="BF6" i="4"/>
  <c r="BE6" i="4"/>
  <c r="BL5" i="4"/>
  <c r="BK5" i="4"/>
  <c r="BI5" i="4"/>
  <c r="BH5" i="4"/>
  <c r="BF5" i="4"/>
  <c r="BE5" i="4"/>
  <c r="BL4" i="4"/>
  <c r="BK4" i="4"/>
  <c r="BI4" i="4"/>
  <c r="BH4" i="4"/>
  <c r="BF4" i="4"/>
  <c r="BE4" i="4"/>
  <c r="BL3" i="4"/>
  <c r="BK3" i="4"/>
  <c r="BI3" i="4"/>
  <c r="BH3" i="4"/>
  <c r="BF3" i="4"/>
  <c r="BE3" i="4"/>
  <c r="BC295" i="4"/>
  <c r="BB295" i="4"/>
  <c r="AZ295" i="4"/>
  <c r="AY295" i="4"/>
  <c r="AW295" i="4"/>
  <c r="AV295" i="4"/>
  <c r="BC294" i="4"/>
  <c r="BB294" i="4"/>
  <c r="AZ294" i="4"/>
  <c r="AY294" i="4"/>
  <c r="AW294" i="4"/>
  <c r="AV294" i="4"/>
  <c r="BC293" i="4"/>
  <c r="BB293" i="4"/>
  <c r="AZ293" i="4"/>
  <c r="AY293" i="4"/>
  <c r="AW293" i="4"/>
  <c r="AV293" i="4"/>
  <c r="BC292" i="4"/>
  <c r="BB292" i="4"/>
  <c r="AZ292" i="4"/>
  <c r="AY292" i="4"/>
  <c r="AW292" i="4"/>
  <c r="AV292" i="4"/>
  <c r="BC291" i="4"/>
  <c r="BB291" i="4"/>
  <c r="AZ291" i="4"/>
  <c r="AY291" i="4"/>
  <c r="AW291" i="4"/>
  <c r="AV291" i="4"/>
  <c r="BC290" i="4"/>
  <c r="BB290" i="4"/>
  <c r="AZ290" i="4"/>
  <c r="AY290" i="4"/>
  <c r="AW290" i="4"/>
  <c r="AV290" i="4"/>
  <c r="BC289" i="4"/>
  <c r="BB289" i="4"/>
  <c r="AZ289" i="4"/>
  <c r="AY289" i="4"/>
  <c r="AW289" i="4"/>
  <c r="AV289" i="4"/>
  <c r="BC288" i="4"/>
  <c r="BB288" i="4"/>
  <c r="AZ288" i="4"/>
  <c r="AY288" i="4"/>
  <c r="AW288" i="4"/>
  <c r="AV288" i="4"/>
  <c r="BC287" i="4"/>
  <c r="BB287" i="4"/>
  <c r="AZ287" i="4"/>
  <c r="AY287" i="4"/>
  <c r="AW287" i="4"/>
  <c r="AV287" i="4"/>
  <c r="BC286" i="4"/>
  <c r="BB286" i="4"/>
  <c r="AZ286" i="4"/>
  <c r="AY286" i="4"/>
  <c r="AW286" i="4"/>
  <c r="AV286" i="4"/>
  <c r="BC285" i="4"/>
  <c r="BB285" i="4"/>
  <c r="AZ285" i="4"/>
  <c r="AY285" i="4"/>
  <c r="AW285" i="4"/>
  <c r="AV285" i="4"/>
  <c r="BC284" i="4"/>
  <c r="BB284" i="4"/>
  <c r="AZ284" i="4"/>
  <c r="AY284" i="4"/>
  <c r="AW284" i="4"/>
  <c r="AV284" i="4"/>
  <c r="BC283" i="4"/>
  <c r="BB283" i="4"/>
  <c r="AZ283" i="4"/>
  <c r="AY283" i="4"/>
  <c r="AW283" i="4"/>
  <c r="AV283" i="4"/>
  <c r="BC282" i="4"/>
  <c r="BB282" i="4"/>
  <c r="AZ282" i="4"/>
  <c r="AY282" i="4"/>
  <c r="AW282" i="4"/>
  <c r="AV282" i="4"/>
  <c r="BC281" i="4"/>
  <c r="BB281" i="4"/>
  <c r="AZ281" i="4"/>
  <c r="AY281" i="4"/>
  <c r="AW281" i="4"/>
  <c r="AV281" i="4"/>
  <c r="BC280" i="4"/>
  <c r="BB280" i="4"/>
  <c r="AZ280" i="4"/>
  <c r="AY280" i="4"/>
  <c r="AW280" i="4"/>
  <c r="AV280" i="4"/>
  <c r="BC279" i="4"/>
  <c r="BB279" i="4"/>
  <c r="AZ279" i="4"/>
  <c r="AY279" i="4"/>
  <c r="AW279" i="4"/>
  <c r="AV279" i="4"/>
  <c r="BC278" i="4"/>
  <c r="BB278" i="4"/>
  <c r="AZ278" i="4"/>
  <c r="AY278" i="4"/>
  <c r="AW278" i="4"/>
  <c r="AV278" i="4"/>
  <c r="BC277" i="4"/>
  <c r="BB277" i="4"/>
  <c r="AZ277" i="4"/>
  <c r="AY277" i="4"/>
  <c r="AW277" i="4"/>
  <c r="AV277" i="4"/>
  <c r="BC276" i="4"/>
  <c r="BB276" i="4"/>
  <c r="AZ276" i="4"/>
  <c r="AY276" i="4"/>
  <c r="AW276" i="4"/>
  <c r="AV276" i="4"/>
  <c r="BC275" i="4"/>
  <c r="BB275" i="4"/>
  <c r="AZ275" i="4"/>
  <c r="AY275" i="4"/>
  <c r="AW275" i="4"/>
  <c r="AV275" i="4"/>
  <c r="BC274" i="4"/>
  <c r="BB274" i="4"/>
  <c r="AZ274" i="4"/>
  <c r="AY274" i="4"/>
  <c r="AW274" i="4"/>
  <c r="AV274" i="4"/>
  <c r="BC273" i="4"/>
  <c r="BB273" i="4"/>
  <c r="AZ273" i="4"/>
  <c r="AY273" i="4"/>
  <c r="AW273" i="4"/>
  <c r="AV273" i="4"/>
  <c r="BC272" i="4"/>
  <c r="BB272" i="4"/>
  <c r="AZ272" i="4"/>
  <c r="AY272" i="4"/>
  <c r="AW272" i="4"/>
  <c r="AV272" i="4"/>
  <c r="BC271" i="4"/>
  <c r="BB271" i="4"/>
  <c r="AZ271" i="4"/>
  <c r="AY271" i="4"/>
  <c r="AW271" i="4"/>
  <c r="AV271" i="4"/>
  <c r="BC270" i="4"/>
  <c r="BB270" i="4"/>
  <c r="AZ270" i="4"/>
  <c r="AY270" i="4"/>
  <c r="AW270" i="4"/>
  <c r="AV270" i="4"/>
  <c r="BC269" i="4"/>
  <c r="BB269" i="4"/>
  <c r="AZ269" i="4"/>
  <c r="AY269" i="4"/>
  <c r="AW269" i="4"/>
  <c r="AV269" i="4"/>
  <c r="BC268" i="4"/>
  <c r="BB268" i="4"/>
  <c r="AZ268" i="4"/>
  <c r="AY268" i="4"/>
  <c r="AW268" i="4"/>
  <c r="AV268" i="4"/>
  <c r="BC267" i="4"/>
  <c r="BB267" i="4"/>
  <c r="AZ267" i="4"/>
  <c r="AY267" i="4"/>
  <c r="AW267" i="4"/>
  <c r="AV267" i="4"/>
  <c r="BC266" i="4"/>
  <c r="BB266" i="4"/>
  <c r="AZ266" i="4"/>
  <c r="AY266" i="4"/>
  <c r="AW266" i="4"/>
  <c r="AV266" i="4"/>
  <c r="BC265" i="4"/>
  <c r="BB265" i="4"/>
  <c r="AZ265" i="4"/>
  <c r="AY265" i="4"/>
  <c r="AW265" i="4"/>
  <c r="AV265" i="4"/>
  <c r="BC264" i="4"/>
  <c r="BB264" i="4"/>
  <c r="AZ264" i="4"/>
  <c r="AY264" i="4"/>
  <c r="AW264" i="4"/>
  <c r="AV264" i="4"/>
  <c r="BC263" i="4"/>
  <c r="BB263" i="4"/>
  <c r="AZ263" i="4"/>
  <c r="AY263" i="4"/>
  <c r="AW263" i="4"/>
  <c r="AV263" i="4"/>
  <c r="BC262" i="4"/>
  <c r="BB262" i="4"/>
  <c r="AZ262" i="4"/>
  <c r="AY262" i="4"/>
  <c r="AW262" i="4"/>
  <c r="AV262" i="4"/>
  <c r="BC261" i="4"/>
  <c r="BB261" i="4"/>
  <c r="AZ261" i="4"/>
  <c r="AY261" i="4"/>
  <c r="AW261" i="4"/>
  <c r="AV261" i="4"/>
  <c r="BC260" i="4"/>
  <c r="BB260" i="4"/>
  <c r="AZ260" i="4"/>
  <c r="AY260" i="4"/>
  <c r="AW260" i="4"/>
  <c r="AV260" i="4"/>
  <c r="BC259" i="4"/>
  <c r="BB259" i="4"/>
  <c r="AZ259" i="4"/>
  <c r="AY259" i="4"/>
  <c r="AW259" i="4"/>
  <c r="AV259" i="4"/>
  <c r="BC258" i="4"/>
  <c r="BB258" i="4"/>
  <c r="AZ258" i="4"/>
  <c r="AY258" i="4"/>
  <c r="AW258" i="4"/>
  <c r="AV258" i="4"/>
  <c r="BC257" i="4"/>
  <c r="BB257" i="4"/>
  <c r="AZ257" i="4"/>
  <c r="AY257" i="4"/>
  <c r="AW257" i="4"/>
  <c r="AV257" i="4"/>
  <c r="BC256" i="4"/>
  <c r="BB256" i="4"/>
  <c r="AZ256" i="4"/>
  <c r="AY256" i="4"/>
  <c r="AW256" i="4"/>
  <c r="AV256" i="4"/>
  <c r="BC255" i="4"/>
  <c r="BB255" i="4"/>
  <c r="AZ255" i="4"/>
  <c r="AY255" i="4"/>
  <c r="AW255" i="4"/>
  <c r="AV255" i="4"/>
  <c r="BC254" i="4"/>
  <c r="BB254" i="4"/>
  <c r="AZ254" i="4"/>
  <c r="AY254" i="4"/>
  <c r="AW254" i="4"/>
  <c r="AV254" i="4"/>
  <c r="BC253" i="4"/>
  <c r="BB253" i="4"/>
  <c r="AZ253" i="4"/>
  <c r="AY253" i="4"/>
  <c r="AW253" i="4"/>
  <c r="AV253" i="4"/>
  <c r="BC252" i="4"/>
  <c r="BB252" i="4"/>
  <c r="AZ252" i="4"/>
  <c r="AY252" i="4"/>
  <c r="AW252" i="4"/>
  <c r="AV252" i="4"/>
  <c r="BC251" i="4"/>
  <c r="BB251" i="4"/>
  <c r="AZ251" i="4"/>
  <c r="AY251" i="4"/>
  <c r="AW251" i="4"/>
  <c r="AV251" i="4"/>
  <c r="BC250" i="4"/>
  <c r="BB250" i="4"/>
  <c r="AZ250" i="4"/>
  <c r="AY250" i="4"/>
  <c r="AW250" i="4"/>
  <c r="AV250" i="4"/>
  <c r="BC249" i="4"/>
  <c r="BB249" i="4"/>
  <c r="AZ249" i="4"/>
  <c r="AY249" i="4"/>
  <c r="AW249" i="4"/>
  <c r="AV249" i="4"/>
  <c r="BC248" i="4"/>
  <c r="BB248" i="4"/>
  <c r="AZ248" i="4"/>
  <c r="AY248" i="4"/>
  <c r="AW248" i="4"/>
  <c r="AV248" i="4"/>
  <c r="BC247" i="4"/>
  <c r="BB247" i="4"/>
  <c r="AZ247" i="4"/>
  <c r="AY247" i="4"/>
  <c r="AW247" i="4"/>
  <c r="AV247" i="4"/>
  <c r="BC246" i="4"/>
  <c r="BB246" i="4"/>
  <c r="AZ246" i="4"/>
  <c r="AY246" i="4"/>
  <c r="AW246" i="4"/>
  <c r="AV246" i="4"/>
  <c r="BC245" i="4"/>
  <c r="BB245" i="4"/>
  <c r="AZ245" i="4"/>
  <c r="AY245" i="4"/>
  <c r="AW245" i="4"/>
  <c r="AV245" i="4"/>
  <c r="BC244" i="4"/>
  <c r="BB244" i="4"/>
  <c r="AZ244" i="4"/>
  <c r="AY244" i="4"/>
  <c r="AW244" i="4"/>
  <c r="AV244" i="4"/>
  <c r="BC243" i="4"/>
  <c r="BB243" i="4"/>
  <c r="AZ243" i="4"/>
  <c r="AY243" i="4"/>
  <c r="AW243" i="4"/>
  <c r="AV243" i="4"/>
  <c r="BC242" i="4"/>
  <c r="BB242" i="4"/>
  <c r="AZ242" i="4"/>
  <c r="AY242" i="4"/>
  <c r="AW242" i="4"/>
  <c r="AV242" i="4"/>
  <c r="BC241" i="4"/>
  <c r="BB241" i="4"/>
  <c r="AZ241" i="4"/>
  <c r="AY241" i="4"/>
  <c r="AW241" i="4"/>
  <c r="AV241" i="4"/>
  <c r="BC240" i="4"/>
  <c r="BB240" i="4"/>
  <c r="AZ240" i="4"/>
  <c r="AY240" i="4"/>
  <c r="AW240" i="4"/>
  <c r="AV240" i="4"/>
  <c r="BC239" i="4"/>
  <c r="BB239" i="4"/>
  <c r="AZ239" i="4"/>
  <c r="AY239" i="4"/>
  <c r="AW239" i="4"/>
  <c r="AV239" i="4"/>
  <c r="BC238" i="4"/>
  <c r="BB238" i="4"/>
  <c r="AZ238" i="4"/>
  <c r="AY238" i="4"/>
  <c r="AW238" i="4"/>
  <c r="AV238" i="4"/>
  <c r="BC237" i="4"/>
  <c r="BB237" i="4"/>
  <c r="AZ237" i="4"/>
  <c r="AY237" i="4"/>
  <c r="AW237" i="4"/>
  <c r="AV237" i="4"/>
  <c r="BC236" i="4"/>
  <c r="BB236" i="4"/>
  <c r="AZ236" i="4"/>
  <c r="AY236" i="4"/>
  <c r="AW236" i="4"/>
  <c r="AV236" i="4"/>
  <c r="BC235" i="4"/>
  <c r="BB235" i="4"/>
  <c r="AZ235" i="4"/>
  <c r="AY235" i="4"/>
  <c r="AW235" i="4"/>
  <c r="AV235" i="4"/>
  <c r="BC234" i="4"/>
  <c r="BB234" i="4"/>
  <c r="AZ234" i="4"/>
  <c r="AY234" i="4"/>
  <c r="AW234" i="4"/>
  <c r="AV234" i="4"/>
  <c r="BC233" i="4"/>
  <c r="BB233" i="4"/>
  <c r="AZ233" i="4"/>
  <c r="AY233" i="4"/>
  <c r="AW233" i="4"/>
  <c r="AV233" i="4"/>
  <c r="BC232" i="4"/>
  <c r="BB232" i="4"/>
  <c r="AZ232" i="4"/>
  <c r="AY232" i="4"/>
  <c r="AW232" i="4"/>
  <c r="AV232" i="4"/>
  <c r="BC231" i="4"/>
  <c r="BB231" i="4"/>
  <c r="AZ231" i="4"/>
  <c r="AY231" i="4"/>
  <c r="AW231" i="4"/>
  <c r="AV231" i="4"/>
  <c r="BC230" i="4"/>
  <c r="BB230" i="4"/>
  <c r="AZ230" i="4"/>
  <c r="AY230" i="4"/>
  <c r="AW230" i="4"/>
  <c r="AV230" i="4"/>
  <c r="BC229" i="4"/>
  <c r="BB229" i="4"/>
  <c r="AZ229" i="4"/>
  <c r="AY229" i="4"/>
  <c r="AW229" i="4"/>
  <c r="AV229" i="4"/>
  <c r="BC228" i="4"/>
  <c r="BB228" i="4"/>
  <c r="AZ228" i="4"/>
  <c r="AY228" i="4"/>
  <c r="AW228" i="4"/>
  <c r="AV228" i="4"/>
  <c r="BC227" i="4"/>
  <c r="BB227" i="4"/>
  <c r="AZ227" i="4"/>
  <c r="AY227" i="4"/>
  <c r="AW227" i="4"/>
  <c r="AV227" i="4"/>
  <c r="BC226" i="4"/>
  <c r="BB226" i="4"/>
  <c r="AZ226" i="4"/>
  <c r="AY226" i="4"/>
  <c r="AW226" i="4"/>
  <c r="AV226" i="4"/>
  <c r="BC225" i="4"/>
  <c r="BB225" i="4"/>
  <c r="AZ225" i="4"/>
  <c r="AY225" i="4"/>
  <c r="AW225" i="4"/>
  <c r="AV225" i="4"/>
  <c r="BC224" i="4"/>
  <c r="BB224" i="4"/>
  <c r="AZ224" i="4"/>
  <c r="AY224" i="4"/>
  <c r="AW224" i="4"/>
  <c r="AV224" i="4"/>
  <c r="BC223" i="4"/>
  <c r="BB223" i="4"/>
  <c r="AZ223" i="4"/>
  <c r="AY223" i="4"/>
  <c r="AW223" i="4"/>
  <c r="AV223" i="4"/>
  <c r="BC222" i="4"/>
  <c r="BB222" i="4"/>
  <c r="AZ222" i="4"/>
  <c r="AY222" i="4"/>
  <c r="AW222" i="4"/>
  <c r="AV222" i="4"/>
  <c r="BC221" i="4"/>
  <c r="BB221" i="4"/>
  <c r="AZ221" i="4"/>
  <c r="AY221" i="4"/>
  <c r="AW221" i="4"/>
  <c r="AV221" i="4"/>
  <c r="BC220" i="4"/>
  <c r="BB220" i="4"/>
  <c r="AZ220" i="4"/>
  <c r="AY220" i="4"/>
  <c r="AW220" i="4"/>
  <c r="AV220" i="4"/>
  <c r="BC219" i="4"/>
  <c r="BB219" i="4"/>
  <c r="AZ219" i="4"/>
  <c r="AY219" i="4"/>
  <c r="AW219" i="4"/>
  <c r="AV219" i="4"/>
  <c r="BC218" i="4"/>
  <c r="BB218" i="4"/>
  <c r="AZ218" i="4"/>
  <c r="AY218" i="4"/>
  <c r="AW218" i="4"/>
  <c r="AV218" i="4"/>
  <c r="BC217" i="4"/>
  <c r="BB217" i="4"/>
  <c r="AZ217" i="4"/>
  <c r="AY217" i="4"/>
  <c r="AW217" i="4"/>
  <c r="AV217" i="4"/>
  <c r="BC216" i="4"/>
  <c r="BB216" i="4"/>
  <c r="AZ216" i="4"/>
  <c r="AY216" i="4"/>
  <c r="AW216" i="4"/>
  <c r="AV216" i="4"/>
  <c r="BC215" i="4"/>
  <c r="BB215" i="4"/>
  <c r="AZ215" i="4"/>
  <c r="AY215" i="4"/>
  <c r="AW215" i="4"/>
  <c r="AV215" i="4"/>
  <c r="BC214" i="4"/>
  <c r="BB214" i="4"/>
  <c r="AZ214" i="4"/>
  <c r="AY214" i="4"/>
  <c r="AW214" i="4"/>
  <c r="AV214" i="4"/>
  <c r="BC213" i="4"/>
  <c r="BB213" i="4"/>
  <c r="AZ213" i="4"/>
  <c r="AY213" i="4"/>
  <c r="AW213" i="4"/>
  <c r="AV213" i="4"/>
  <c r="BC212" i="4"/>
  <c r="BB212" i="4"/>
  <c r="AZ212" i="4"/>
  <c r="AY212" i="4"/>
  <c r="AW212" i="4"/>
  <c r="AV212" i="4"/>
  <c r="BC211" i="4"/>
  <c r="BB211" i="4"/>
  <c r="AZ211" i="4"/>
  <c r="AY211" i="4"/>
  <c r="AW211" i="4"/>
  <c r="AV211" i="4"/>
  <c r="BC210" i="4"/>
  <c r="BB210" i="4"/>
  <c r="AZ210" i="4"/>
  <c r="AY210" i="4"/>
  <c r="AW210" i="4"/>
  <c r="AV210" i="4"/>
  <c r="BC209" i="4"/>
  <c r="BB209" i="4"/>
  <c r="AZ209" i="4"/>
  <c r="AY209" i="4"/>
  <c r="AW209" i="4"/>
  <c r="AV209" i="4"/>
  <c r="BC208" i="4"/>
  <c r="BB208" i="4"/>
  <c r="AZ208" i="4"/>
  <c r="AY208" i="4"/>
  <c r="AW208" i="4"/>
  <c r="AV208" i="4"/>
  <c r="BC207" i="4"/>
  <c r="BB207" i="4"/>
  <c r="AZ207" i="4"/>
  <c r="AY207" i="4"/>
  <c r="AW207" i="4"/>
  <c r="AV207" i="4"/>
  <c r="BC206" i="4"/>
  <c r="BB206" i="4"/>
  <c r="AZ206" i="4"/>
  <c r="AY206" i="4"/>
  <c r="AW206" i="4"/>
  <c r="AV206" i="4"/>
  <c r="BC205" i="4"/>
  <c r="BB205" i="4"/>
  <c r="AZ205" i="4"/>
  <c r="AY205" i="4"/>
  <c r="AW205" i="4"/>
  <c r="AV205" i="4"/>
  <c r="BC204" i="4"/>
  <c r="BB204" i="4"/>
  <c r="AZ204" i="4"/>
  <c r="AY204" i="4"/>
  <c r="AW204" i="4"/>
  <c r="AV204" i="4"/>
  <c r="BC203" i="4"/>
  <c r="BB203" i="4"/>
  <c r="AZ203" i="4"/>
  <c r="AY203" i="4"/>
  <c r="AW203" i="4"/>
  <c r="AV203" i="4"/>
  <c r="BC202" i="4"/>
  <c r="BB202" i="4"/>
  <c r="AZ202" i="4"/>
  <c r="AY202" i="4"/>
  <c r="AW202" i="4"/>
  <c r="AV202" i="4"/>
  <c r="BC201" i="4"/>
  <c r="BB201" i="4"/>
  <c r="AZ201" i="4"/>
  <c r="AY201" i="4"/>
  <c r="AW201" i="4"/>
  <c r="AV201" i="4"/>
  <c r="BC200" i="4"/>
  <c r="BB200" i="4"/>
  <c r="AZ200" i="4"/>
  <c r="AY200" i="4"/>
  <c r="AW200" i="4"/>
  <c r="AV200" i="4"/>
  <c r="BC199" i="4"/>
  <c r="BB199" i="4"/>
  <c r="AZ199" i="4"/>
  <c r="AY199" i="4"/>
  <c r="AW199" i="4"/>
  <c r="AV199" i="4"/>
  <c r="BC198" i="4"/>
  <c r="BB198" i="4"/>
  <c r="AZ198" i="4"/>
  <c r="AY198" i="4"/>
  <c r="AW198" i="4"/>
  <c r="AV198" i="4"/>
  <c r="BC197" i="4"/>
  <c r="BB197" i="4"/>
  <c r="AZ197" i="4"/>
  <c r="AY197" i="4"/>
  <c r="AW197" i="4"/>
  <c r="AV197" i="4"/>
  <c r="BC196" i="4"/>
  <c r="BB196" i="4"/>
  <c r="AZ196" i="4"/>
  <c r="AY196" i="4"/>
  <c r="AW196" i="4"/>
  <c r="AV196" i="4"/>
  <c r="BC195" i="4"/>
  <c r="BB195" i="4"/>
  <c r="AZ195" i="4"/>
  <c r="AY195" i="4"/>
  <c r="AW195" i="4"/>
  <c r="AV195" i="4"/>
  <c r="BC194" i="4"/>
  <c r="BB194" i="4"/>
  <c r="AZ194" i="4"/>
  <c r="AY194" i="4"/>
  <c r="AW194" i="4"/>
  <c r="AV194" i="4"/>
  <c r="BC193" i="4"/>
  <c r="BB193" i="4"/>
  <c r="AZ193" i="4"/>
  <c r="AY193" i="4"/>
  <c r="AW193" i="4"/>
  <c r="AV193" i="4"/>
  <c r="BC192" i="4"/>
  <c r="BB192" i="4"/>
  <c r="AZ192" i="4"/>
  <c r="AY192" i="4"/>
  <c r="AW192" i="4"/>
  <c r="AV192" i="4"/>
  <c r="BC191" i="4"/>
  <c r="BB191" i="4"/>
  <c r="AZ191" i="4"/>
  <c r="AY191" i="4"/>
  <c r="AW191" i="4"/>
  <c r="AV191" i="4"/>
  <c r="BC190" i="4"/>
  <c r="BB190" i="4"/>
  <c r="AZ190" i="4"/>
  <c r="AY190" i="4"/>
  <c r="AW190" i="4"/>
  <c r="AV190" i="4"/>
  <c r="BC189" i="4"/>
  <c r="BB189" i="4"/>
  <c r="AZ189" i="4"/>
  <c r="AY189" i="4"/>
  <c r="AW189" i="4"/>
  <c r="AV189" i="4"/>
  <c r="BC188" i="4"/>
  <c r="BB188" i="4"/>
  <c r="AZ188" i="4"/>
  <c r="AY188" i="4"/>
  <c r="AW188" i="4"/>
  <c r="AV188" i="4"/>
  <c r="BC187" i="4"/>
  <c r="BB187" i="4"/>
  <c r="AZ187" i="4"/>
  <c r="AY187" i="4"/>
  <c r="AW187" i="4"/>
  <c r="AV187" i="4"/>
  <c r="BC186" i="4"/>
  <c r="BB186" i="4"/>
  <c r="AZ186" i="4"/>
  <c r="AY186" i="4"/>
  <c r="AW186" i="4"/>
  <c r="AV186" i="4"/>
  <c r="BC185" i="4"/>
  <c r="BB185" i="4"/>
  <c r="AZ185" i="4"/>
  <c r="AY185" i="4"/>
  <c r="AW185" i="4"/>
  <c r="AV185" i="4"/>
  <c r="BC184" i="4"/>
  <c r="BB184" i="4"/>
  <c r="AZ184" i="4"/>
  <c r="AY184" i="4"/>
  <c r="AW184" i="4"/>
  <c r="AV184" i="4"/>
  <c r="BC183" i="4"/>
  <c r="BB183" i="4"/>
  <c r="AZ183" i="4"/>
  <c r="AY183" i="4"/>
  <c r="AW183" i="4"/>
  <c r="AV183" i="4"/>
  <c r="BC182" i="4"/>
  <c r="BB182" i="4"/>
  <c r="AZ182" i="4"/>
  <c r="AY182" i="4"/>
  <c r="AW182" i="4"/>
  <c r="AV182" i="4"/>
  <c r="BC181" i="4"/>
  <c r="BB181" i="4"/>
  <c r="AZ181" i="4"/>
  <c r="AY181" i="4"/>
  <c r="AW181" i="4"/>
  <c r="AV181" i="4"/>
  <c r="BC180" i="4"/>
  <c r="BB180" i="4"/>
  <c r="AZ180" i="4"/>
  <c r="AY180" i="4"/>
  <c r="AW180" i="4"/>
  <c r="AV180" i="4"/>
  <c r="BC179" i="4"/>
  <c r="BB179" i="4"/>
  <c r="AZ179" i="4"/>
  <c r="AY179" i="4"/>
  <c r="AW179" i="4"/>
  <c r="AV179" i="4"/>
  <c r="BC178" i="4"/>
  <c r="BB178" i="4"/>
  <c r="AZ178" i="4"/>
  <c r="AY178" i="4"/>
  <c r="AW178" i="4"/>
  <c r="AV178" i="4"/>
  <c r="BC177" i="4"/>
  <c r="BB177" i="4"/>
  <c r="AZ177" i="4"/>
  <c r="AY177" i="4"/>
  <c r="AW177" i="4"/>
  <c r="AV177" i="4"/>
  <c r="BC176" i="4"/>
  <c r="BB176" i="4"/>
  <c r="AZ176" i="4"/>
  <c r="AY176" i="4"/>
  <c r="AW176" i="4"/>
  <c r="AV176" i="4"/>
  <c r="BC175" i="4"/>
  <c r="BB175" i="4"/>
  <c r="AZ175" i="4"/>
  <c r="AY175" i="4"/>
  <c r="AW175" i="4"/>
  <c r="AV175" i="4"/>
  <c r="BC174" i="4"/>
  <c r="BB174" i="4"/>
  <c r="AZ174" i="4"/>
  <c r="AY174" i="4"/>
  <c r="AW174" i="4"/>
  <c r="AV174" i="4"/>
  <c r="BC173" i="4"/>
  <c r="BB173" i="4"/>
  <c r="AZ173" i="4"/>
  <c r="AY173" i="4"/>
  <c r="AW173" i="4"/>
  <c r="AV173" i="4"/>
  <c r="BC172" i="4"/>
  <c r="BB172" i="4"/>
  <c r="AZ172" i="4"/>
  <c r="AY172" i="4"/>
  <c r="AW172" i="4"/>
  <c r="AV172" i="4"/>
  <c r="BC171" i="4"/>
  <c r="BB171" i="4"/>
  <c r="AZ171" i="4"/>
  <c r="AY171" i="4"/>
  <c r="AW171" i="4"/>
  <c r="AV171" i="4"/>
  <c r="BC170" i="4"/>
  <c r="BB170" i="4"/>
  <c r="AZ170" i="4"/>
  <c r="AY170" i="4"/>
  <c r="AW170" i="4"/>
  <c r="AV170" i="4"/>
  <c r="BC169" i="4"/>
  <c r="BB169" i="4"/>
  <c r="AZ169" i="4"/>
  <c r="AY169" i="4"/>
  <c r="AW169" i="4"/>
  <c r="AV169" i="4"/>
  <c r="BC168" i="4"/>
  <c r="BB168" i="4"/>
  <c r="AZ168" i="4"/>
  <c r="AY168" i="4"/>
  <c r="AW168" i="4"/>
  <c r="AV168" i="4"/>
  <c r="BC167" i="4"/>
  <c r="BB167" i="4"/>
  <c r="AZ167" i="4"/>
  <c r="AY167" i="4"/>
  <c r="AW167" i="4"/>
  <c r="AV167" i="4"/>
  <c r="BC166" i="4"/>
  <c r="BB166" i="4"/>
  <c r="AZ166" i="4"/>
  <c r="AY166" i="4"/>
  <c r="AW166" i="4"/>
  <c r="AV166" i="4"/>
  <c r="BC165" i="4"/>
  <c r="BB165" i="4"/>
  <c r="AZ165" i="4"/>
  <c r="AY165" i="4"/>
  <c r="AW165" i="4"/>
  <c r="AV165" i="4"/>
  <c r="BC164" i="4"/>
  <c r="BB164" i="4"/>
  <c r="AZ164" i="4"/>
  <c r="AY164" i="4"/>
  <c r="AW164" i="4"/>
  <c r="AV164" i="4"/>
  <c r="BC163" i="4"/>
  <c r="BB163" i="4"/>
  <c r="AZ163" i="4"/>
  <c r="AY163" i="4"/>
  <c r="AW163" i="4"/>
  <c r="AV163" i="4"/>
  <c r="BC162" i="4"/>
  <c r="BB162" i="4"/>
  <c r="AZ162" i="4"/>
  <c r="AY162" i="4"/>
  <c r="AW162" i="4"/>
  <c r="AV162" i="4"/>
  <c r="BC161" i="4"/>
  <c r="BB161" i="4"/>
  <c r="AZ161" i="4"/>
  <c r="AY161" i="4"/>
  <c r="AW161" i="4"/>
  <c r="AV161" i="4"/>
  <c r="BC160" i="4"/>
  <c r="BB160" i="4"/>
  <c r="AZ160" i="4"/>
  <c r="AY160" i="4"/>
  <c r="AW160" i="4"/>
  <c r="AV160" i="4"/>
  <c r="BC159" i="4"/>
  <c r="BB159" i="4"/>
  <c r="AZ159" i="4"/>
  <c r="AY159" i="4"/>
  <c r="AW159" i="4"/>
  <c r="AV159" i="4"/>
  <c r="BC158" i="4"/>
  <c r="BB158" i="4"/>
  <c r="AZ158" i="4"/>
  <c r="AY158" i="4"/>
  <c r="AW158" i="4"/>
  <c r="AV158" i="4"/>
  <c r="BC157" i="4"/>
  <c r="BB157" i="4"/>
  <c r="AZ157" i="4"/>
  <c r="AY157" i="4"/>
  <c r="AW157" i="4"/>
  <c r="AV157" i="4"/>
  <c r="BC156" i="4"/>
  <c r="BB156" i="4"/>
  <c r="AZ156" i="4"/>
  <c r="AY156" i="4"/>
  <c r="AW156" i="4"/>
  <c r="AV156" i="4"/>
  <c r="BC155" i="4"/>
  <c r="BB155" i="4"/>
  <c r="AZ155" i="4"/>
  <c r="AY155" i="4"/>
  <c r="AW155" i="4"/>
  <c r="AV155" i="4"/>
  <c r="BC154" i="4"/>
  <c r="BB154" i="4"/>
  <c r="AZ154" i="4"/>
  <c r="AY154" i="4"/>
  <c r="AW154" i="4"/>
  <c r="AV154" i="4"/>
  <c r="BC153" i="4"/>
  <c r="BB153" i="4"/>
  <c r="AZ153" i="4"/>
  <c r="AY153" i="4"/>
  <c r="AW153" i="4"/>
  <c r="AV153" i="4"/>
  <c r="BC152" i="4"/>
  <c r="BB152" i="4"/>
  <c r="AZ152" i="4"/>
  <c r="AY152" i="4"/>
  <c r="AW152" i="4"/>
  <c r="AV152" i="4"/>
  <c r="BC151" i="4"/>
  <c r="BB151" i="4"/>
  <c r="AZ151" i="4"/>
  <c r="AY151" i="4"/>
  <c r="AW151" i="4"/>
  <c r="AV151" i="4"/>
  <c r="BC150" i="4"/>
  <c r="BB150" i="4"/>
  <c r="AZ150" i="4"/>
  <c r="AY150" i="4"/>
  <c r="AW150" i="4"/>
  <c r="AV150" i="4"/>
  <c r="BC149" i="4"/>
  <c r="BB149" i="4"/>
  <c r="AZ149" i="4"/>
  <c r="AY149" i="4"/>
  <c r="AW149" i="4"/>
  <c r="AV149" i="4"/>
  <c r="BC148" i="4"/>
  <c r="BB148" i="4"/>
  <c r="AZ148" i="4"/>
  <c r="AY148" i="4"/>
  <c r="AW148" i="4"/>
  <c r="AV148" i="4"/>
  <c r="BC147" i="4"/>
  <c r="BB147" i="4"/>
  <c r="AZ147" i="4"/>
  <c r="AY147" i="4"/>
  <c r="AW147" i="4"/>
  <c r="AV147" i="4"/>
  <c r="BC146" i="4"/>
  <c r="BB146" i="4"/>
  <c r="AZ146" i="4"/>
  <c r="AY146" i="4"/>
  <c r="AW146" i="4"/>
  <c r="AV146" i="4"/>
  <c r="BC145" i="4"/>
  <c r="BB145" i="4"/>
  <c r="AZ145" i="4"/>
  <c r="AY145" i="4"/>
  <c r="AW145" i="4"/>
  <c r="AV145" i="4"/>
  <c r="BC144" i="4"/>
  <c r="BB144" i="4"/>
  <c r="AZ144" i="4"/>
  <c r="AY144" i="4"/>
  <c r="AW144" i="4"/>
  <c r="AV144" i="4"/>
  <c r="BC143" i="4"/>
  <c r="BB143" i="4"/>
  <c r="AZ143" i="4"/>
  <c r="AY143" i="4"/>
  <c r="AW143" i="4"/>
  <c r="AV143" i="4"/>
  <c r="BC142" i="4"/>
  <c r="BB142" i="4"/>
  <c r="AZ142" i="4"/>
  <c r="AY142" i="4"/>
  <c r="AW142" i="4"/>
  <c r="AV142" i="4"/>
  <c r="BC141" i="4"/>
  <c r="BB141" i="4"/>
  <c r="AZ141" i="4"/>
  <c r="AY141" i="4"/>
  <c r="AW141" i="4"/>
  <c r="AV141" i="4"/>
  <c r="BC140" i="4"/>
  <c r="BB140" i="4"/>
  <c r="AZ140" i="4"/>
  <c r="AY140" i="4"/>
  <c r="AW140" i="4"/>
  <c r="AV140" i="4"/>
  <c r="BC139" i="4"/>
  <c r="BB139" i="4"/>
  <c r="AZ139" i="4"/>
  <c r="AY139" i="4"/>
  <c r="AW139" i="4"/>
  <c r="AV139" i="4"/>
  <c r="BC138" i="4"/>
  <c r="BB138" i="4"/>
  <c r="AZ138" i="4"/>
  <c r="AY138" i="4"/>
  <c r="AW138" i="4"/>
  <c r="AV138" i="4"/>
  <c r="BC137" i="4"/>
  <c r="BB137" i="4"/>
  <c r="AZ137" i="4"/>
  <c r="AY137" i="4"/>
  <c r="AW137" i="4"/>
  <c r="AV137" i="4"/>
  <c r="BC136" i="4"/>
  <c r="BB136" i="4"/>
  <c r="AZ136" i="4"/>
  <c r="AY136" i="4"/>
  <c r="AW136" i="4"/>
  <c r="AV136" i="4"/>
  <c r="BC135" i="4"/>
  <c r="BB135" i="4"/>
  <c r="AZ135" i="4"/>
  <c r="AY135" i="4"/>
  <c r="AW135" i="4"/>
  <c r="AV135" i="4"/>
  <c r="BC134" i="4"/>
  <c r="BB134" i="4"/>
  <c r="AZ134" i="4"/>
  <c r="AY134" i="4"/>
  <c r="AW134" i="4"/>
  <c r="AV134" i="4"/>
  <c r="BC133" i="4"/>
  <c r="BB133" i="4"/>
  <c r="AZ133" i="4"/>
  <c r="AY133" i="4"/>
  <c r="AW133" i="4"/>
  <c r="AV133" i="4"/>
  <c r="BC132" i="4"/>
  <c r="BB132" i="4"/>
  <c r="AZ132" i="4"/>
  <c r="AY132" i="4"/>
  <c r="AW132" i="4"/>
  <c r="AV132" i="4"/>
  <c r="BC131" i="4"/>
  <c r="BB131" i="4"/>
  <c r="AZ131" i="4"/>
  <c r="AY131" i="4"/>
  <c r="AW131" i="4"/>
  <c r="AV131" i="4"/>
  <c r="BC130" i="4"/>
  <c r="BB130" i="4"/>
  <c r="AZ130" i="4"/>
  <c r="AY130" i="4"/>
  <c r="AW130" i="4"/>
  <c r="AV130" i="4"/>
  <c r="BC129" i="4"/>
  <c r="BB129" i="4"/>
  <c r="AZ129" i="4"/>
  <c r="AY129" i="4"/>
  <c r="AW129" i="4"/>
  <c r="AV129" i="4"/>
  <c r="BC128" i="4"/>
  <c r="BB128" i="4"/>
  <c r="AZ128" i="4"/>
  <c r="AY128" i="4"/>
  <c r="AW128" i="4"/>
  <c r="AV128" i="4"/>
  <c r="BC127" i="4"/>
  <c r="BB127" i="4"/>
  <c r="AZ127" i="4"/>
  <c r="AY127" i="4"/>
  <c r="AW127" i="4"/>
  <c r="AV127" i="4"/>
  <c r="BC126" i="4"/>
  <c r="BB126" i="4"/>
  <c r="AZ126" i="4"/>
  <c r="AY126" i="4"/>
  <c r="AW126" i="4"/>
  <c r="AV126" i="4"/>
  <c r="BC125" i="4"/>
  <c r="BB125" i="4"/>
  <c r="AZ125" i="4"/>
  <c r="AY125" i="4"/>
  <c r="AW125" i="4"/>
  <c r="AV125" i="4"/>
  <c r="BC124" i="4"/>
  <c r="BB124" i="4"/>
  <c r="AZ124" i="4"/>
  <c r="AY124" i="4"/>
  <c r="AW124" i="4"/>
  <c r="AV124" i="4"/>
  <c r="BC123" i="4"/>
  <c r="BB123" i="4"/>
  <c r="AZ123" i="4"/>
  <c r="AY123" i="4"/>
  <c r="AW123" i="4"/>
  <c r="AV123" i="4"/>
  <c r="BC122" i="4"/>
  <c r="BB122" i="4"/>
  <c r="AZ122" i="4"/>
  <c r="AY122" i="4"/>
  <c r="AW122" i="4"/>
  <c r="AV122" i="4"/>
  <c r="BC121" i="4"/>
  <c r="BB121" i="4"/>
  <c r="AZ121" i="4"/>
  <c r="AY121" i="4"/>
  <c r="AW121" i="4"/>
  <c r="AV121" i="4"/>
  <c r="BC120" i="4"/>
  <c r="BB120" i="4"/>
  <c r="AZ120" i="4"/>
  <c r="AY120" i="4"/>
  <c r="AW120" i="4"/>
  <c r="AV120" i="4"/>
  <c r="BC119" i="4"/>
  <c r="BB119" i="4"/>
  <c r="AZ119" i="4"/>
  <c r="AY119" i="4"/>
  <c r="AW119" i="4"/>
  <c r="AV119" i="4"/>
  <c r="BC118" i="4"/>
  <c r="BB118" i="4"/>
  <c r="AZ118" i="4"/>
  <c r="AY118" i="4"/>
  <c r="AW118" i="4"/>
  <c r="AV118" i="4"/>
  <c r="BC117" i="4"/>
  <c r="BB117" i="4"/>
  <c r="AZ117" i="4"/>
  <c r="AY117" i="4"/>
  <c r="AW117" i="4"/>
  <c r="AV117" i="4"/>
  <c r="BC116" i="4"/>
  <c r="BB116" i="4"/>
  <c r="AZ116" i="4"/>
  <c r="AY116" i="4"/>
  <c r="AW116" i="4"/>
  <c r="AV116" i="4"/>
  <c r="BC115" i="4"/>
  <c r="BB115" i="4"/>
  <c r="AZ115" i="4"/>
  <c r="AY115" i="4"/>
  <c r="AW115" i="4"/>
  <c r="AV115" i="4"/>
  <c r="BC114" i="4"/>
  <c r="BB114" i="4"/>
  <c r="AZ114" i="4"/>
  <c r="AY114" i="4"/>
  <c r="AW114" i="4"/>
  <c r="AV114" i="4"/>
  <c r="BC113" i="4"/>
  <c r="BB113" i="4"/>
  <c r="AZ113" i="4"/>
  <c r="AY113" i="4"/>
  <c r="AW113" i="4"/>
  <c r="AV113" i="4"/>
  <c r="BC112" i="4"/>
  <c r="BB112" i="4"/>
  <c r="AZ112" i="4"/>
  <c r="AY112" i="4"/>
  <c r="AW112" i="4"/>
  <c r="AV112" i="4"/>
  <c r="BC111" i="4"/>
  <c r="BB111" i="4"/>
  <c r="AZ111" i="4"/>
  <c r="AY111" i="4"/>
  <c r="AW111" i="4"/>
  <c r="AV111" i="4"/>
  <c r="BC110" i="4"/>
  <c r="BB110" i="4"/>
  <c r="AZ110" i="4"/>
  <c r="AY110" i="4"/>
  <c r="AW110" i="4"/>
  <c r="AV110" i="4"/>
  <c r="BC109" i="4"/>
  <c r="BB109" i="4"/>
  <c r="AZ109" i="4"/>
  <c r="AY109" i="4"/>
  <c r="AW109" i="4"/>
  <c r="AV109" i="4"/>
  <c r="BC108" i="4"/>
  <c r="BB108" i="4"/>
  <c r="AZ108" i="4"/>
  <c r="AY108" i="4"/>
  <c r="AW108" i="4"/>
  <c r="AV108" i="4"/>
  <c r="BC107" i="4"/>
  <c r="BB107" i="4"/>
  <c r="AZ107" i="4"/>
  <c r="AY107" i="4"/>
  <c r="AW107" i="4"/>
  <c r="AV107" i="4"/>
  <c r="BC106" i="4"/>
  <c r="BB106" i="4"/>
  <c r="AZ106" i="4"/>
  <c r="AY106" i="4"/>
  <c r="AW106" i="4"/>
  <c r="AV106" i="4"/>
  <c r="BC105" i="4"/>
  <c r="BB105" i="4"/>
  <c r="AZ105" i="4"/>
  <c r="AY105" i="4"/>
  <c r="AW105" i="4"/>
  <c r="AV105" i="4"/>
  <c r="BC104" i="4"/>
  <c r="BB104" i="4"/>
  <c r="AZ104" i="4"/>
  <c r="AY104" i="4"/>
  <c r="AW104" i="4"/>
  <c r="AV104" i="4"/>
  <c r="BC103" i="4"/>
  <c r="BB103" i="4"/>
  <c r="AZ103" i="4"/>
  <c r="AY103" i="4"/>
  <c r="AW103" i="4"/>
  <c r="AV103" i="4"/>
  <c r="BC102" i="4"/>
  <c r="BB102" i="4"/>
  <c r="AZ102" i="4"/>
  <c r="AY102" i="4"/>
  <c r="AW102" i="4"/>
  <c r="AV102" i="4"/>
  <c r="BC101" i="4"/>
  <c r="BB101" i="4"/>
  <c r="AZ101" i="4"/>
  <c r="AY101" i="4"/>
  <c r="AW101" i="4"/>
  <c r="AV101" i="4"/>
  <c r="BC100" i="4"/>
  <c r="BB100" i="4"/>
  <c r="AZ100" i="4"/>
  <c r="AY100" i="4"/>
  <c r="AW100" i="4"/>
  <c r="AV100" i="4"/>
  <c r="BC99" i="4"/>
  <c r="BB99" i="4"/>
  <c r="AZ99" i="4"/>
  <c r="AY99" i="4"/>
  <c r="AW99" i="4"/>
  <c r="AV99" i="4"/>
  <c r="BC98" i="4"/>
  <c r="BB98" i="4"/>
  <c r="AZ98" i="4"/>
  <c r="AY98" i="4"/>
  <c r="AW98" i="4"/>
  <c r="AV98" i="4"/>
  <c r="BC97" i="4"/>
  <c r="BB97" i="4"/>
  <c r="AZ97" i="4"/>
  <c r="AY97" i="4"/>
  <c r="AW97" i="4"/>
  <c r="AV97" i="4"/>
  <c r="BC96" i="4"/>
  <c r="BB96" i="4"/>
  <c r="AZ96" i="4"/>
  <c r="AY96" i="4"/>
  <c r="AW96" i="4"/>
  <c r="AV96" i="4"/>
  <c r="BC95" i="4"/>
  <c r="BB95" i="4"/>
  <c r="AZ95" i="4"/>
  <c r="AY95" i="4"/>
  <c r="AW95" i="4"/>
  <c r="AV95" i="4"/>
  <c r="BC94" i="4"/>
  <c r="BB94" i="4"/>
  <c r="AZ94" i="4"/>
  <c r="AY94" i="4"/>
  <c r="AW94" i="4"/>
  <c r="AV94" i="4"/>
  <c r="BC93" i="4"/>
  <c r="BB93" i="4"/>
  <c r="AZ93" i="4"/>
  <c r="AY93" i="4"/>
  <c r="AW93" i="4"/>
  <c r="AV93" i="4"/>
  <c r="BC92" i="4"/>
  <c r="BB92" i="4"/>
  <c r="AZ92" i="4"/>
  <c r="AY92" i="4"/>
  <c r="AW92" i="4"/>
  <c r="AV92" i="4"/>
  <c r="BC91" i="4"/>
  <c r="BB91" i="4"/>
  <c r="AZ91" i="4"/>
  <c r="AY91" i="4"/>
  <c r="AW91" i="4"/>
  <c r="AV91" i="4"/>
  <c r="BC90" i="4"/>
  <c r="BB90" i="4"/>
  <c r="AZ90" i="4"/>
  <c r="AY90" i="4"/>
  <c r="AW90" i="4"/>
  <c r="AV90" i="4"/>
  <c r="BC89" i="4"/>
  <c r="BB89" i="4"/>
  <c r="AZ89" i="4"/>
  <c r="AY89" i="4"/>
  <c r="AW89" i="4"/>
  <c r="AV89" i="4"/>
  <c r="BC88" i="4"/>
  <c r="BB88" i="4"/>
  <c r="AZ88" i="4"/>
  <c r="AY88" i="4"/>
  <c r="AW88" i="4"/>
  <c r="AV88" i="4"/>
  <c r="BC87" i="4"/>
  <c r="BB87" i="4"/>
  <c r="AZ87" i="4"/>
  <c r="AY87" i="4"/>
  <c r="AW87" i="4"/>
  <c r="AV87" i="4"/>
  <c r="BC86" i="4"/>
  <c r="BB86" i="4"/>
  <c r="AZ86" i="4"/>
  <c r="AY86" i="4"/>
  <c r="AW86" i="4"/>
  <c r="AV86" i="4"/>
  <c r="BC85" i="4"/>
  <c r="BB85" i="4"/>
  <c r="AZ85" i="4"/>
  <c r="AY85" i="4"/>
  <c r="AW85" i="4"/>
  <c r="AV85" i="4"/>
  <c r="BC84" i="4"/>
  <c r="BB84" i="4"/>
  <c r="AZ84" i="4"/>
  <c r="AY84" i="4"/>
  <c r="AW84" i="4"/>
  <c r="AV84" i="4"/>
  <c r="BC83" i="4"/>
  <c r="BB83" i="4"/>
  <c r="AZ83" i="4"/>
  <c r="AY83" i="4"/>
  <c r="AW83" i="4"/>
  <c r="AV83" i="4"/>
  <c r="BC82" i="4"/>
  <c r="BB82" i="4"/>
  <c r="AZ82" i="4"/>
  <c r="AY82" i="4"/>
  <c r="AW82" i="4"/>
  <c r="AV82" i="4"/>
  <c r="BC81" i="4"/>
  <c r="BB81" i="4"/>
  <c r="AZ81" i="4"/>
  <c r="AY81" i="4"/>
  <c r="AW81" i="4"/>
  <c r="AV81" i="4"/>
  <c r="BC80" i="4"/>
  <c r="BB80" i="4"/>
  <c r="AZ80" i="4"/>
  <c r="AY80" i="4"/>
  <c r="AW80" i="4"/>
  <c r="AV80" i="4"/>
  <c r="BC79" i="4"/>
  <c r="BB79" i="4"/>
  <c r="AZ79" i="4"/>
  <c r="AY79" i="4"/>
  <c r="AW79" i="4"/>
  <c r="AV79" i="4"/>
  <c r="BC78" i="4"/>
  <c r="BB78" i="4"/>
  <c r="AZ78" i="4"/>
  <c r="AY78" i="4"/>
  <c r="AW78" i="4"/>
  <c r="AV78" i="4"/>
  <c r="BC77" i="4"/>
  <c r="BB77" i="4"/>
  <c r="AZ77" i="4"/>
  <c r="AY77" i="4"/>
  <c r="AW77" i="4"/>
  <c r="AV77" i="4"/>
  <c r="BC76" i="4"/>
  <c r="BB76" i="4"/>
  <c r="AZ76" i="4"/>
  <c r="AY76" i="4"/>
  <c r="AW76" i="4"/>
  <c r="AV76" i="4"/>
  <c r="BC75" i="4"/>
  <c r="BB75" i="4"/>
  <c r="AZ75" i="4"/>
  <c r="AY75" i="4"/>
  <c r="AW75" i="4"/>
  <c r="AV75" i="4"/>
  <c r="BC74" i="4"/>
  <c r="BB74" i="4"/>
  <c r="AZ74" i="4"/>
  <c r="AY74" i="4"/>
  <c r="AW74" i="4"/>
  <c r="AV74" i="4"/>
  <c r="BC73" i="4"/>
  <c r="BB73" i="4"/>
  <c r="AZ73" i="4"/>
  <c r="AY73" i="4"/>
  <c r="AW73" i="4"/>
  <c r="AV73" i="4"/>
  <c r="BC72" i="4"/>
  <c r="BB72" i="4"/>
  <c r="AZ72" i="4"/>
  <c r="AY72" i="4"/>
  <c r="AW72" i="4"/>
  <c r="AV72" i="4"/>
  <c r="BC71" i="4"/>
  <c r="BB71" i="4"/>
  <c r="AZ71" i="4"/>
  <c r="AY71" i="4"/>
  <c r="AW71" i="4"/>
  <c r="AV71" i="4"/>
  <c r="BC70" i="4"/>
  <c r="BB70" i="4"/>
  <c r="AZ70" i="4"/>
  <c r="AY70" i="4"/>
  <c r="AW70" i="4"/>
  <c r="AV70" i="4"/>
  <c r="BC69" i="4"/>
  <c r="BB69" i="4"/>
  <c r="AZ69" i="4"/>
  <c r="AY69" i="4"/>
  <c r="AW69" i="4"/>
  <c r="AV69" i="4"/>
  <c r="BC68" i="4"/>
  <c r="BB68" i="4"/>
  <c r="AZ68" i="4"/>
  <c r="AY68" i="4"/>
  <c r="AW68" i="4"/>
  <c r="AV68" i="4"/>
  <c r="BC67" i="4"/>
  <c r="BB67" i="4"/>
  <c r="AZ67" i="4"/>
  <c r="AY67" i="4"/>
  <c r="AW67" i="4"/>
  <c r="AV67" i="4"/>
  <c r="BC66" i="4"/>
  <c r="BB66" i="4"/>
  <c r="AZ66" i="4"/>
  <c r="AY66" i="4"/>
  <c r="AW66" i="4"/>
  <c r="AV66" i="4"/>
  <c r="BC65" i="4"/>
  <c r="BB65" i="4"/>
  <c r="AZ65" i="4"/>
  <c r="AY65" i="4"/>
  <c r="AW65" i="4"/>
  <c r="AV65" i="4"/>
  <c r="BC64" i="4"/>
  <c r="BB64" i="4"/>
  <c r="AZ64" i="4"/>
  <c r="AY64" i="4"/>
  <c r="AW64" i="4"/>
  <c r="AV64" i="4"/>
  <c r="BC63" i="4"/>
  <c r="BB63" i="4"/>
  <c r="AZ63" i="4"/>
  <c r="AY63" i="4"/>
  <c r="AW63" i="4"/>
  <c r="AV63" i="4"/>
  <c r="BC62" i="4"/>
  <c r="BB62" i="4"/>
  <c r="AZ62" i="4"/>
  <c r="AY62" i="4"/>
  <c r="AW62" i="4"/>
  <c r="AV62" i="4"/>
  <c r="BC61" i="4"/>
  <c r="BB61" i="4"/>
  <c r="AZ61" i="4"/>
  <c r="AY61" i="4"/>
  <c r="AW61" i="4"/>
  <c r="AV61" i="4"/>
  <c r="BC60" i="4"/>
  <c r="BB60" i="4"/>
  <c r="AZ60" i="4"/>
  <c r="AY60" i="4"/>
  <c r="AW60" i="4"/>
  <c r="AV60" i="4"/>
  <c r="BC59" i="4"/>
  <c r="BB59" i="4"/>
  <c r="AZ59" i="4"/>
  <c r="AY59" i="4"/>
  <c r="AW59" i="4"/>
  <c r="AV59" i="4"/>
  <c r="BC58" i="4"/>
  <c r="BB58" i="4"/>
  <c r="AZ58" i="4"/>
  <c r="AY58" i="4"/>
  <c r="AW58" i="4"/>
  <c r="AV58" i="4"/>
  <c r="BC57" i="4"/>
  <c r="BB57" i="4"/>
  <c r="AZ57" i="4"/>
  <c r="AY57" i="4"/>
  <c r="AW57" i="4"/>
  <c r="AV57" i="4"/>
  <c r="BC56" i="4"/>
  <c r="BB56" i="4"/>
  <c r="AZ56" i="4"/>
  <c r="AY56" i="4"/>
  <c r="AW56" i="4"/>
  <c r="AV56" i="4"/>
  <c r="BC55" i="4"/>
  <c r="BB55" i="4"/>
  <c r="AZ55" i="4"/>
  <c r="AY55" i="4"/>
  <c r="AW55" i="4"/>
  <c r="AV55" i="4"/>
  <c r="BC54" i="4"/>
  <c r="BB54" i="4"/>
  <c r="AZ54" i="4"/>
  <c r="AY54" i="4"/>
  <c r="AW54" i="4"/>
  <c r="AV54" i="4"/>
  <c r="BC53" i="4"/>
  <c r="BB53" i="4"/>
  <c r="AZ53" i="4"/>
  <c r="AY53" i="4"/>
  <c r="AW53" i="4"/>
  <c r="AV53" i="4"/>
  <c r="BC52" i="4"/>
  <c r="BB52" i="4"/>
  <c r="AZ52" i="4"/>
  <c r="AY52" i="4"/>
  <c r="AW52" i="4"/>
  <c r="AV52" i="4"/>
  <c r="BC51" i="4"/>
  <c r="BB51" i="4"/>
  <c r="AZ51" i="4"/>
  <c r="AY51" i="4"/>
  <c r="AW51" i="4"/>
  <c r="AV51" i="4"/>
  <c r="BC50" i="4"/>
  <c r="BB50" i="4"/>
  <c r="AZ50" i="4"/>
  <c r="AY50" i="4"/>
  <c r="AW50" i="4"/>
  <c r="AV50" i="4"/>
  <c r="BC49" i="4"/>
  <c r="BB49" i="4"/>
  <c r="AZ49" i="4"/>
  <c r="AY49" i="4"/>
  <c r="AW49" i="4"/>
  <c r="AV49" i="4"/>
  <c r="BC48" i="4"/>
  <c r="BB48" i="4"/>
  <c r="AZ48" i="4"/>
  <c r="AY48" i="4"/>
  <c r="AW48" i="4"/>
  <c r="AV48" i="4"/>
  <c r="BC47" i="4"/>
  <c r="BB47" i="4"/>
  <c r="AZ47" i="4"/>
  <c r="AY47" i="4"/>
  <c r="AW47" i="4"/>
  <c r="AV47" i="4"/>
  <c r="BC46" i="4"/>
  <c r="BB46" i="4"/>
  <c r="AZ46" i="4"/>
  <c r="AY46" i="4"/>
  <c r="AW46" i="4"/>
  <c r="AV46" i="4"/>
  <c r="BC45" i="4"/>
  <c r="BB45" i="4"/>
  <c r="AZ45" i="4"/>
  <c r="AY45" i="4"/>
  <c r="AW45" i="4"/>
  <c r="AV45" i="4"/>
  <c r="BC44" i="4"/>
  <c r="BB44" i="4"/>
  <c r="AZ44" i="4"/>
  <c r="AY44" i="4"/>
  <c r="AW44" i="4"/>
  <c r="AV44" i="4"/>
  <c r="BC43" i="4"/>
  <c r="BB43" i="4"/>
  <c r="AZ43" i="4"/>
  <c r="AY43" i="4"/>
  <c r="AW43" i="4"/>
  <c r="AV43" i="4"/>
  <c r="BC42" i="4"/>
  <c r="BB42" i="4"/>
  <c r="AZ42" i="4"/>
  <c r="AY42" i="4"/>
  <c r="AW42" i="4"/>
  <c r="AV42" i="4"/>
  <c r="BC41" i="4"/>
  <c r="BB41" i="4"/>
  <c r="AZ41" i="4"/>
  <c r="AY41" i="4"/>
  <c r="AW41" i="4"/>
  <c r="AV41" i="4"/>
  <c r="BC40" i="4"/>
  <c r="BB40" i="4"/>
  <c r="AZ40" i="4"/>
  <c r="AY40" i="4"/>
  <c r="AW40" i="4"/>
  <c r="AV40" i="4"/>
  <c r="BC39" i="4"/>
  <c r="BB39" i="4"/>
  <c r="AZ39" i="4"/>
  <c r="AY39" i="4"/>
  <c r="AW39" i="4"/>
  <c r="AV39" i="4"/>
  <c r="BC38" i="4"/>
  <c r="BB38" i="4"/>
  <c r="AZ38" i="4"/>
  <c r="AY38" i="4"/>
  <c r="AW38" i="4"/>
  <c r="AV38" i="4"/>
  <c r="BC37" i="4"/>
  <c r="BB37" i="4"/>
  <c r="AZ37" i="4"/>
  <c r="AY37" i="4"/>
  <c r="AW37" i="4"/>
  <c r="AV37" i="4"/>
  <c r="BC36" i="4"/>
  <c r="BB36" i="4"/>
  <c r="AZ36" i="4"/>
  <c r="AY36" i="4"/>
  <c r="AW36" i="4"/>
  <c r="AV36" i="4"/>
  <c r="BC35" i="4"/>
  <c r="BB35" i="4"/>
  <c r="AZ35" i="4"/>
  <c r="AY35" i="4"/>
  <c r="AW35" i="4"/>
  <c r="AV35" i="4"/>
  <c r="BC34" i="4"/>
  <c r="BB34" i="4"/>
  <c r="AZ34" i="4"/>
  <c r="AY34" i="4"/>
  <c r="AW34" i="4"/>
  <c r="AV34" i="4"/>
  <c r="BC33" i="4"/>
  <c r="BB33" i="4"/>
  <c r="AZ33" i="4"/>
  <c r="AY33" i="4"/>
  <c r="AW33" i="4"/>
  <c r="AV33" i="4"/>
  <c r="BC32" i="4"/>
  <c r="BB32" i="4"/>
  <c r="AZ32" i="4"/>
  <c r="AY32" i="4"/>
  <c r="AW32" i="4"/>
  <c r="AV32" i="4"/>
  <c r="BC31" i="4"/>
  <c r="BB31" i="4"/>
  <c r="AZ31" i="4"/>
  <c r="AY31" i="4"/>
  <c r="AW31" i="4"/>
  <c r="AV31" i="4"/>
  <c r="BC30" i="4"/>
  <c r="BB30" i="4"/>
  <c r="AZ30" i="4"/>
  <c r="AY30" i="4"/>
  <c r="AW30" i="4"/>
  <c r="AV30" i="4"/>
  <c r="BC29" i="4"/>
  <c r="BB29" i="4"/>
  <c r="AZ29" i="4"/>
  <c r="AY29" i="4"/>
  <c r="AW29" i="4"/>
  <c r="AV29" i="4"/>
  <c r="BC28" i="4"/>
  <c r="BB28" i="4"/>
  <c r="AZ28" i="4"/>
  <c r="AY28" i="4"/>
  <c r="AW28" i="4"/>
  <c r="AV28" i="4"/>
  <c r="BC27" i="4"/>
  <c r="BB27" i="4"/>
  <c r="AZ27" i="4"/>
  <c r="AY27" i="4"/>
  <c r="AW27" i="4"/>
  <c r="AV27" i="4"/>
  <c r="BC26" i="4"/>
  <c r="BB26" i="4"/>
  <c r="AZ26" i="4"/>
  <c r="AY26" i="4"/>
  <c r="AW26" i="4"/>
  <c r="AV26" i="4"/>
  <c r="BC25" i="4"/>
  <c r="BB25" i="4"/>
  <c r="AZ25" i="4"/>
  <c r="AY25" i="4"/>
  <c r="AW25" i="4"/>
  <c r="AV25" i="4"/>
  <c r="BC24" i="4"/>
  <c r="BB24" i="4"/>
  <c r="AZ24" i="4"/>
  <c r="AY24" i="4"/>
  <c r="AW24" i="4"/>
  <c r="AV24" i="4"/>
  <c r="BC23" i="4"/>
  <c r="BB23" i="4"/>
  <c r="AZ23" i="4"/>
  <c r="AY23" i="4"/>
  <c r="AW23" i="4"/>
  <c r="AV23" i="4"/>
  <c r="BC22" i="4"/>
  <c r="BB22" i="4"/>
  <c r="AZ22" i="4"/>
  <c r="AY22" i="4"/>
  <c r="AW22" i="4"/>
  <c r="AV22" i="4"/>
  <c r="BC21" i="4"/>
  <c r="BB21" i="4"/>
  <c r="AZ21" i="4"/>
  <c r="AY21" i="4"/>
  <c r="AW21" i="4"/>
  <c r="AV21" i="4"/>
  <c r="BC20" i="4"/>
  <c r="BB20" i="4"/>
  <c r="AZ20" i="4"/>
  <c r="AY20" i="4"/>
  <c r="AW20" i="4"/>
  <c r="AV20" i="4"/>
  <c r="BC19" i="4"/>
  <c r="BB19" i="4"/>
  <c r="AZ19" i="4"/>
  <c r="AY19" i="4"/>
  <c r="AW19" i="4"/>
  <c r="AV19" i="4"/>
  <c r="BC18" i="4"/>
  <c r="BB18" i="4"/>
  <c r="AZ18" i="4"/>
  <c r="AY18" i="4"/>
  <c r="AW18" i="4"/>
  <c r="AV18" i="4"/>
  <c r="BC17" i="4"/>
  <c r="BB17" i="4"/>
  <c r="AZ17" i="4"/>
  <c r="AY17" i="4"/>
  <c r="AW17" i="4"/>
  <c r="AV17" i="4"/>
  <c r="BC16" i="4"/>
  <c r="BB16" i="4"/>
  <c r="AZ16" i="4"/>
  <c r="AY16" i="4"/>
  <c r="AW16" i="4"/>
  <c r="AV16" i="4"/>
  <c r="BC15" i="4"/>
  <c r="BB15" i="4"/>
  <c r="AZ15" i="4"/>
  <c r="AY15" i="4"/>
  <c r="AW15" i="4"/>
  <c r="AV15" i="4"/>
  <c r="BC14" i="4"/>
  <c r="BB14" i="4"/>
  <c r="AZ14" i="4"/>
  <c r="AY14" i="4"/>
  <c r="AW14" i="4"/>
  <c r="AV14" i="4"/>
  <c r="BC13" i="4"/>
  <c r="BB13" i="4"/>
  <c r="AZ13" i="4"/>
  <c r="AY13" i="4"/>
  <c r="AW13" i="4"/>
  <c r="AV13" i="4"/>
  <c r="BC12" i="4"/>
  <c r="BB12" i="4"/>
  <c r="AZ12" i="4"/>
  <c r="AY12" i="4"/>
  <c r="AW12" i="4"/>
  <c r="AV12" i="4"/>
  <c r="BC11" i="4"/>
  <c r="BB11" i="4"/>
  <c r="AZ11" i="4"/>
  <c r="AY11" i="4"/>
  <c r="AW11" i="4"/>
  <c r="AV11" i="4"/>
  <c r="BC10" i="4"/>
  <c r="BB10" i="4"/>
  <c r="AZ10" i="4"/>
  <c r="AY10" i="4"/>
  <c r="AW10" i="4"/>
  <c r="AV10" i="4"/>
  <c r="BC9" i="4"/>
  <c r="BB9" i="4"/>
  <c r="AZ9" i="4"/>
  <c r="AY9" i="4"/>
  <c r="AW9" i="4"/>
  <c r="AV9" i="4"/>
  <c r="BC8" i="4"/>
  <c r="BB8" i="4"/>
  <c r="AZ8" i="4"/>
  <c r="AY8" i="4"/>
  <c r="AW8" i="4"/>
  <c r="AV8" i="4"/>
  <c r="BC7" i="4"/>
  <c r="BB7" i="4"/>
  <c r="AZ7" i="4"/>
  <c r="AY7" i="4"/>
  <c r="AW7" i="4"/>
  <c r="AV7" i="4"/>
  <c r="BC6" i="4"/>
  <c r="BB6" i="4"/>
  <c r="AZ6" i="4"/>
  <c r="AY6" i="4"/>
  <c r="AW6" i="4"/>
  <c r="AV6" i="4"/>
  <c r="BC5" i="4"/>
  <c r="BB5" i="4"/>
  <c r="AZ5" i="4"/>
  <c r="AY5" i="4"/>
  <c r="AW5" i="4"/>
  <c r="AV5" i="4"/>
  <c r="BC4" i="4"/>
  <c r="BB4" i="4"/>
  <c r="AZ4" i="4"/>
  <c r="AY4" i="4"/>
  <c r="AW4" i="4"/>
  <c r="AV4" i="4"/>
  <c r="BC3" i="4"/>
  <c r="BB3" i="4"/>
  <c r="AZ3" i="4"/>
  <c r="AY3" i="4"/>
  <c r="AW3" i="4"/>
  <c r="AV3" i="4"/>
  <c r="AM4" i="4"/>
  <c r="AN4" i="4"/>
  <c r="AP4" i="4"/>
  <c r="AQ4" i="4"/>
  <c r="AS4" i="4"/>
  <c r="AT4" i="4"/>
  <c r="AM5" i="4"/>
  <c r="AN5" i="4"/>
  <c r="AP5" i="4"/>
  <c r="AQ5" i="4"/>
  <c r="AS5" i="4"/>
  <c r="AT5" i="4"/>
  <c r="AM6" i="4"/>
  <c r="AN6" i="4"/>
  <c r="AP6" i="4"/>
  <c r="AQ6" i="4"/>
  <c r="AS6" i="4"/>
  <c r="AT6" i="4"/>
  <c r="AM7" i="4"/>
  <c r="AN7" i="4"/>
  <c r="AP7" i="4"/>
  <c r="AQ7" i="4"/>
  <c r="AS7" i="4"/>
  <c r="AT7" i="4"/>
  <c r="AM8" i="4"/>
  <c r="AN8" i="4"/>
  <c r="AP8" i="4"/>
  <c r="AQ8" i="4"/>
  <c r="AS8" i="4"/>
  <c r="AT8" i="4"/>
  <c r="AM9" i="4"/>
  <c r="AN9" i="4"/>
  <c r="AP9" i="4"/>
  <c r="AQ9" i="4"/>
  <c r="AS9" i="4"/>
  <c r="AT9" i="4"/>
  <c r="AM10" i="4"/>
  <c r="AN10" i="4"/>
  <c r="AP10" i="4"/>
  <c r="AQ10" i="4"/>
  <c r="AS10" i="4"/>
  <c r="AT10" i="4"/>
  <c r="AM11" i="4"/>
  <c r="AN11" i="4"/>
  <c r="AP11" i="4"/>
  <c r="AQ11" i="4"/>
  <c r="AS11" i="4"/>
  <c r="AT11" i="4"/>
  <c r="AM12" i="4"/>
  <c r="AN12" i="4"/>
  <c r="AP12" i="4"/>
  <c r="AQ12" i="4"/>
  <c r="AS12" i="4"/>
  <c r="AT12" i="4"/>
  <c r="AM13" i="4"/>
  <c r="AN13" i="4"/>
  <c r="AP13" i="4"/>
  <c r="AQ13" i="4"/>
  <c r="AS13" i="4"/>
  <c r="AT13" i="4"/>
  <c r="AM14" i="4"/>
  <c r="AN14" i="4"/>
  <c r="AP14" i="4"/>
  <c r="AQ14" i="4"/>
  <c r="AS14" i="4"/>
  <c r="AT14" i="4"/>
  <c r="AM15" i="4"/>
  <c r="AN15" i="4"/>
  <c r="AP15" i="4"/>
  <c r="AQ15" i="4"/>
  <c r="AS15" i="4"/>
  <c r="AT15" i="4"/>
  <c r="AM16" i="4"/>
  <c r="AN16" i="4"/>
  <c r="AP16" i="4"/>
  <c r="AQ16" i="4"/>
  <c r="AS16" i="4"/>
  <c r="AT16" i="4"/>
  <c r="AM17" i="4"/>
  <c r="AN17" i="4"/>
  <c r="AP17" i="4"/>
  <c r="AQ17" i="4"/>
  <c r="AS17" i="4"/>
  <c r="AT17" i="4"/>
  <c r="AM18" i="4"/>
  <c r="AN18" i="4"/>
  <c r="AP18" i="4"/>
  <c r="AQ18" i="4"/>
  <c r="AS18" i="4"/>
  <c r="AT18" i="4"/>
  <c r="AM19" i="4"/>
  <c r="AN19" i="4"/>
  <c r="AP19" i="4"/>
  <c r="AQ19" i="4"/>
  <c r="AS19" i="4"/>
  <c r="AT19" i="4"/>
  <c r="AM20" i="4"/>
  <c r="AN20" i="4"/>
  <c r="AP20" i="4"/>
  <c r="AQ20" i="4"/>
  <c r="AS20" i="4"/>
  <c r="AT20" i="4"/>
  <c r="AM21" i="4"/>
  <c r="AN21" i="4"/>
  <c r="AP21" i="4"/>
  <c r="AQ21" i="4"/>
  <c r="AS21" i="4"/>
  <c r="AT21" i="4"/>
  <c r="AM22" i="4"/>
  <c r="AN22" i="4"/>
  <c r="AP22" i="4"/>
  <c r="AQ22" i="4"/>
  <c r="AS22" i="4"/>
  <c r="AT22" i="4"/>
  <c r="AM23" i="4"/>
  <c r="AN23" i="4"/>
  <c r="AP23" i="4"/>
  <c r="AQ23" i="4"/>
  <c r="AS23" i="4"/>
  <c r="AT23" i="4"/>
  <c r="AM24" i="4"/>
  <c r="AN24" i="4"/>
  <c r="AP24" i="4"/>
  <c r="AQ24" i="4"/>
  <c r="AS24" i="4"/>
  <c r="AT24" i="4"/>
  <c r="AM25" i="4"/>
  <c r="AN25" i="4"/>
  <c r="AP25" i="4"/>
  <c r="AQ25" i="4"/>
  <c r="AS25" i="4"/>
  <c r="AT25" i="4"/>
  <c r="AM26" i="4"/>
  <c r="AN26" i="4"/>
  <c r="AP26" i="4"/>
  <c r="AQ26" i="4"/>
  <c r="AS26" i="4"/>
  <c r="AT26" i="4"/>
  <c r="AM27" i="4"/>
  <c r="AN27" i="4"/>
  <c r="AP27" i="4"/>
  <c r="AQ27" i="4"/>
  <c r="AS27" i="4"/>
  <c r="AT27" i="4"/>
  <c r="AM28" i="4"/>
  <c r="AN28" i="4"/>
  <c r="AP28" i="4"/>
  <c r="AQ28" i="4"/>
  <c r="AS28" i="4"/>
  <c r="AT28" i="4"/>
  <c r="AM29" i="4"/>
  <c r="AN29" i="4"/>
  <c r="AP29" i="4"/>
  <c r="AQ29" i="4"/>
  <c r="AS29" i="4"/>
  <c r="AT29" i="4"/>
  <c r="AM30" i="4"/>
  <c r="AN30" i="4"/>
  <c r="AP30" i="4"/>
  <c r="AQ30" i="4"/>
  <c r="AS30" i="4"/>
  <c r="AT30" i="4"/>
  <c r="AM31" i="4"/>
  <c r="AN31" i="4"/>
  <c r="AP31" i="4"/>
  <c r="AQ31" i="4"/>
  <c r="AS31" i="4"/>
  <c r="AT31" i="4"/>
  <c r="AM32" i="4"/>
  <c r="AN32" i="4"/>
  <c r="AP32" i="4"/>
  <c r="AQ32" i="4"/>
  <c r="AS32" i="4"/>
  <c r="AT32" i="4"/>
  <c r="AM33" i="4"/>
  <c r="AN33" i="4"/>
  <c r="AP33" i="4"/>
  <c r="AQ33" i="4"/>
  <c r="AS33" i="4"/>
  <c r="AT33" i="4"/>
  <c r="AM34" i="4"/>
  <c r="AN34" i="4"/>
  <c r="AP34" i="4"/>
  <c r="AQ34" i="4"/>
  <c r="AS34" i="4"/>
  <c r="AT34" i="4"/>
  <c r="AM35" i="4"/>
  <c r="AN35" i="4"/>
  <c r="AP35" i="4"/>
  <c r="AQ35" i="4"/>
  <c r="AS35" i="4"/>
  <c r="AT35" i="4"/>
  <c r="AM36" i="4"/>
  <c r="AN36" i="4"/>
  <c r="AP36" i="4"/>
  <c r="AQ36" i="4"/>
  <c r="AS36" i="4"/>
  <c r="AT36" i="4"/>
  <c r="AM37" i="4"/>
  <c r="AN37" i="4"/>
  <c r="AP37" i="4"/>
  <c r="AQ37" i="4"/>
  <c r="AS37" i="4"/>
  <c r="AT37" i="4"/>
  <c r="AM38" i="4"/>
  <c r="AN38" i="4"/>
  <c r="AP38" i="4"/>
  <c r="AQ38" i="4"/>
  <c r="AS38" i="4"/>
  <c r="AT38" i="4"/>
  <c r="AM39" i="4"/>
  <c r="AN39" i="4"/>
  <c r="AP39" i="4"/>
  <c r="AQ39" i="4"/>
  <c r="AS39" i="4"/>
  <c r="AT39" i="4"/>
  <c r="AM40" i="4"/>
  <c r="AN40" i="4"/>
  <c r="AP40" i="4"/>
  <c r="AQ40" i="4"/>
  <c r="AS40" i="4"/>
  <c r="AT40" i="4"/>
  <c r="AM41" i="4"/>
  <c r="AN41" i="4"/>
  <c r="AP41" i="4"/>
  <c r="AQ41" i="4"/>
  <c r="AS41" i="4"/>
  <c r="AT41" i="4"/>
  <c r="AM42" i="4"/>
  <c r="AN42" i="4"/>
  <c r="AP42" i="4"/>
  <c r="AQ42" i="4"/>
  <c r="AS42" i="4"/>
  <c r="AT42" i="4"/>
  <c r="AM43" i="4"/>
  <c r="AN43" i="4"/>
  <c r="AP43" i="4"/>
  <c r="AQ43" i="4"/>
  <c r="AS43" i="4"/>
  <c r="AT43" i="4"/>
  <c r="AM44" i="4"/>
  <c r="AN44" i="4"/>
  <c r="AP44" i="4"/>
  <c r="AQ44" i="4"/>
  <c r="AS44" i="4"/>
  <c r="AT44" i="4"/>
  <c r="AM45" i="4"/>
  <c r="AN45" i="4"/>
  <c r="AP45" i="4"/>
  <c r="AQ45" i="4"/>
  <c r="AS45" i="4"/>
  <c r="AT45" i="4"/>
  <c r="AM46" i="4"/>
  <c r="AN46" i="4"/>
  <c r="AP46" i="4"/>
  <c r="AQ46" i="4"/>
  <c r="AS46" i="4"/>
  <c r="AT46" i="4"/>
  <c r="AM47" i="4"/>
  <c r="AN47" i="4"/>
  <c r="AP47" i="4"/>
  <c r="AQ47" i="4"/>
  <c r="AS47" i="4"/>
  <c r="AT47" i="4"/>
  <c r="AM48" i="4"/>
  <c r="AN48" i="4"/>
  <c r="AP48" i="4"/>
  <c r="AQ48" i="4"/>
  <c r="AS48" i="4"/>
  <c r="AT48" i="4"/>
  <c r="AM49" i="4"/>
  <c r="AN49" i="4"/>
  <c r="AP49" i="4"/>
  <c r="AQ49" i="4"/>
  <c r="AS49" i="4"/>
  <c r="AT49" i="4"/>
  <c r="AM50" i="4"/>
  <c r="AN50" i="4"/>
  <c r="AP50" i="4"/>
  <c r="AQ50" i="4"/>
  <c r="AS50" i="4"/>
  <c r="AT50" i="4"/>
  <c r="AM51" i="4"/>
  <c r="AN51" i="4"/>
  <c r="AP51" i="4"/>
  <c r="AQ51" i="4"/>
  <c r="AS51" i="4"/>
  <c r="AT51" i="4"/>
  <c r="AM52" i="4"/>
  <c r="AN52" i="4"/>
  <c r="AP52" i="4"/>
  <c r="AQ52" i="4"/>
  <c r="AS52" i="4"/>
  <c r="AT52" i="4"/>
  <c r="AM53" i="4"/>
  <c r="AN53" i="4"/>
  <c r="AP53" i="4"/>
  <c r="AQ53" i="4"/>
  <c r="AS53" i="4"/>
  <c r="AT53" i="4"/>
  <c r="AM54" i="4"/>
  <c r="AN54" i="4"/>
  <c r="AP54" i="4"/>
  <c r="AQ54" i="4"/>
  <c r="AS54" i="4"/>
  <c r="AT54" i="4"/>
  <c r="AM55" i="4"/>
  <c r="AN55" i="4"/>
  <c r="AP55" i="4"/>
  <c r="AQ55" i="4"/>
  <c r="AS55" i="4"/>
  <c r="AT55" i="4"/>
  <c r="AM56" i="4"/>
  <c r="AN56" i="4"/>
  <c r="AP56" i="4"/>
  <c r="AQ56" i="4"/>
  <c r="AS56" i="4"/>
  <c r="AT56" i="4"/>
  <c r="AM57" i="4"/>
  <c r="AN57" i="4"/>
  <c r="AP57" i="4"/>
  <c r="AQ57" i="4"/>
  <c r="AS57" i="4"/>
  <c r="AT57" i="4"/>
  <c r="AM58" i="4"/>
  <c r="AN58" i="4"/>
  <c r="AP58" i="4"/>
  <c r="AQ58" i="4"/>
  <c r="AS58" i="4"/>
  <c r="AT58" i="4"/>
  <c r="AM59" i="4"/>
  <c r="AN59" i="4"/>
  <c r="AP59" i="4"/>
  <c r="AQ59" i="4"/>
  <c r="AS59" i="4"/>
  <c r="AT59" i="4"/>
  <c r="AM60" i="4"/>
  <c r="AN60" i="4"/>
  <c r="AP60" i="4"/>
  <c r="AQ60" i="4"/>
  <c r="AS60" i="4"/>
  <c r="AT60" i="4"/>
  <c r="AM61" i="4"/>
  <c r="AN61" i="4"/>
  <c r="AP61" i="4"/>
  <c r="AQ61" i="4"/>
  <c r="AS61" i="4"/>
  <c r="AT61" i="4"/>
  <c r="AM62" i="4"/>
  <c r="AN62" i="4"/>
  <c r="AP62" i="4"/>
  <c r="AQ62" i="4"/>
  <c r="AS62" i="4"/>
  <c r="AT62" i="4"/>
  <c r="AM63" i="4"/>
  <c r="AN63" i="4"/>
  <c r="AP63" i="4"/>
  <c r="AQ63" i="4"/>
  <c r="AS63" i="4"/>
  <c r="AT63" i="4"/>
  <c r="AM64" i="4"/>
  <c r="AN64" i="4"/>
  <c r="AP64" i="4"/>
  <c r="AQ64" i="4"/>
  <c r="AS64" i="4"/>
  <c r="AT64" i="4"/>
  <c r="AM65" i="4"/>
  <c r="AN65" i="4"/>
  <c r="AP65" i="4"/>
  <c r="AQ65" i="4"/>
  <c r="AS65" i="4"/>
  <c r="AT65" i="4"/>
  <c r="AM66" i="4"/>
  <c r="AN66" i="4"/>
  <c r="AP66" i="4"/>
  <c r="AQ66" i="4"/>
  <c r="AS66" i="4"/>
  <c r="AT66" i="4"/>
  <c r="AM67" i="4"/>
  <c r="AN67" i="4"/>
  <c r="AP67" i="4"/>
  <c r="AQ67" i="4"/>
  <c r="AS67" i="4"/>
  <c r="AT67" i="4"/>
  <c r="AM68" i="4"/>
  <c r="AN68" i="4"/>
  <c r="AP68" i="4"/>
  <c r="AQ68" i="4"/>
  <c r="AS68" i="4"/>
  <c r="AT68" i="4"/>
  <c r="AM69" i="4"/>
  <c r="AN69" i="4"/>
  <c r="AP69" i="4"/>
  <c r="AQ69" i="4"/>
  <c r="AS69" i="4"/>
  <c r="AT69" i="4"/>
  <c r="AM70" i="4"/>
  <c r="AN70" i="4"/>
  <c r="AP70" i="4"/>
  <c r="AQ70" i="4"/>
  <c r="AS70" i="4"/>
  <c r="AT70" i="4"/>
  <c r="AM71" i="4"/>
  <c r="AN71" i="4"/>
  <c r="AP71" i="4"/>
  <c r="AQ71" i="4"/>
  <c r="AS71" i="4"/>
  <c r="AT71" i="4"/>
  <c r="AM72" i="4"/>
  <c r="AN72" i="4"/>
  <c r="AP72" i="4"/>
  <c r="AQ72" i="4"/>
  <c r="AS72" i="4"/>
  <c r="AT72" i="4"/>
  <c r="AM73" i="4"/>
  <c r="AN73" i="4"/>
  <c r="AP73" i="4"/>
  <c r="AQ73" i="4"/>
  <c r="AS73" i="4"/>
  <c r="AT73" i="4"/>
  <c r="AM74" i="4"/>
  <c r="AN74" i="4"/>
  <c r="AP74" i="4"/>
  <c r="AQ74" i="4"/>
  <c r="AS74" i="4"/>
  <c r="AT74" i="4"/>
  <c r="AM75" i="4"/>
  <c r="AN75" i="4"/>
  <c r="AP75" i="4"/>
  <c r="AQ75" i="4"/>
  <c r="AS75" i="4"/>
  <c r="AT75" i="4"/>
  <c r="AM76" i="4"/>
  <c r="AN76" i="4"/>
  <c r="AP76" i="4"/>
  <c r="AQ76" i="4"/>
  <c r="AS76" i="4"/>
  <c r="AT76" i="4"/>
  <c r="AM77" i="4"/>
  <c r="AN77" i="4"/>
  <c r="AP77" i="4"/>
  <c r="AQ77" i="4"/>
  <c r="AS77" i="4"/>
  <c r="AT77" i="4"/>
  <c r="AM78" i="4"/>
  <c r="AN78" i="4"/>
  <c r="AP78" i="4"/>
  <c r="AQ78" i="4"/>
  <c r="AS78" i="4"/>
  <c r="AT78" i="4"/>
  <c r="AM79" i="4"/>
  <c r="AN79" i="4"/>
  <c r="AP79" i="4"/>
  <c r="AQ79" i="4"/>
  <c r="AS79" i="4"/>
  <c r="AT79" i="4"/>
  <c r="AM80" i="4"/>
  <c r="AN80" i="4"/>
  <c r="AP80" i="4"/>
  <c r="AQ80" i="4"/>
  <c r="AS80" i="4"/>
  <c r="AT80" i="4"/>
  <c r="AM81" i="4"/>
  <c r="AN81" i="4"/>
  <c r="AP81" i="4"/>
  <c r="AQ81" i="4"/>
  <c r="AS81" i="4"/>
  <c r="AT81" i="4"/>
  <c r="AM82" i="4"/>
  <c r="AN82" i="4"/>
  <c r="AP82" i="4"/>
  <c r="AQ82" i="4"/>
  <c r="AS82" i="4"/>
  <c r="AT82" i="4"/>
  <c r="AM83" i="4"/>
  <c r="AN83" i="4"/>
  <c r="AP83" i="4"/>
  <c r="AQ83" i="4"/>
  <c r="AS83" i="4"/>
  <c r="AT83" i="4"/>
  <c r="AM84" i="4"/>
  <c r="AN84" i="4"/>
  <c r="AP84" i="4"/>
  <c r="AQ84" i="4"/>
  <c r="AS84" i="4"/>
  <c r="AT84" i="4"/>
  <c r="AM85" i="4"/>
  <c r="AN85" i="4"/>
  <c r="AP85" i="4"/>
  <c r="AQ85" i="4"/>
  <c r="AS85" i="4"/>
  <c r="AT85" i="4"/>
  <c r="AM86" i="4"/>
  <c r="AN86" i="4"/>
  <c r="AP86" i="4"/>
  <c r="AQ86" i="4"/>
  <c r="AS86" i="4"/>
  <c r="AT86" i="4"/>
  <c r="AM87" i="4"/>
  <c r="AN87" i="4"/>
  <c r="AP87" i="4"/>
  <c r="AQ87" i="4"/>
  <c r="AS87" i="4"/>
  <c r="AT87" i="4"/>
  <c r="AM88" i="4"/>
  <c r="AN88" i="4"/>
  <c r="AP88" i="4"/>
  <c r="AQ88" i="4"/>
  <c r="AS88" i="4"/>
  <c r="AT88" i="4"/>
  <c r="AM89" i="4"/>
  <c r="AN89" i="4"/>
  <c r="AP89" i="4"/>
  <c r="AQ89" i="4"/>
  <c r="AS89" i="4"/>
  <c r="AT89" i="4"/>
  <c r="AM90" i="4"/>
  <c r="AN90" i="4"/>
  <c r="AP90" i="4"/>
  <c r="AQ90" i="4"/>
  <c r="AS90" i="4"/>
  <c r="AT90" i="4"/>
  <c r="AM91" i="4"/>
  <c r="AN91" i="4"/>
  <c r="AP91" i="4"/>
  <c r="AQ91" i="4"/>
  <c r="AS91" i="4"/>
  <c r="AT91" i="4"/>
  <c r="AM92" i="4"/>
  <c r="AN92" i="4"/>
  <c r="AP92" i="4"/>
  <c r="AQ92" i="4"/>
  <c r="AS92" i="4"/>
  <c r="AT92" i="4"/>
  <c r="AM93" i="4"/>
  <c r="AN93" i="4"/>
  <c r="AP93" i="4"/>
  <c r="AQ93" i="4"/>
  <c r="AS93" i="4"/>
  <c r="AT93" i="4"/>
  <c r="AM94" i="4"/>
  <c r="AN94" i="4"/>
  <c r="AP94" i="4"/>
  <c r="AQ94" i="4"/>
  <c r="AS94" i="4"/>
  <c r="AT94" i="4"/>
  <c r="AM95" i="4"/>
  <c r="AN95" i="4"/>
  <c r="AP95" i="4"/>
  <c r="AQ95" i="4"/>
  <c r="AS95" i="4"/>
  <c r="AT95" i="4"/>
  <c r="AM96" i="4"/>
  <c r="AN96" i="4"/>
  <c r="AP96" i="4"/>
  <c r="AQ96" i="4"/>
  <c r="AS96" i="4"/>
  <c r="AT96" i="4"/>
  <c r="AM97" i="4"/>
  <c r="AN97" i="4"/>
  <c r="AP97" i="4"/>
  <c r="AQ97" i="4"/>
  <c r="AS97" i="4"/>
  <c r="AT97" i="4"/>
  <c r="AM98" i="4"/>
  <c r="AN98" i="4"/>
  <c r="AP98" i="4"/>
  <c r="AQ98" i="4"/>
  <c r="AS98" i="4"/>
  <c r="AT98" i="4"/>
  <c r="AM99" i="4"/>
  <c r="AN99" i="4"/>
  <c r="AP99" i="4"/>
  <c r="AQ99" i="4"/>
  <c r="AS99" i="4"/>
  <c r="AT99" i="4"/>
  <c r="AM100" i="4"/>
  <c r="AN100" i="4"/>
  <c r="AP100" i="4"/>
  <c r="AQ100" i="4"/>
  <c r="AS100" i="4"/>
  <c r="AT100" i="4"/>
  <c r="AM101" i="4"/>
  <c r="AN101" i="4"/>
  <c r="AP101" i="4"/>
  <c r="AQ101" i="4"/>
  <c r="AS101" i="4"/>
  <c r="AT101" i="4"/>
  <c r="AM102" i="4"/>
  <c r="AN102" i="4"/>
  <c r="AP102" i="4"/>
  <c r="AQ102" i="4"/>
  <c r="AS102" i="4"/>
  <c r="AT102" i="4"/>
  <c r="AM103" i="4"/>
  <c r="AN103" i="4"/>
  <c r="AP103" i="4"/>
  <c r="AQ103" i="4"/>
  <c r="AS103" i="4"/>
  <c r="AT103" i="4"/>
  <c r="AM104" i="4"/>
  <c r="AN104" i="4"/>
  <c r="AP104" i="4"/>
  <c r="AQ104" i="4"/>
  <c r="AS104" i="4"/>
  <c r="AT104" i="4"/>
  <c r="AM105" i="4"/>
  <c r="AN105" i="4"/>
  <c r="AP105" i="4"/>
  <c r="AQ105" i="4"/>
  <c r="AS105" i="4"/>
  <c r="AT105" i="4"/>
  <c r="AM106" i="4"/>
  <c r="AN106" i="4"/>
  <c r="AP106" i="4"/>
  <c r="AQ106" i="4"/>
  <c r="AS106" i="4"/>
  <c r="AT106" i="4"/>
  <c r="AM107" i="4"/>
  <c r="AN107" i="4"/>
  <c r="AP107" i="4"/>
  <c r="AQ107" i="4"/>
  <c r="AS107" i="4"/>
  <c r="AT107" i="4"/>
  <c r="AM108" i="4"/>
  <c r="AN108" i="4"/>
  <c r="AP108" i="4"/>
  <c r="AQ108" i="4"/>
  <c r="AS108" i="4"/>
  <c r="AT108" i="4"/>
  <c r="AM109" i="4"/>
  <c r="AN109" i="4"/>
  <c r="AP109" i="4"/>
  <c r="AQ109" i="4"/>
  <c r="AS109" i="4"/>
  <c r="AT109" i="4"/>
  <c r="AM110" i="4"/>
  <c r="AN110" i="4"/>
  <c r="AP110" i="4"/>
  <c r="AQ110" i="4"/>
  <c r="AS110" i="4"/>
  <c r="AT110" i="4"/>
  <c r="AM111" i="4"/>
  <c r="AN111" i="4"/>
  <c r="AP111" i="4"/>
  <c r="AQ111" i="4"/>
  <c r="AS111" i="4"/>
  <c r="AT111" i="4"/>
  <c r="AM112" i="4"/>
  <c r="AN112" i="4"/>
  <c r="AP112" i="4"/>
  <c r="AQ112" i="4"/>
  <c r="AS112" i="4"/>
  <c r="AT112" i="4"/>
  <c r="AM113" i="4"/>
  <c r="AN113" i="4"/>
  <c r="AP113" i="4"/>
  <c r="AQ113" i="4"/>
  <c r="AS113" i="4"/>
  <c r="AT113" i="4"/>
  <c r="AM114" i="4"/>
  <c r="AN114" i="4"/>
  <c r="AP114" i="4"/>
  <c r="AQ114" i="4"/>
  <c r="AS114" i="4"/>
  <c r="AT114" i="4"/>
  <c r="AM115" i="4"/>
  <c r="AN115" i="4"/>
  <c r="AP115" i="4"/>
  <c r="AQ115" i="4"/>
  <c r="AS115" i="4"/>
  <c r="AT115" i="4"/>
  <c r="AM116" i="4"/>
  <c r="AN116" i="4"/>
  <c r="AP116" i="4"/>
  <c r="AQ116" i="4"/>
  <c r="AS116" i="4"/>
  <c r="AT116" i="4"/>
  <c r="AM117" i="4"/>
  <c r="AN117" i="4"/>
  <c r="AP117" i="4"/>
  <c r="AQ117" i="4"/>
  <c r="AS117" i="4"/>
  <c r="AT117" i="4"/>
  <c r="AM118" i="4"/>
  <c r="AN118" i="4"/>
  <c r="AP118" i="4"/>
  <c r="AQ118" i="4"/>
  <c r="AS118" i="4"/>
  <c r="AT118" i="4"/>
  <c r="AM119" i="4"/>
  <c r="AN119" i="4"/>
  <c r="AP119" i="4"/>
  <c r="AQ119" i="4"/>
  <c r="AS119" i="4"/>
  <c r="AT119" i="4"/>
  <c r="AM120" i="4"/>
  <c r="AN120" i="4"/>
  <c r="AP120" i="4"/>
  <c r="AQ120" i="4"/>
  <c r="AS120" i="4"/>
  <c r="AT120" i="4"/>
  <c r="AM121" i="4"/>
  <c r="AN121" i="4"/>
  <c r="AP121" i="4"/>
  <c r="AQ121" i="4"/>
  <c r="AS121" i="4"/>
  <c r="AT121" i="4"/>
  <c r="AM122" i="4"/>
  <c r="AN122" i="4"/>
  <c r="AP122" i="4"/>
  <c r="AQ122" i="4"/>
  <c r="AS122" i="4"/>
  <c r="AT122" i="4"/>
  <c r="AM123" i="4"/>
  <c r="AN123" i="4"/>
  <c r="AP123" i="4"/>
  <c r="AQ123" i="4"/>
  <c r="AS123" i="4"/>
  <c r="AT123" i="4"/>
  <c r="AM124" i="4"/>
  <c r="AN124" i="4"/>
  <c r="AP124" i="4"/>
  <c r="AQ124" i="4"/>
  <c r="AS124" i="4"/>
  <c r="AT124" i="4"/>
  <c r="AM125" i="4"/>
  <c r="AN125" i="4"/>
  <c r="AP125" i="4"/>
  <c r="AQ125" i="4"/>
  <c r="AS125" i="4"/>
  <c r="AT125" i="4"/>
  <c r="AM126" i="4"/>
  <c r="AN126" i="4"/>
  <c r="AP126" i="4"/>
  <c r="AQ126" i="4"/>
  <c r="AS126" i="4"/>
  <c r="AT126" i="4"/>
  <c r="AM127" i="4"/>
  <c r="AN127" i="4"/>
  <c r="AP127" i="4"/>
  <c r="AQ127" i="4"/>
  <c r="AS127" i="4"/>
  <c r="AT127" i="4"/>
  <c r="AM128" i="4"/>
  <c r="AN128" i="4"/>
  <c r="AP128" i="4"/>
  <c r="AQ128" i="4"/>
  <c r="AS128" i="4"/>
  <c r="AT128" i="4"/>
  <c r="AM129" i="4"/>
  <c r="AN129" i="4"/>
  <c r="AP129" i="4"/>
  <c r="AQ129" i="4"/>
  <c r="AS129" i="4"/>
  <c r="AT129" i="4"/>
  <c r="AM130" i="4"/>
  <c r="AN130" i="4"/>
  <c r="AP130" i="4"/>
  <c r="AQ130" i="4"/>
  <c r="AS130" i="4"/>
  <c r="AT130" i="4"/>
  <c r="AM131" i="4"/>
  <c r="AN131" i="4"/>
  <c r="AP131" i="4"/>
  <c r="AQ131" i="4"/>
  <c r="AS131" i="4"/>
  <c r="AT131" i="4"/>
  <c r="AM132" i="4"/>
  <c r="AN132" i="4"/>
  <c r="AP132" i="4"/>
  <c r="AQ132" i="4"/>
  <c r="AS132" i="4"/>
  <c r="AT132" i="4"/>
  <c r="AM133" i="4"/>
  <c r="AN133" i="4"/>
  <c r="AP133" i="4"/>
  <c r="AQ133" i="4"/>
  <c r="AS133" i="4"/>
  <c r="AT133" i="4"/>
  <c r="AM134" i="4"/>
  <c r="AN134" i="4"/>
  <c r="AP134" i="4"/>
  <c r="AQ134" i="4"/>
  <c r="AS134" i="4"/>
  <c r="AT134" i="4"/>
  <c r="AM135" i="4"/>
  <c r="AN135" i="4"/>
  <c r="AP135" i="4"/>
  <c r="AQ135" i="4"/>
  <c r="AS135" i="4"/>
  <c r="AT135" i="4"/>
  <c r="AM136" i="4"/>
  <c r="AN136" i="4"/>
  <c r="AP136" i="4"/>
  <c r="AQ136" i="4"/>
  <c r="AS136" i="4"/>
  <c r="AT136" i="4"/>
  <c r="AM137" i="4"/>
  <c r="AN137" i="4"/>
  <c r="AP137" i="4"/>
  <c r="AQ137" i="4"/>
  <c r="AS137" i="4"/>
  <c r="AT137" i="4"/>
  <c r="AM138" i="4"/>
  <c r="AN138" i="4"/>
  <c r="AP138" i="4"/>
  <c r="AQ138" i="4"/>
  <c r="AS138" i="4"/>
  <c r="AT138" i="4"/>
  <c r="AM139" i="4"/>
  <c r="AN139" i="4"/>
  <c r="AP139" i="4"/>
  <c r="AQ139" i="4"/>
  <c r="AS139" i="4"/>
  <c r="AT139" i="4"/>
  <c r="AM140" i="4"/>
  <c r="AN140" i="4"/>
  <c r="AP140" i="4"/>
  <c r="AQ140" i="4"/>
  <c r="AS140" i="4"/>
  <c r="AT140" i="4"/>
  <c r="AM141" i="4"/>
  <c r="AN141" i="4"/>
  <c r="AP141" i="4"/>
  <c r="AQ141" i="4"/>
  <c r="AS141" i="4"/>
  <c r="AT141" i="4"/>
  <c r="AM142" i="4"/>
  <c r="AN142" i="4"/>
  <c r="AP142" i="4"/>
  <c r="AQ142" i="4"/>
  <c r="AS142" i="4"/>
  <c r="AT142" i="4"/>
  <c r="AM143" i="4"/>
  <c r="AN143" i="4"/>
  <c r="AP143" i="4"/>
  <c r="AQ143" i="4"/>
  <c r="AS143" i="4"/>
  <c r="AT143" i="4"/>
  <c r="AM144" i="4"/>
  <c r="AN144" i="4"/>
  <c r="AP144" i="4"/>
  <c r="AQ144" i="4"/>
  <c r="AS144" i="4"/>
  <c r="AT144" i="4"/>
  <c r="AM145" i="4"/>
  <c r="AN145" i="4"/>
  <c r="AP145" i="4"/>
  <c r="AQ145" i="4"/>
  <c r="AS145" i="4"/>
  <c r="AT145" i="4"/>
  <c r="AM146" i="4"/>
  <c r="AN146" i="4"/>
  <c r="AP146" i="4"/>
  <c r="AQ146" i="4"/>
  <c r="AS146" i="4"/>
  <c r="AT146" i="4"/>
  <c r="AM147" i="4"/>
  <c r="AN147" i="4"/>
  <c r="AP147" i="4"/>
  <c r="AQ147" i="4"/>
  <c r="AS147" i="4"/>
  <c r="AT147" i="4"/>
  <c r="AM148" i="4"/>
  <c r="AN148" i="4"/>
  <c r="AP148" i="4"/>
  <c r="AQ148" i="4"/>
  <c r="AS148" i="4"/>
  <c r="AT148" i="4"/>
  <c r="AM149" i="4"/>
  <c r="AN149" i="4"/>
  <c r="AP149" i="4"/>
  <c r="AQ149" i="4"/>
  <c r="AS149" i="4"/>
  <c r="AT149" i="4"/>
  <c r="AM150" i="4"/>
  <c r="AN150" i="4"/>
  <c r="AP150" i="4"/>
  <c r="AQ150" i="4"/>
  <c r="AS150" i="4"/>
  <c r="AT150" i="4"/>
  <c r="AM151" i="4"/>
  <c r="AN151" i="4"/>
  <c r="AP151" i="4"/>
  <c r="AQ151" i="4"/>
  <c r="AS151" i="4"/>
  <c r="AT151" i="4"/>
  <c r="AM152" i="4"/>
  <c r="AN152" i="4"/>
  <c r="AP152" i="4"/>
  <c r="AQ152" i="4"/>
  <c r="AS152" i="4"/>
  <c r="AT152" i="4"/>
  <c r="AM153" i="4"/>
  <c r="AN153" i="4"/>
  <c r="AP153" i="4"/>
  <c r="AQ153" i="4"/>
  <c r="AS153" i="4"/>
  <c r="AT153" i="4"/>
  <c r="AM154" i="4"/>
  <c r="AN154" i="4"/>
  <c r="AP154" i="4"/>
  <c r="AQ154" i="4"/>
  <c r="AS154" i="4"/>
  <c r="AT154" i="4"/>
  <c r="AM155" i="4"/>
  <c r="AN155" i="4"/>
  <c r="AP155" i="4"/>
  <c r="AQ155" i="4"/>
  <c r="AS155" i="4"/>
  <c r="AT155" i="4"/>
  <c r="AM156" i="4"/>
  <c r="AN156" i="4"/>
  <c r="AP156" i="4"/>
  <c r="AQ156" i="4"/>
  <c r="AS156" i="4"/>
  <c r="AT156" i="4"/>
  <c r="AM157" i="4"/>
  <c r="AN157" i="4"/>
  <c r="AP157" i="4"/>
  <c r="AQ157" i="4"/>
  <c r="AS157" i="4"/>
  <c r="AT157" i="4"/>
  <c r="AM158" i="4"/>
  <c r="AN158" i="4"/>
  <c r="AP158" i="4"/>
  <c r="AQ158" i="4"/>
  <c r="AS158" i="4"/>
  <c r="AT158" i="4"/>
  <c r="AM159" i="4"/>
  <c r="AN159" i="4"/>
  <c r="AP159" i="4"/>
  <c r="AQ159" i="4"/>
  <c r="AS159" i="4"/>
  <c r="AT159" i="4"/>
  <c r="AM160" i="4"/>
  <c r="AN160" i="4"/>
  <c r="AP160" i="4"/>
  <c r="AQ160" i="4"/>
  <c r="AS160" i="4"/>
  <c r="AT160" i="4"/>
  <c r="AM161" i="4"/>
  <c r="AN161" i="4"/>
  <c r="AP161" i="4"/>
  <c r="AQ161" i="4"/>
  <c r="AS161" i="4"/>
  <c r="AT161" i="4"/>
  <c r="AM162" i="4"/>
  <c r="AN162" i="4"/>
  <c r="AP162" i="4"/>
  <c r="AQ162" i="4"/>
  <c r="AS162" i="4"/>
  <c r="AT162" i="4"/>
  <c r="AM163" i="4"/>
  <c r="AN163" i="4"/>
  <c r="AP163" i="4"/>
  <c r="AQ163" i="4"/>
  <c r="AS163" i="4"/>
  <c r="AT163" i="4"/>
  <c r="AM164" i="4"/>
  <c r="AN164" i="4"/>
  <c r="AP164" i="4"/>
  <c r="AQ164" i="4"/>
  <c r="AS164" i="4"/>
  <c r="AT164" i="4"/>
  <c r="AM165" i="4"/>
  <c r="AN165" i="4"/>
  <c r="AP165" i="4"/>
  <c r="AQ165" i="4"/>
  <c r="AS165" i="4"/>
  <c r="AT165" i="4"/>
  <c r="AM166" i="4"/>
  <c r="AN166" i="4"/>
  <c r="AP166" i="4"/>
  <c r="AQ166" i="4"/>
  <c r="AS166" i="4"/>
  <c r="AT166" i="4"/>
  <c r="AM167" i="4"/>
  <c r="AN167" i="4"/>
  <c r="AP167" i="4"/>
  <c r="AQ167" i="4"/>
  <c r="AS167" i="4"/>
  <c r="AT167" i="4"/>
  <c r="AM168" i="4"/>
  <c r="AN168" i="4"/>
  <c r="AP168" i="4"/>
  <c r="AQ168" i="4"/>
  <c r="AS168" i="4"/>
  <c r="AT168" i="4"/>
  <c r="AM169" i="4"/>
  <c r="AN169" i="4"/>
  <c r="AP169" i="4"/>
  <c r="AQ169" i="4"/>
  <c r="AS169" i="4"/>
  <c r="AT169" i="4"/>
  <c r="AM170" i="4"/>
  <c r="AN170" i="4"/>
  <c r="AP170" i="4"/>
  <c r="AQ170" i="4"/>
  <c r="AS170" i="4"/>
  <c r="AT170" i="4"/>
  <c r="AM171" i="4"/>
  <c r="AN171" i="4"/>
  <c r="AP171" i="4"/>
  <c r="AQ171" i="4"/>
  <c r="AS171" i="4"/>
  <c r="AT171" i="4"/>
  <c r="AM172" i="4"/>
  <c r="AN172" i="4"/>
  <c r="AP172" i="4"/>
  <c r="AQ172" i="4"/>
  <c r="AS172" i="4"/>
  <c r="AT172" i="4"/>
  <c r="AM173" i="4"/>
  <c r="AN173" i="4"/>
  <c r="AP173" i="4"/>
  <c r="AQ173" i="4"/>
  <c r="AS173" i="4"/>
  <c r="AT173" i="4"/>
  <c r="AM174" i="4"/>
  <c r="AN174" i="4"/>
  <c r="AP174" i="4"/>
  <c r="AQ174" i="4"/>
  <c r="AS174" i="4"/>
  <c r="AT174" i="4"/>
  <c r="AM175" i="4"/>
  <c r="AN175" i="4"/>
  <c r="AP175" i="4"/>
  <c r="AQ175" i="4"/>
  <c r="AS175" i="4"/>
  <c r="AT175" i="4"/>
  <c r="AM176" i="4"/>
  <c r="AN176" i="4"/>
  <c r="AP176" i="4"/>
  <c r="AQ176" i="4"/>
  <c r="AS176" i="4"/>
  <c r="AT176" i="4"/>
  <c r="AM177" i="4"/>
  <c r="AN177" i="4"/>
  <c r="AP177" i="4"/>
  <c r="AQ177" i="4"/>
  <c r="AS177" i="4"/>
  <c r="AT177" i="4"/>
  <c r="AM178" i="4"/>
  <c r="AN178" i="4"/>
  <c r="AP178" i="4"/>
  <c r="AQ178" i="4"/>
  <c r="AS178" i="4"/>
  <c r="AT178" i="4"/>
  <c r="AM179" i="4"/>
  <c r="AN179" i="4"/>
  <c r="AP179" i="4"/>
  <c r="AQ179" i="4"/>
  <c r="AS179" i="4"/>
  <c r="AT179" i="4"/>
  <c r="AM180" i="4"/>
  <c r="AN180" i="4"/>
  <c r="AP180" i="4"/>
  <c r="AQ180" i="4"/>
  <c r="AS180" i="4"/>
  <c r="AT180" i="4"/>
  <c r="AM181" i="4"/>
  <c r="AN181" i="4"/>
  <c r="AP181" i="4"/>
  <c r="AQ181" i="4"/>
  <c r="AS181" i="4"/>
  <c r="AT181" i="4"/>
  <c r="AM182" i="4"/>
  <c r="AN182" i="4"/>
  <c r="AP182" i="4"/>
  <c r="AQ182" i="4"/>
  <c r="AS182" i="4"/>
  <c r="AT182" i="4"/>
  <c r="AM183" i="4"/>
  <c r="AN183" i="4"/>
  <c r="AP183" i="4"/>
  <c r="AQ183" i="4"/>
  <c r="AS183" i="4"/>
  <c r="AT183" i="4"/>
  <c r="AM184" i="4"/>
  <c r="AN184" i="4"/>
  <c r="AP184" i="4"/>
  <c r="AQ184" i="4"/>
  <c r="AS184" i="4"/>
  <c r="AT184" i="4"/>
  <c r="AM185" i="4"/>
  <c r="AN185" i="4"/>
  <c r="AP185" i="4"/>
  <c r="AQ185" i="4"/>
  <c r="AS185" i="4"/>
  <c r="AT185" i="4"/>
  <c r="AM186" i="4"/>
  <c r="AN186" i="4"/>
  <c r="AP186" i="4"/>
  <c r="AQ186" i="4"/>
  <c r="AS186" i="4"/>
  <c r="AT186" i="4"/>
  <c r="AM187" i="4"/>
  <c r="AN187" i="4"/>
  <c r="AP187" i="4"/>
  <c r="AQ187" i="4"/>
  <c r="AS187" i="4"/>
  <c r="AT187" i="4"/>
  <c r="AM188" i="4"/>
  <c r="AN188" i="4"/>
  <c r="AP188" i="4"/>
  <c r="AQ188" i="4"/>
  <c r="AS188" i="4"/>
  <c r="AT188" i="4"/>
  <c r="AM189" i="4"/>
  <c r="AN189" i="4"/>
  <c r="AP189" i="4"/>
  <c r="AQ189" i="4"/>
  <c r="AS189" i="4"/>
  <c r="AT189" i="4"/>
  <c r="AM190" i="4"/>
  <c r="AN190" i="4"/>
  <c r="AP190" i="4"/>
  <c r="AQ190" i="4"/>
  <c r="AS190" i="4"/>
  <c r="AT190" i="4"/>
  <c r="AM191" i="4"/>
  <c r="AN191" i="4"/>
  <c r="AP191" i="4"/>
  <c r="AQ191" i="4"/>
  <c r="AS191" i="4"/>
  <c r="AT191" i="4"/>
  <c r="AM192" i="4"/>
  <c r="AN192" i="4"/>
  <c r="AP192" i="4"/>
  <c r="AQ192" i="4"/>
  <c r="AS192" i="4"/>
  <c r="AT192" i="4"/>
  <c r="AM193" i="4"/>
  <c r="AN193" i="4"/>
  <c r="AP193" i="4"/>
  <c r="AQ193" i="4"/>
  <c r="AS193" i="4"/>
  <c r="AT193" i="4"/>
  <c r="AM194" i="4"/>
  <c r="AN194" i="4"/>
  <c r="AP194" i="4"/>
  <c r="AQ194" i="4"/>
  <c r="AS194" i="4"/>
  <c r="AT194" i="4"/>
  <c r="AM195" i="4"/>
  <c r="AN195" i="4"/>
  <c r="AP195" i="4"/>
  <c r="AQ195" i="4"/>
  <c r="AS195" i="4"/>
  <c r="AT195" i="4"/>
  <c r="AM196" i="4"/>
  <c r="AN196" i="4"/>
  <c r="AP196" i="4"/>
  <c r="AQ196" i="4"/>
  <c r="AS196" i="4"/>
  <c r="AT196" i="4"/>
  <c r="AM197" i="4"/>
  <c r="AN197" i="4"/>
  <c r="AP197" i="4"/>
  <c r="AQ197" i="4"/>
  <c r="AS197" i="4"/>
  <c r="AT197" i="4"/>
  <c r="AM198" i="4"/>
  <c r="AN198" i="4"/>
  <c r="AP198" i="4"/>
  <c r="AQ198" i="4"/>
  <c r="AS198" i="4"/>
  <c r="AT198" i="4"/>
  <c r="AM199" i="4"/>
  <c r="AN199" i="4"/>
  <c r="AP199" i="4"/>
  <c r="AQ199" i="4"/>
  <c r="AS199" i="4"/>
  <c r="AT199" i="4"/>
  <c r="AM200" i="4"/>
  <c r="AN200" i="4"/>
  <c r="AP200" i="4"/>
  <c r="AQ200" i="4"/>
  <c r="AS200" i="4"/>
  <c r="AT200" i="4"/>
  <c r="AM201" i="4"/>
  <c r="AN201" i="4"/>
  <c r="AP201" i="4"/>
  <c r="AQ201" i="4"/>
  <c r="AS201" i="4"/>
  <c r="AT201" i="4"/>
  <c r="AM202" i="4"/>
  <c r="AN202" i="4"/>
  <c r="AP202" i="4"/>
  <c r="AQ202" i="4"/>
  <c r="AS202" i="4"/>
  <c r="AT202" i="4"/>
  <c r="AM203" i="4"/>
  <c r="AN203" i="4"/>
  <c r="AP203" i="4"/>
  <c r="AQ203" i="4"/>
  <c r="AS203" i="4"/>
  <c r="AT203" i="4"/>
  <c r="AM204" i="4"/>
  <c r="AN204" i="4"/>
  <c r="AP204" i="4"/>
  <c r="AQ204" i="4"/>
  <c r="AS204" i="4"/>
  <c r="AT204" i="4"/>
  <c r="AM205" i="4"/>
  <c r="AN205" i="4"/>
  <c r="AP205" i="4"/>
  <c r="AQ205" i="4"/>
  <c r="AS205" i="4"/>
  <c r="AT205" i="4"/>
  <c r="AM206" i="4"/>
  <c r="AN206" i="4"/>
  <c r="AP206" i="4"/>
  <c r="AQ206" i="4"/>
  <c r="AS206" i="4"/>
  <c r="AT206" i="4"/>
  <c r="AM207" i="4"/>
  <c r="AN207" i="4"/>
  <c r="AP207" i="4"/>
  <c r="AQ207" i="4"/>
  <c r="AS207" i="4"/>
  <c r="AT207" i="4"/>
  <c r="AM208" i="4"/>
  <c r="AN208" i="4"/>
  <c r="AP208" i="4"/>
  <c r="AQ208" i="4"/>
  <c r="AS208" i="4"/>
  <c r="AT208" i="4"/>
  <c r="AM209" i="4"/>
  <c r="AN209" i="4"/>
  <c r="AP209" i="4"/>
  <c r="AQ209" i="4"/>
  <c r="AS209" i="4"/>
  <c r="AT209" i="4"/>
  <c r="AM210" i="4"/>
  <c r="AN210" i="4"/>
  <c r="AP210" i="4"/>
  <c r="AQ210" i="4"/>
  <c r="AS210" i="4"/>
  <c r="AT210" i="4"/>
  <c r="AM211" i="4"/>
  <c r="AN211" i="4"/>
  <c r="AP211" i="4"/>
  <c r="AQ211" i="4"/>
  <c r="AS211" i="4"/>
  <c r="AT211" i="4"/>
  <c r="AM212" i="4"/>
  <c r="AN212" i="4"/>
  <c r="AP212" i="4"/>
  <c r="AQ212" i="4"/>
  <c r="AS212" i="4"/>
  <c r="AT212" i="4"/>
  <c r="AM213" i="4"/>
  <c r="AN213" i="4"/>
  <c r="AP213" i="4"/>
  <c r="AQ213" i="4"/>
  <c r="AS213" i="4"/>
  <c r="AT213" i="4"/>
  <c r="AM214" i="4"/>
  <c r="AN214" i="4"/>
  <c r="AP214" i="4"/>
  <c r="AQ214" i="4"/>
  <c r="AS214" i="4"/>
  <c r="AT214" i="4"/>
  <c r="AM215" i="4"/>
  <c r="AN215" i="4"/>
  <c r="AP215" i="4"/>
  <c r="AQ215" i="4"/>
  <c r="AS215" i="4"/>
  <c r="AT215" i="4"/>
  <c r="AM216" i="4"/>
  <c r="AN216" i="4"/>
  <c r="AP216" i="4"/>
  <c r="AQ216" i="4"/>
  <c r="AS216" i="4"/>
  <c r="AT216" i="4"/>
  <c r="AM217" i="4"/>
  <c r="AN217" i="4"/>
  <c r="AP217" i="4"/>
  <c r="AQ217" i="4"/>
  <c r="AS217" i="4"/>
  <c r="AT217" i="4"/>
  <c r="AM218" i="4"/>
  <c r="AN218" i="4"/>
  <c r="AP218" i="4"/>
  <c r="AQ218" i="4"/>
  <c r="AS218" i="4"/>
  <c r="AT218" i="4"/>
  <c r="AM219" i="4"/>
  <c r="AN219" i="4"/>
  <c r="AP219" i="4"/>
  <c r="AQ219" i="4"/>
  <c r="AS219" i="4"/>
  <c r="AT219" i="4"/>
  <c r="AM220" i="4"/>
  <c r="AN220" i="4"/>
  <c r="AP220" i="4"/>
  <c r="AQ220" i="4"/>
  <c r="AS220" i="4"/>
  <c r="AT220" i="4"/>
  <c r="AM221" i="4"/>
  <c r="AN221" i="4"/>
  <c r="AP221" i="4"/>
  <c r="AQ221" i="4"/>
  <c r="AS221" i="4"/>
  <c r="AT221" i="4"/>
  <c r="AM222" i="4"/>
  <c r="AN222" i="4"/>
  <c r="AP222" i="4"/>
  <c r="AQ222" i="4"/>
  <c r="AS222" i="4"/>
  <c r="AT222" i="4"/>
  <c r="AM223" i="4"/>
  <c r="AN223" i="4"/>
  <c r="AP223" i="4"/>
  <c r="AQ223" i="4"/>
  <c r="AS223" i="4"/>
  <c r="AT223" i="4"/>
  <c r="AM224" i="4"/>
  <c r="AN224" i="4"/>
  <c r="AP224" i="4"/>
  <c r="AQ224" i="4"/>
  <c r="AS224" i="4"/>
  <c r="AT224" i="4"/>
  <c r="AM225" i="4"/>
  <c r="AN225" i="4"/>
  <c r="AP225" i="4"/>
  <c r="AQ225" i="4"/>
  <c r="AS225" i="4"/>
  <c r="AT225" i="4"/>
  <c r="AM226" i="4"/>
  <c r="AN226" i="4"/>
  <c r="AP226" i="4"/>
  <c r="AQ226" i="4"/>
  <c r="AS226" i="4"/>
  <c r="AT226" i="4"/>
  <c r="AM227" i="4"/>
  <c r="AN227" i="4"/>
  <c r="AP227" i="4"/>
  <c r="AQ227" i="4"/>
  <c r="AS227" i="4"/>
  <c r="AT227" i="4"/>
  <c r="AM228" i="4"/>
  <c r="AN228" i="4"/>
  <c r="AP228" i="4"/>
  <c r="AQ228" i="4"/>
  <c r="AS228" i="4"/>
  <c r="AT228" i="4"/>
  <c r="AM229" i="4"/>
  <c r="AN229" i="4"/>
  <c r="AP229" i="4"/>
  <c r="AQ229" i="4"/>
  <c r="AS229" i="4"/>
  <c r="AT229" i="4"/>
  <c r="AM230" i="4"/>
  <c r="AN230" i="4"/>
  <c r="AP230" i="4"/>
  <c r="AQ230" i="4"/>
  <c r="AS230" i="4"/>
  <c r="AT230" i="4"/>
  <c r="AM231" i="4"/>
  <c r="AN231" i="4"/>
  <c r="AP231" i="4"/>
  <c r="AQ231" i="4"/>
  <c r="AS231" i="4"/>
  <c r="AT231" i="4"/>
  <c r="AM232" i="4"/>
  <c r="AN232" i="4"/>
  <c r="AP232" i="4"/>
  <c r="AQ232" i="4"/>
  <c r="AS232" i="4"/>
  <c r="AT232" i="4"/>
  <c r="AM233" i="4"/>
  <c r="AN233" i="4"/>
  <c r="AP233" i="4"/>
  <c r="AQ233" i="4"/>
  <c r="AS233" i="4"/>
  <c r="AT233" i="4"/>
  <c r="AM234" i="4"/>
  <c r="AN234" i="4"/>
  <c r="AP234" i="4"/>
  <c r="AQ234" i="4"/>
  <c r="AS234" i="4"/>
  <c r="AT234" i="4"/>
  <c r="AM235" i="4"/>
  <c r="AN235" i="4"/>
  <c r="AP235" i="4"/>
  <c r="AQ235" i="4"/>
  <c r="AS235" i="4"/>
  <c r="AT235" i="4"/>
  <c r="AM236" i="4"/>
  <c r="AN236" i="4"/>
  <c r="AP236" i="4"/>
  <c r="AQ236" i="4"/>
  <c r="AS236" i="4"/>
  <c r="AT236" i="4"/>
  <c r="AM237" i="4"/>
  <c r="AN237" i="4"/>
  <c r="AP237" i="4"/>
  <c r="AQ237" i="4"/>
  <c r="AS237" i="4"/>
  <c r="AT237" i="4"/>
  <c r="AM238" i="4"/>
  <c r="AN238" i="4"/>
  <c r="AP238" i="4"/>
  <c r="AQ238" i="4"/>
  <c r="AS238" i="4"/>
  <c r="AT238" i="4"/>
  <c r="AM239" i="4"/>
  <c r="AN239" i="4"/>
  <c r="AP239" i="4"/>
  <c r="AQ239" i="4"/>
  <c r="AS239" i="4"/>
  <c r="AT239" i="4"/>
  <c r="AM240" i="4"/>
  <c r="AN240" i="4"/>
  <c r="AP240" i="4"/>
  <c r="AQ240" i="4"/>
  <c r="AS240" i="4"/>
  <c r="AT240" i="4"/>
  <c r="AM241" i="4"/>
  <c r="AN241" i="4"/>
  <c r="AP241" i="4"/>
  <c r="AQ241" i="4"/>
  <c r="AS241" i="4"/>
  <c r="AT241" i="4"/>
  <c r="AM242" i="4"/>
  <c r="AN242" i="4"/>
  <c r="AP242" i="4"/>
  <c r="AQ242" i="4"/>
  <c r="AS242" i="4"/>
  <c r="AT242" i="4"/>
  <c r="AM243" i="4"/>
  <c r="AN243" i="4"/>
  <c r="AP243" i="4"/>
  <c r="AQ243" i="4"/>
  <c r="AS243" i="4"/>
  <c r="AT243" i="4"/>
  <c r="AM244" i="4"/>
  <c r="AN244" i="4"/>
  <c r="AP244" i="4"/>
  <c r="AQ244" i="4"/>
  <c r="AS244" i="4"/>
  <c r="AT244" i="4"/>
  <c r="AM245" i="4"/>
  <c r="AN245" i="4"/>
  <c r="AP245" i="4"/>
  <c r="AQ245" i="4"/>
  <c r="AS245" i="4"/>
  <c r="AT245" i="4"/>
  <c r="AM246" i="4"/>
  <c r="AN246" i="4"/>
  <c r="AP246" i="4"/>
  <c r="AQ246" i="4"/>
  <c r="AS246" i="4"/>
  <c r="AT246" i="4"/>
  <c r="AM247" i="4"/>
  <c r="AN247" i="4"/>
  <c r="AP247" i="4"/>
  <c r="AQ247" i="4"/>
  <c r="AS247" i="4"/>
  <c r="AT247" i="4"/>
  <c r="AM248" i="4"/>
  <c r="AN248" i="4"/>
  <c r="AP248" i="4"/>
  <c r="AQ248" i="4"/>
  <c r="AS248" i="4"/>
  <c r="AT248" i="4"/>
  <c r="AM249" i="4"/>
  <c r="AN249" i="4"/>
  <c r="AP249" i="4"/>
  <c r="AQ249" i="4"/>
  <c r="AS249" i="4"/>
  <c r="AT249" i="4"/>
  <c r="AM250" i="4"/>
  <c r="AN250" i="4"/>
  <c r="AP250" i="4"/>
  <c r="AQ250" i="4"/>
  <c r="AS250" i="4"/>
  <c r="AT250" i="4"/>
  <c r="AM251" i="4"/>
  <c r="AN251" i="4"/>
  <c r="AP251" i="4"/>
  <c r="AQ251" i="4"/>
  <c r="AS251" i="4"/>
  <c r="AT251" i="4"/>
  <c r="AM252" i="4"/>
  <c r="AN252" i="4"/>
  <c r="AP252" i="4"/>
  <c r="AQ252" i="4"/>
  <c r="AS252" i="4"/>
  <c r="AT252" i="4"/>
  <c r="AM253" i="4"/>
  <c r="AN253" i="4"/>
  <c r="AP253" i="4"/>
  <c r="AQ253" i="4"/>
  <c r="AS253" i="4"/>
  <c r="AT253" i="4"/>
  <c r="AM254" i="4"/>
  <c r="AN254" i="4"/>
  <c r="AP254" i="4"/>
  <c r="AQ254" i="4"/>
  <c r="AS254" i="4"/>
  <c r="AT254" i="4"/>
  <c r="AM255" i="4"/>
  <c r="AN255" i="4"/>
  <c r="AP255" i="4"/>
  <c r="AQ255" i="4"/>
  <c r="AS255" i="4"/>
  <c r="AT255" i="4"/>
  <c r="AM256" i="4"/>
  <c r="AN256" i="4"/>
  <c r="AP256" i="4"/>
  <c r="AQ256" i="4"/>
  <c r="AS256" i="4"/>
  <c r="AT256" i="4"/>
  <c r="AM257" i="4"/>
  <c r="AN257" i="4"/>
  <c r="AP257" i="4"/>
  <c r="AQ257" i="4"/>
  <c r="AS257" i="4"/>
  <c r="AT257" i="4"/>
  <c r="AM258" i="4"/>
  <c r="AN258" i="4"/>
  <c r="AP258" i="4"/>
  <c r="AQ258" i="4"/>
  <c r="AS258" i="4"/>
  <c r="AT258" i="4"/>
  <c r="AM259" i="4"/>
  <c r="AN259" i="4"/>
  <c r="AP259" i="4"/>
  <c r="AQ259" i="4"/>
  <c r="AS259" i="4"/>
  <c r="AT259" i="4"/>
  <c r="AM260" i="4"/>
  <c r="AN260" i="4"/>
  <c r="AP260" i="4"/>
  <c r="AQ260" i="4"/>
  <c r="AS260" i="4"/>
  <c r="AT260" i="4"/>
  <c r="AM261" i="4"/>
  <c r="AN261" i="4"/>
  <c r="AP261" i="4"/>
  <c r="AQ261" i="4"/>
  <c r="AS261" i="4"/>
  <c r="AT261" i="4"/>
  <c r="AM262" i="4"/>
  <c r="AN262" i="4"/>
  <c r="AP262" i="4"/>
  <c r="AQ262" i="4"/>
  <c r="AS262" i="4"/>
  <c r="AT262" i="4"/>
  <c r="AM263" i="4"/>
  <c r="AN263" i="4"/>
  <c r="AP263" i="4"/>
  <c r="AQ263" i="4"/>
  <c r="AS263" i="4"/>
  <c r="AT263" i="4"/>
  <c r="AM264" i="4"/>
  <c r="AN264" i="4"/>
  <c r="AP264" i="4"/>
  <c r="AQ264" i="4"/>
  <c r="AS264" i="4"/>
  <c r="AT264" i="4"/>
  <c r="AM265" i="4"/>
  <c r="AN265" i="4"/>
  <c r="AP265" i="4"/>
  <c r="AQ265" i="4"/>
  <c r="AS265" i="4"/>
  <c r="AT265" i="4"/>
  <c r="AM266" i="4"/>
  <c r="AN266" i="4"/>
  <c r="AP266" i="4"/>
  <c r="AQ266" i="4"/>
  <c r="AS266" i="4"/>
  <c r="AT266" i="4"/>
  <c r="AM267" i="4"/>
  <c r="AN267" i="4"/>
  <c r="AP267" i="4"/>
  <c r="AQ267" i="4"/>
  <c r="AS267" i="4"/>
  <c r="AT267" i="4"/>
  <c r="AM268" i="4"/>
  <c r="AN268" i="4"/>
  <c r="AP268" i="4"/>
  <c r="AQ268" i="4"/>
  <c r="AS268" i="4"/>
  <c r="AT268" i="4"/>
  <c r="AM269" i="4"/>
  <c r="AN269" i="4"/>
  <c r="AP269" i="4"/>
  <c r="AQ269" i="4"/>
  <c r="AS269" i="4"/>
  <c r="AT269" i="4"/>
  <c r="AM270" i="4"/>
  <c r="AN270" i="4"/>
  <c r="AP270" i="4"/>
  <c r="AQ270" i="4"/>
  <c r="AS270" i="4"/>
  <c r="AT270" i="4"/>
  <c r="AM271" i="4"/>
  <c r="AN271" i="4"/>
  <c r="AP271" i="4"/>
  <c r="AQ271" i="4"/>
  <c r="AS271" i="4"/>
  <c r="AT271" i="4"/>
  <c r="AM272" i="4"/>
  <c r="AN272" i="4"/>
  <c r="AP272" i="4"/>
  <c r="AQ272" i="4"/>
  <c r="AS272" i="4"/>
  <c r="AT272" i="4"/>
  <c r="AM273" i="4"/>
  <c r="AN273" i="4"/>
  <c r="AP273" i="4"/>
  <c r="AQ273" i="4"/>
  <c r="AS273" i="4"/>
  <c r="AT273" i="4"/>
  <c r="AM274" i="4"/>
  <c r="AN274" i="4"/>
  <c r="AP274" i="4"/>
  <c r="AQ274" i="4"/>
  <c r="AS274" i="4"/>
  <c r="AT274" i="4"/>
  <c r="AM275" i="4"/>
  <c r="AN275" i="4"/>
  <c r="AP275" i="4"/>
  <c r="AQ275" i="4"/>
  <c r="AS275" i="4"/>
  <c r="AT275" i="4"/>
  <c r="AM276" i="4"/>
  <c r="AN276" i="4"/>
  <c r="AP276" i="4"/>
  <c r="AQ276" i="4"/>
  <c r="AS276" i="4"/>
  <c r="AT276" i="4"/>
  <c r="AM277" i="4"/>
  <c r="AN277" i="4"/>
  <c r="AP277" i="4"/>
  <c r="AQ277" i="4"/>
  <c r="AS277" i="4"/>
  <c r="AT277" i="4"/>
  <c r="AM278" i="4"/>
  <c r="AN278" i="4"/>
  <c r="AP278" i="4"/>
  <c r="AQ278" i="4"/>
  <c r="AS278" i="4"/>
  <c r="AT278" i="4"/>
  <c r="AM279" i="4"/>
  <c r="AN279" i="4"/>
  <c r="AP279" i="4"/>
  <c r="AQ279" i="4"/>
  <c r="AS279" i="4"/>
  <c r="AT279" i="4"/>
  <c r="AM280" i="4"/>
  <c r="AN280" i="4"/>
  <c r="AP280" i="4"/>
  <c r="AQ280" i="4"/>
  <c r="AS280" i="4"/>
  <c r="AT280" i="4"/>
  <c r="AM281" i="4"/>
  <c r="AN281" i="4"/>
  <c r="AP281" i="4"/>
  <c r="AQ281" i="4"/>
  <c r="AS281" i="4"/>
  <c r="AT281" i="4"/>
  <c r="AM282" i="4"/>
  <c r="AN282" i="4"/>
  <c r="AP282" i="4"/>
  <c r="AQ282" i="4"/>
  <c r="AS282" i="4"/>
  <c r="AT282" i="4"/>
  <c r="AM283" i="4"/>
  <c r="AN283" i="4"/>
  <c r="AP283" i="4"/>
  <c r="AQ283" i="4"/>
  <c r="AS283" i="4"/>
  <c r="AT283" i="4"/>
  <c r="AM284" i="4"/>
  <c r="AN284" i="4"/>
  <c r="AP284" i="4"/>
  <c r="AQ284" i="4"/>
  <c r="AS284" i="4"/>
  <c r="AT284" i="4"/>
  <c r="AM285" i="4"/>
  <c r="AN285" i="4"/>
  <c r="AP285" i="4"/>
  <c r="AQ285" i="4"/>
  <c r="AS285" i="4"/>
  <c r="AT285" i="4"/>
  <c r="AM286" i="4"/>
  <c r="AN286" i="4"/>
  <c r="AP286" i="4"/>
  <c r="AQ286" i="4"/>
  <c r="AS286" i="4"/>
  <c r="AT286" i="4"/>
  <c r="AM287" i="4"/>
  <c r="AN287" i="4"/>
  <c r="AP287" i="4"/>
  <c r="AQ287" i="4"/>
  <c r="AS287" i="4"/>
  <c r="AT287" i="4"/>
  <c r="AM288" i="4"/>
  <c r="AN288" i="4"/>
  <c r="AP288" i="4"/>
  <c r="AQ288" i="4"/>
  <c r="AS288" i="4"/>
  <c r="AT288" i="4"/>
  <c r="AM289" i="4"/>
  <c r="AN289" i="4"/>
  <c r="AP289" i="4"/>
  <c r="AQ289" i="4"/>
  <c r="AS289" i="4"/>
  <c r="AT289" i="4"/>
  <c r="AM290" i="4"/>
  <c r="AN290" i="4"/>
  <c r="AP290" i="4"/>
  <c r="AQ290" i="4"/>
  <c r="AS290" i="4"/>
  <c r="AT290" i="4"/>
  <c r="AM291" i="4"/>
  <c r="AN291" i="4"/>
  <c r="AP291" i="4"/>
  <c r="AQ291" i="4"/>
  <c r="AS291" i="4"/>
  <c r="AT291" i="4"/>
  <c r="AM292" i="4"/>
  <c r="AN292" i="4"/>
  <c r="AP292" i="4"/>
  <c r="AQ292" i="4"/>
  <c r="AS292" i="4"/>
  <c r="AT292" i="4"/>
  <c r="AM293" i="4"/>
  <c r="AN293" i="4"/>
  <c r="AP293" i="4"/>
  <c r="AQ293" i="4"/>
  <c r="AS293" i="4"/>
  <c r="AT293" i="4"/>
  <c r="AM294" i="4"/>
  <c r="AN294" i="4"/>
  <c r="AP294" i="4"/>
  <c r="AQ294" i="4"/>
  <c r="AS294" i="4"/>
  <c r="AT294" i="4"/>
  <c r="AM295" i="4"/>
  <c r="AN295" i="4"/>
  <c r="AP295" i="4"/>
  <c r="AQ295" i="4"/>
  <c r="AS295" i="4"/>
  <c r="AT295" i="4"/>
  <c r="AT3" i="4"/>
  <c r="AS3" i="4"/>
  <c r="AQ3" i="4"/>
  <c r="AP3" i="4"/>
  <c r="AN3" i="4"/>
  <c r="AM3" i="4"/>
  <c r="AD4" i="4"/>
  <c r="AE4" i="4"/>
  <c r="AG4" i="4"/>
  <c r="AH4" i="4"/>
  <c r="AJ4" i="4"/>
  <c r="AK4" i="4"/>
  <c r="AD5" i="4"/>
  <c r="AE5" i="4"/>
  <c r="AG5" i="4"/>
  <c r="AH5" i="4"/>
  <c r="AJ5" i="4"/>
  <c r="AK5" i="4"/>
  <c r="AD6" i="4"/>
  <c r="AE6" i="4"/>
  <c r="AG6" i="4"/>
  <c r="AH6" i="4"/>
  <c r="AJ6" i="4"/>
  <c r="AK6" i="4"/>
  <c r="AD7" i="4"/>
  <c r="AE7" i="4"/>
  <c r="AG7" i="4"/>
  <c r="AH7" i="4"/>
  <c r="AJ7" i="4"/>
  <c r="AK7" i="4"/>
  <c r="AD8" i="4"/>
  <c r="AE8" i="4"/>
  <c r="AG8" i="4"/>
  <c r="AH8" i="4"/>
  <c r="AJ8" i="4"/>
  <c r="AK8" i="4"/>
  <c r="AD9" i="4"/>
  <c r="AE9" i="4"/>
  <c r="AG9" i="4"/>
  <c r="AH9" i="4"/>
  <c r="AJ9" i="4"/>
  <c r="AK9" i="4"/>
  <c r="AD10" i="4"/>
  <c r="AE10" i="4"/>
  <c r="AG10" i="4"/>
  <c r="AH10" i="4"/>
  <c r="AJ10" i="4"/>
  <c r="AK10" i="4"/>
  <c r="AD11" i="4"/>
  <c r="AE11" i="4"/>
  <c r="AG11" i="4"/>
  <c r="AH11" i="4"/>
  <c r="AJ11" i="4"/>
  <c r="AK11" i="4"/>
  <c r="AD12" i="4"/>
  <c r="AE12" i="4"/>
  <c r="AG12" i="4"/>
  <c r="AH12" i="4"/>
  <c r="AJ12" i="4"/>
  <c r="AK12" i="4"/>
  <c r="AD13" i="4"/>
  <c r="AE13" i="4"/>
  <c r="AG13" i="4"/>
  <c r="AH13" i="4"/>
  <c r="AJ13" i="4"/>
  <c r="AK13" i="4"/>
  <c r="AD14" i="4"/>
  <c r="AE14" i="4"/>
  <c r="AG14" i="4"/>
  <c r="AH14" i="4"/>
  <c r="AJ14" i="4"/>
  <c r="AK14" i="4"/>
  <c r="AD15" i="4"/>
  <c r="AE15" i="4"/>
  <c r="AG15" i="4"/>
  <c r="AH15" i="4"/>
  <c r="AJ15" i="4"/>
  <c r="AK15" i="4"/>
  <c r="AD16" i="4"/>
  <c r="AE16" i="4"/>
  <c r="AG16" i="4"/>
  <c r="AH16" i="4"/>
  <c r="AJ16" i="4"/>
  <c r="AK16" i="4"/>
  <c r="AD17" i="4"/>
  <c r="AE17" i="4"/>
  <c r="AG17" i="4"/>
  <c r="AH17" i="4"/>
  <c r="AJ17" i="4"/>
  <c r="AK17" i="4"/>
  <c r="AD18" i="4"/>
  <c r="AE18" i="4"/>
  <c r="AG18" i="4"/>
  <c r="AH18" i="4"/>
  <c r="AJ18" i="4"/>
  <c r="AK18" i="4"/>
  <c r="AD19" i="4"/>
  <c r="AE19" i="4"/>
  <c r="AG19" i="4"/>
  <c r="AH19" i="4"/>
  <c r="AJ19" i="4"/>
  <c r="AK19" i="4"/>
  <c r="AD20" i="4"/>
  <c r="AE20" i="4"/>
  <c r="AG20" i="4"/>
  <c r="AH20" i="4"/>
  <c r="AJ20" i="4"/>
  <c r="AK20" i="4"/>
  <c r="AD21" i="4"/>
  <c r="AE21" i="4"/>
  <c r="AG21" i="4"/>
  <c r="AH21" i="4"/>
  <c r="AJ21" i="4"/>
  <c r="AK21" i="4"/>
  <c r="AD22" i="4"/>
  <c r="AE22" i="4"/>
  <c r="AG22" i="4"/>
  <c r="AH22" i="4"/>
  <c r="AJ22" i="4"/>
  <c r="AK22" i="4"/>
  <c r="AD23" i="4"/>
  <c r="AE23" i="4"/>
  <c r="AG23" i="4"/>
  <c r="AH23" i="4"/>
  <c r="AJ23" i="4"/>
  <c r="AK23" i="4"/>
  <c r="AD24" i="4"/>
  <c r="AE24" i="4"/>
  <c r="AG24" i="4"/>
  <c r="AH24" i="4"/>
  <c r="AJ24" i="4"/>
  <c r="AK24" i="4"/>
  <c r="AD25" i="4"/>
  <c r="AE25" i="4"/>
  <c r="AG25" i="4"/>
  <c r="AH25" i="4"/>
  <c r="AJ25" i="4"/>
  <c r="AK25" i="4"/>
  <c r="AD26" i="4"/>
  <c r="AE26" i="4"/>
  <c r="AG26" i="4"/>
  <c r="AH26" i="4"/>
  <c r="AJ26" i="4"/>
  <c r="AK26" i="4"/>
  <c r="AD27" i="4"/>
  <c r="AE27" i="4"/>
  <c r="AG27" i="4"/>
  <c r="AH27" i="4"/>
  <c r="AJ27" i="4"/>
  <c r="AK27" i="4"/>
  <c r="AD28" i="4"/>
  <c r="AE28" i="4"/>
  <c r="AG28" i="4"/>
  <c r="AH28" i="4"/>
  <c r="AJ28" i="4"/>
  <c r="AK28" i="4"/>
  <c r="AD29" i="4"/>
  <c r="AE29" i="4"/>
  <c r="AG29" i="4"/>
  <c r="AH29" i="4"/>
  <c r="AJ29" i="4"/>
  <c r="AK29" i="4"/>
  <c r="AD30" i="4"/>
  <c r="AE30" i="4"/>
  <c r="AG30" i="4"/>
  <c r="AH30" i="4"/>
  <c r="AJ30" i="4"/>
  <c r="AK30" i="4"/>
  <c r="AD31" i="4"/>
  <c r="AE31" i="4"/>
  <c r="AG31" i="4"/>
  <c r="AH31" i="4"/>
  <c r="AJ31" i="4"/>
  <c r="AK31" i="4"/>
  <c r="AD32" i="4"/>
  <c r="AE32" i="4"/>
  <c r="AG32" i="4"/>
  <c r="AH32" i="4"/>
  <c r="AJ32" i="4"/>
  <c r="AK32" i="4"/>
  <c r="AD33" i="4"/>
  <c r="AE33" i="4"/>
  <c r="AG33" i="4"/>
  <c r="AH33" i="4"/>
  <c r="AJ33" i="4"/>
  <c r="AK33" i="4"/>
  <c r="AD34" i="4"/>
  <c r="AE34" i="4"/>
  <c r="AG34" i="4"/>
  <c r="AH34" i="4"/>
  <c r="AJ34" i="4"/>
  <c r="AK34" i="4"/>
  <c r="AD35" i="4"/>
  <c r="AE35" i="4"/>
  <c r="AG35" i="4"/>
  <c r="AH35" i="4"/>
  <c r="AJ35" i="4"/>
  <c r="AK35" i="4"/>
  <c r="AD36" i="4"/>
  <c r="AE36" i="4"/>
  <c r="AG36" i="4"/>
  <c r="AH36" i="4"/>
  <c r="AJ36" i="4"/>
  <c r="AK36" i="4"/>
  <c r="AD37" i="4"/>
  <c r="AE37" i="4"/>
  <c r="AG37" i="4"/>
  <c r="AH37" i="4"/>
  <c r="AJ37" i="4"/>
  <c r="AK37" i="4"/>
  <c r="AD38" i="4"/>
  <c r="AE38" i="4"/>
  <c r="AG38" i="4"/>
  <c r="AH38" i="4"/>
  <c r="AJ38" i="4"/>
  <c r="AK38" i="4"/>
  <c r="AD39" i="4"/>
  <c r="AE39" i="4"/>
  <c r="AG39" i="4"/>
  <c r="AH39" i="4"/>
  <c r="AJ39" i="4"/>
  <c r="AK39" i="4"/>
  <c r="AD40" i="4"/>
  <c r="AE40" i="4"/>
  <c r="AG40" i="4"/>
  <c r="AH40" i="4"/>
  <c r="AJ40" i="4"/>
  <c r="AK40" i="4"/>
  <c r="AD41" i="4"/>
  <c r="AE41" i="4"/>
  <c r="AG41" i="4"/>
  <c r="AH41" i="4"/>
  <c r="AJ41" i="4"/>
  <c r="AK41" i="4"/>
  <c r="AD42" i="4"/>
  <c r="AE42" i="4"/>
  <c r="AG42" i="4"/>
  <c r="AH42" i="4"/>
  <c r="AJ42" i="4"/>
  <c r="AK42" i="4"/>
  <c r="AD43" i="4"/>
  <c r="AE43" i="4"/>
  <c r="AG43" i="4"/>
  <c r="AH43" i="4"/>
  <c r="AJ43" i="4"/>
  <c r="AK43" i="4"/>
  <c r="AD44" i="4"/>
  <c r="AE44" i="4"/>
  <c r="AG44" i="4"/>
  <c r="AH44" i="4"/>
  <c r="AJ44" i="4"/>
  <c r="AK44" i="4"/>
  <c r="AD45" i="4"/>
  <c r="AE45" i="4"/>
  <c r="AG45" i="4"/>
  <c r="AH45" i="4"/>
  <c r="AJ45" i="4"/>
  <c r="AK45" i="4"/>
  <c r="AD46" i="4"/>
  <c r="AE46" i="4"/>
  <c r="AG46" i="4"/>
  <c r="AH46" i="4"/>
  <c r="AJ46" i="4"/>
  <c r="AK46" i="4"/>
  <c r="AD47" i="4"/>
  <c r="AE47" i="4"/>
  <c r="AG47" i="4"/>
  <c r="AH47" i="4"/>
  <c r="AJ47" i="4"/>
  <c r="AK47" i="4"/>
  <c r="AD48" i="4"/>
  <c r="AE48" i="4"/>
  <c r="AG48" i="4"/>
  <c r="AH48" i="4"/>
  <c r="AJ48" i="4"/>
  <c r="AK48" i="4"/>
  <c r="AD49" i="4"/>
  <c r="AE49" i="4"/>
  <c r="AG49" i="4"/>
  <c r="AH49" i="4"/>
  <c r="AJ49" i="4"/>
  <c r="AK49" i="4"/>
  <c r="AD50" i="4"/>
  <c r="AE50" i="4"/>
  <c r="AG50" i="4"/>
  <c r="AH50" i="4"/>
  <c r="AJ50" i="4"/>
  <c r="AK50" i="4"/>
  <c r="AD51" i="4"/>
  <c r="AE51" i="4"/>
  <c r="AG51" i="4"/>
  <c r="AH51" i="4"/>
  <c r="AJ51" i="4"/>
  <c r="AK51" i="4"/>
  <c r="AD52" i="4"/>
  <c r="AE52" i="4"/>
  <c r="AG52" i="4"/>
  <c r="AH52" i="4"/>
  <c r="AJ52" i="4"/>
  <c r="AK52" i="4"/>
  <c r="AD53" i="4"/>
  <c r="AE53" i="4"/>
  <c r="AG53" i="4"/>
  <c r="AH53" i="4"/>
  <c r="AJ53" i="4"/>
  <c r="AK53" i="4"/>
  <c r="AD54" i="4"/>
  <c r="AE54" i="4"/>
  <c r="AG54" i="4"/>
  <c r="AH54" i="4"/>
  <c r="AJ54" i="4"/>
  <c r="AK54" i="4"/>
  <c r="AD55" i="4"/>
  <c r="AE55" i="4"/>
  <c r="AG55" i="4"/>
  <c r="AH55" i="4"/>
  <c r="AJ55" i="4"/>
  <c r="AK55" i="4"/>
  <c r="AD56" i="4"/>
  <c r="AE56" i="4"/>
  <c r="AG56" i="4"/>
  <c r="AH56" i="4"/>
  <c r="AJ56" i="4"/>
  <c r="AK56" i="4"/>
  <c r="AD57" i="4"/>
  <c r="AE57" i="4"/>
  <c r="AG57" i="4"/>
  <c r="AH57" i="4"/>
  <c r="AJ57" i="4"/>
  <c r="AK57" i="4"/>
  <c r="AD58" i="4"/>
  <c r="AE58" i="4"/>
  <c r="AG58" i="4"/>
  <c r="AH58" i="4"/>
  <c r="AJ58" i="4"/>
  <c r="AK58" i="4"/>
  <c r="AD59" i="4"/>
  <c r="AE59" i="4"/>
  <c r="AG59" i="4"/>
  <c r="AH59" i="4"/>
  <c r="AJ59" i="4"/>
  <c r="AK59" i="4"/>
  <c r="AD60" i="4"/>
  <c r="AE60" i="4"/>
  <c r="AG60" i="4"/>
  <c r="AH60" i="4"/>
  <c r="AJ60" i="4"/>
  <c r="AK60" i="4"/>
  <c r="AD61" i="4"/>
  <c r="AE61" i="4"/>
  <c r="AG61" i="4"/>
  <c r="AH61" i="4"/>
  <c r="AJ61" i="4"/>
  <c r="AK61" i="4"/>
  <c r="AD62" i="4"/>
  <c r="AE62" i="4"/>
  <c r="AG62" i="4"/>
  <c r="AH62" i="4"/>
  <c r="AJ62" i="4"/>
  <c r="AK62" i="4"/>
  <c r="AD63" i="4"/>
  <c r="AE63" i="4"/>
  <c r="AG63" i="4"/>
  <c r="AH63" i="4"/>
  <c r="AJ63" i="4"/>
  <c r="AK63" i="4"/>
  <c r="AD64" i="4"/>
  <c r="AE64" i="4"/>
  <c r="AG64" i="4"/>
  <c r="AH64" i="4"/>
  <c r="AJ64" i="4"/>
  <c r="AK64" i="4"/>
  <c r="AD65" i="4"/>
  <c r="AE65" i="4"/>
  <c r="AG65" i="4"/>
  <c r="AH65" i="4"/>
  <c r="AJ65" i="4"/>
  <c r="AK65" i="4"/>
  <c r="AD66" i="4"/>
  <c r="AE66" i="4"/>
  <c r="AG66" i="4"/>
  <c r="AH66" i="4"/>
  <c r="AJ66" i="4"/>
  <c r="AK66" i="4"/>
  <c r="AD67" i="4"/>
  <c r="AE67" i="4"/>
  <c r="AG67" i="4"/>
  <c r="AH67" i="4"/>
  <c r="AJ67" i="4"/>
  <c r="AK67" i="4"/>
  <c r="AD68" i="4"/>
  <c r="AE68" i="4"/>
  <c r="AG68" i="4"/>
  <c r="AH68" i="4"/>
  <c r="AJ68" i="4"/>
  <c r="AK68" i="4"/>
  <c r="AD69" i="4"/>
  <c r="AE69" i="4"/>
  <c r="AG69" i="4"/>
  <c r="AH69" i="4"/>
  <c r="AJ69" i="4"/>
  <c r="AK69" i="4"/>
  <c r="AD70" i="4"/>
  <c r="AE70" i="4"/>
  <c r="AG70" i="4"/>
  <c r="AH70" i="4"/>
  <c r="AJ70" i="4"/>
  <c r="AK70" i="4"/>
  <c r="AD71" i="4"/>
  <c r="AE71" i="4"/>
  <c r="AG71" i="4"/>
  <c r="AH71" i="4"/>
  <c r="AJ71" i="4"/>
  <c r="AK71" i="4"/>
  <c r="AD72" i="4"/>
  <c r="AE72" i="4"/>
  <c r="AG72" i="4"/>
  <c r="AH72" i="4"/>
  <c r="AJ72" i="4"/>
  <c r="AK72" i="4"/>
  <c r="AD73" i="4"/>
  <c r="AE73" i="4"/>
  <c r="AG73" i="4"/>
  <c r="AH73" i="4"/>
  <c r="AJ73" i="4"/>
  <c r="AK73" i="4"/>
  <c r="AD74" i="4"/>
  <c r="AE74" i="4"/>
  <c r="AG74" i="4"/>
  <c r="AH74" i="4"/>
  <c r="AJ74" i="4"/>
  <c r="AK74" i="4"/>
  <c r="AD75" i="4"/>
  <c r="AE75" i="4"/>
  <c r="AG75" i="4"/>
  <c r="AH75" i="4"/>
  <c r="AJ75" i="4"/>
  <c r="AK75" i="4"/>
  <c r="AD76" i="4"/>
  <c r="AE76" i="4"/>
  <c r="AG76" i="4"/>
  <c r="AH76" i="4"/>
  <c r="AJ76" i="4"/>
  <c r="AK76" i="4"/>
  <c r="AD77" i="4"/>
  <c r="AE77" i="4"/>
  <c r="AG77" i="4"/>
  <c r="AH77" i="4"/>
  <c r="AJ77" i="4"/>
  <c r="AK77" i="4"/>
  <c r="AD78" i="4"/>
  <c r="AE78" i="4"/>
  <c r="AG78" i="4"/>
  <c r="AH78" i="4"/>
  <c r="AJ78" i="4"/>
  <c r="AK78" i="4"/>
  <c r="AD79" i="4"/>
  <c r="AE79" i="4"/>
  <c r="AG79" i="4"/>
  <c r="AH79" i="4"/>
  <c r="AJ79" i="4"/>
  <c r="AK79" i="4"/>
  <c r="AD80" i="4"/>
  <c r="AE80" i="4"/>
  <c r="AG80" i="4"/>
  <c r="AH80" i="4"/>
  <c r="AJ80" i="4"/>
  <c r="AK80" i="4"/>
  <c r="AD81" i="4"/>
  <c r="AE81" i="4"/>
  <c r="AG81" i="4"/>
  <c r="AH81" i="4"/>
  <c r="AJ81" i="4"/>
  <c r="AK81" i="4"/>
  <c r="AD82" i="4"/>
  <c r="AE82" i="4"/>
  <c r="AG82" i="4"/>
  <c r="AH82" i="4"/>
  <c r="AJ82" i="4"/>
  <c r="AK82" i="4"/>
  <c r="AD83" i="4"/>
  <c r="AE83" i="4"/>
  <c r="AG83" i="4"/>
  <c r="AH83" i="4"/>
  <c r="AJ83" i="4"/>
  <c r="AK83" i="4"/>
  <c r="AD84" i="4"/>
  <c r="AE84" i="4"/>
  <c r="AG84" i="4"/>
  <c r="AH84" i="4"/>
  <c r="AJ84" i="4"/>
  <c r="AK84" i="4"/>
  <c r="AD85" i="4"/>
  <c r="AE85" i="4"/>
  <c r="AG85" i="4"/>
  <c r="AH85" i="4"/>
  <c r="AJ85" i="4"/>
  <c r="AK85" i="4"/>
  <c r="AD86" i="4"/>
  <c r="AE86" i="4"/>
  <c r="AG86" i="4"/>
  <c r="AH86" i="4"/>
  <c r="AJ86" i="4"/>
  <c r="AK86" i="4"/>
  <c r="AD87" i="4"/>
  <c r="AE87" i="4"/>
  <c r="AG87" i="4"/>
  <c r="AH87" i="4"/>
  <c r="AJ87" i="4"/>
  <c r="AK87" i="4"/>
  <c r="AD88" i="4"/>
  <c r="AE88" i="4"/>
  <c r="AG88" i="4"/>
  <c r="AH88" i="4"/>
  <c r="AJ88" i="4"/>
  <c r="AK88" i="4"/>
  <c r="AD89" i="4"/>
  <c r="AE89" i="4"/>
  <c r="AG89" i="4"/>
  <c r="AH89" i="4"/>
  <c r="AJ89" i="4"/>
  <c r="AK89" i="4"/>
  <c r="AD90" i="4"/>
  <c r="AE90" i="4"/>
  <c r="AG90" i="4"/>
  <c r="AH90" i="4"/>
  <c r="AJ90" i="4"/>
  <c r="AK90" i="4"/>
  <c r="AD91" i="4"/>
  <c r="AE91" i="4"/>
  <c r="AG91" i="4"/>
  <c r="AH91" i="4"/>
  <c r="AJ91" i="4"/>
  <c r="AK91" i="4"/>
  <c r="AD92" i="4"/>
  <c r="AE92" i="4"/>
  <c r="AG92" i="4"/>
  <c r="AH92" i="4"/>
  <c r="AJ92" i="4"/>
  <c r="AK92" i="4"/>
  <c r="AD93" i="4"/>
  <c r="AE93" i="4"/>
  <c r="AG93" i="4"/>
  <c r="AH93" i="4"/>
  <c r="AJ93" i="4"/>
  <c r="AK93" i="4"/>
  <c r="AD94" i="4"/>
  <c r="AE94" i="4"/>
  <c r="AG94" i="4"/>
  <c r="AH94" i="4"/>
  <c r="AJ94" i="4"/>
  <c r="AK94" i="4"/>
  <c r="AD95" i="4"/>
  <c r="AE95" i="4"/>
  <c r="AG95" i="4"/>
  <c r="AH95" i="4"/>
  <c r="AJ95" i="4"/>
  <c r="AK95" i="4"/>
  <c r="AD96" i="4"/>
  <c r="AE96" i="4"/>
  <c r="AG96" i="4"/>
  <c r="AH96" i="4"/>
  <c r="AJ96" i="4"/>
  <c r="AK96" i="4"/>
  <c r="AD97" i="4"/>
  <c r="AE97" i="4"/>
  <c r="AG97" i="4"/>
  <c r="AH97" i="4"/>
  <c r="AJ97" i="4"/>
  <c r="AK97" i="4"/>
  <c r="AD98" i="4"/>
  <c r="AE98" i="4"/>
  <c r="AG98" i="4"/>
  <c r="AH98" i="4"/>
  <c r="AJ98" i="4"/>
  <c r="AK98" i="4"/>
  <c r="AD99" i="4"/>
  <c r="AE99" i="4"/>
  <c r="AG99" i="4"/>
  <c r="AH99" i="4"/>
  <c r="AJ99" i="4"/>
  <c r="AK99" i="4"/>
  <c r="AD100" i="4"/>
  <c r="AE100" i="4"/>
  <c r="AG100" i="4"/>
  <c r="AH100" i="4"/>
  <c r="AJ100" i="4"/>
  <c r="AK100" i="4"/>
  <c r="AD101" i="4"/>
  <c r="AE101" i="4"/>
  <c r="AG101" i="4"/>
  <c r="AH101" i="4"/>
  <c r="AJ101" i="4"/>
  <c r="AK101" i="4"/>
  <c r="AD102" i="4"/>
  <c r="AE102" i="4"/>
  <c r="AG102" i="4"/>
  <c r="AH102" i="4"/>
  <c r="AJ102" i="4"/>
  <c r="AK102" i="4"/>
  <c r="AD103" i="4"/>
  <c r="AE103" i="4"/>
  <c r="AG103" i="4"/>
  <c r="AH103" i="4"/>
  <c r="AJ103" i="4"/>
  <c r="AK103" i="4"/>
  <c r="AD104" i="4"/>
  <c r="AE104" i="4"/>
  <c r="AG104" i="4"/>
  <c r="AH104" i="4"/>
  <c r="AJ104" i="4"/>
  <c r="AK104" i="4"/>
  <c r="AD105" i="4"/>
  <c r="AE105" i="4"/>
  <c r="AG105" i="4"/>
  <c r="AH105" i="4"/>
  <c r="AJ105" i="4"/>
  <c r="AK105" i="4"/>
  <c r="AD106" i="4"/>
  <c r="AE106" i="4"/>
  <c r="AG106" i="4"/>
  <c r="AH106" i="4"/>
  <c r="AJ106" i="4"/>
  <c r="AK106" i="4"/>
  <c r="AD107" i="4"/>
  <c r="AE107" i="4"/>
  <c r="AG107" i="4"/>
  <c r="AH107" i="4"/>
  <c r="AJ107" i="4"/>
  <c r="AK107" i="4"/>
  <c r="AD108" i="4"/>
  <c r="AE108" i="4"/>
  <c r="AG108" i="4"/>
  <c r="AH108" i="4"/>
  <c r="AJ108" i="4"/>
  <c r="AK108" i="4"/>
  <c r="AD109" i="4"/>
  <c r="AE109" i="4"/>
  <c r="AG109" i="4"/>
  <c r="AH109" i="4"/>
  <c r="AJ109" i="4"/>
  <c r="AK109" i="4"/>
  <c r="AD110" i="4"/>
  <c r="AE110" i="4"/>
  <c r="AG110" i="4"/>
  <c r="AH110" i="4"/>
  <c r="AJ110" i="4"/>
  <c r="AK110" i="4"/>
  <c r="AD111" i="4"/>
  <c r="AE111" i="4"/>
  <c r="AG111" i="4"/>
  <c r="AH111" i="4"/>
  <c r="AJ111" i="4"/>
  <c r="AK111" i="4"/>
  <c r="AD112" i="4"/>
  <c r="AE112" i="4"/>
  <c r="AG112" i="4"/>
  <c r="AH112" i="4"/>
  <c r="AJ112" i="4"/>
  <c r="AK112" i="4"/>
  <c r="AD113" i="4"/>
  <c r="AE113" i="4"/>
  <c r="AG113" i="4"/>
  <c r="AH113" i="4"/>
  <c r="AJ113" i="4"/>
  <c r="AK113" i="4"/>
  <c r="AD114" i="4"/>
  <c r="AE114" i="4"/>
  <c r="AG114" i="4"/>
  <c r="AH114" i="4"/>
  <c r="AJ114" i="4"/>
  <c r="AK114" i="4"/>
  <c r="AD115" i="4"/>
  <c r="AE115" i="4"/>
  <c r="AG115" i="4"/>
  <c r="AH115" i="4"/>
  <c r="AJ115" i="4"/>
  <c r="AK115" i="4"/>
  <c r="AD116" i="4"/>
  <c r="AE116" i="4"/>
  <c r="AG116" i="4"/>
  <c r="AH116" i="4"/>
  <c r="AJ116" i="4"/>
  <c r="AK116" i="4"/>
  <c r="AD117" i="4"/>
  <c r="AE117" i="4"/>
  <c r="AG117" i="4"/>
  <c r="AH117" i="4"/>
  <c r="AJ117" i="4"/>
  <c r="AK117" i="4"/>
  <c r="AD118" i="4"/>
  <c r="AE118" i="4"/>
  <c r="AG118" i="4"/>
  <c r="AH118" i="4"/>
  <c r="AJ118" i="4"/>
  <c r="AK118" i="4"/>
  <c r="AD119" i="4"/>
  <c r="AE119" i="4"/>
  <c r="AG119" i="4"/>
  <c r="AH119" i="4"/>
  <c r="AJ119" i="4"/>
  <c r="AK119" i="4"/>
  <c r="AD120" i="4"/>
  <c r="AE120" i="4"/>
  <c r="AG120" i="4"/>
  <c r="AH120" i="4"/>
  <c r="AJ120" i="4"/>
  <c r="AK120" i="4"/>
  <c r="AD121" i="4"/>
  <c r="AE121" i="4"/>
  <c r="AG121" i="4"/>
  <c r="AH121" i="4"/>
  <c r="AJ121" i="4"/>
  <c r="AK121" i="4"/>
  <c r="AD122" i="4"/>
  <c r="AE122" i="4"/>
  <c r="AG122" i="4"/>
  <c r="AH122" i="4"/>
  <c r="AJ122" i="4"/>
  <c r="AK122" i="4"/>
  <c r="AD123" i="4"/>
  <c r="AE123" i="4"/>
  <c r="AG123" i="4"/>
  <c r="AH123" i="4"/>
  <c r="AJ123" i="4"/>
  <c r="AK123" i="4"/>
  <c r="AD124" i="4"/>
  <c r="AE124" i="4"/>
  <c r="AG124" i="4"/>
  <c r="AH124" i="4"/>
  <c r="AJ124" i="4"/>
  <c r="AK124" i="4"/>
  <c r="AD125" i="4"/>
  <c r="AE125" i="4"/>
  <c r="AG125" i="4"/>
  <c r="AH125" i="4"/>
  <c r="AJ125" i="4"/>
  <c r="AK125" i="4"/>
  <c r="AD126" i="4"/>
  <c r="AE126" i="4"/>
  <c r="AG126" i="4"/>
  <c r="AH126" i="4"/>
  <c r="AJ126" i="4"/>
  <c r="AK126" i="4"/>
  <c r="AD127" i="4"/>
  <c r="AE127" i="4"/>
  <c r="AG127" i="4"/>
  <c r="AH127" i="4"/>
  <c r="AJ127" i="4"/>
  <c r="AK127" i="4"/>
  <c r="AD128" i="4"/>
  <c r="AE128" i="4"/>
  <c r="AG128" i="4"/>
  <c r="AH128" i="4"/>
  <c r="AJ128" i="4"/>
  <c r="AK128" i="4"/>
  <c r="AD129" i="4"/>
  <c r="AE129" i="4"/>
  <c r="AG129" i="4"/>
  <c r="AH129" i="4"/>
  <c r="AJ129" i="4"/>
  <c r="AK129" i="4"/>
  <c r="AD130" i="4"/>
  <c r="AE130" i="4"/>
  <c r="AG130" i="4"/>
  <c r="AH130" i="4"/>
  <c r="AJ130" i="4"/>
  <c r="AK130" i="4"/>
  <c r="AD131" i="4"/>
  <c r="AE131" i="4"/>
  <c r="AG131" i="4"/>
  <c r="AH131" i="4"/>
  <c r="AJ131" i="4"/>
  <c r="AK131" i="4"/>
  <c r="AD132" i="4"/>
  <c r="AE132" i="4"/>
  <c r="AG132" i="4"/>
  <c r="AH132" i="4"/>
  <c r="AJ132" i="4"/>
  <c r="AK132" i="4"/>
  <c r="AD133" i="4"/>
  <c r="AE133" i="4"/>
  <c r="AG133" i="4"/>
  <c r="AH133" i="4"/>
  <c r="AJ133" i="4"/>
  <c r="AK133" i="4"/>
  <c r="AD134" i="4"/>
  <c r="AE134" i="4"/>
  <c r="AG134" i="4"/>
  <c r="AH134" i="4"/>
  <c r="AJ134" i="4"/>
  <c r="AK134" i="4"/>
  <c r="AD135" i="4"/>
  <c r="AE135" i="4"/>
  <c r="AG135" i="4"/>
  <c r="AH135" i="4"/>
  <c r="AJ135" i="4"/>
  <c r="AK135" i="4"/>
  <c r="AD136" i="4"/>
  <c r="AE136" i="4"/>
  <c r="AG136" i="4"/>
  <c r="AH136" i="4"/>
  <c r="AJ136" i="4"/>
  <c r="AK136" i="4"/>
  <c r="AD137" i="4"/>
  <c r="AE137" i="4"/>
  <c r="AG137" i="4"/>
  <c r="AH137" i="4"/>
  <c r="AJ137" i="4"/>
  <c r="AK137" i="4"/>
  <c r="AD138" i="4"/>
  <c r="AE138" i="4"/>
  <c r="AG138" i="4"/>
  <c r="AH138" i="4"/>
  <c r="AJ138" i="4"/>
  <c r="AK138" i="4"/>
  <c r="AD139" i="4"/>
  <c r="AE139" i="4"/>
  <c r="AG139" i="4"/>
  <c r="AH139" i="4"/>
  <c r="AJ139" i="4"/>
  <c r="AK139" i="4"/>
  <c r="AD140" i="4"/>
  <c r="AE140" i="4"/>
  <c r="AG140" i="4"/>
  <c r="AH140" i="4"/>
  <c r="AJ140" i="4"/>
  <c r="AK140" i="4"/>
  <c r="AD141" i="4"/>
  <c r="AE141" i="4"/>
  <c r="AG141" i="4"/>
  <c r="AH141" i="4"/>
  <c r="AJ141" i="4"/>
  <c r="AK141" i="4"/>
  <c r="AD142" i="4"/>
  <c r="AE142" i="4"/>
  <c r="AG142" i="4"/>
  <c r="AH142" i="4"/>
  <c r="AJ142" i="4"/>
  <c r="AK142" i="4"/>
  <c r="AD143" i="4"/>
  <c r="AE143" i="4"/>
  <c r="AG143" i="4"/>
  <c r="AH143" i="4"/>
  <c r="AJ143" i="4"/>
  <c r="AK143" i="4"/>
  <c r="AD144" i="4"/>
  <c r="AE144" i="4"/>
  <c r="AG144" i="4"/>
  <c r="AH144" i="4"/>
  <c r="AJ144" i="4"/>
  <c r="AK144" i="4"/>
  <c r="AD145" i="4"/>
  <c r="AE145" i="4"/>
  <c r="AG145" i="4"/>
  <c r="AH145" i="4"/>
  <c r="AJ145" i="4"/>
  <c r="AK145" i="4"/>
  <c r="AD146" i="4"/>
  <c r="AE146" i="4"/>
  <c r="AG146" i="4"/>
  <c r="AH146" i="4"/>
  <c r="AJ146" i="4"/>
  <c r="AK146" i="4"/>
  <c r="AD147" i="4"/>
  <c r="AE147" i="4"/>
  <c r="AG147" i="4"/>
  <c r="AH147" i="4"/>
  <c r="AJ147" i="4"/>
  <c r="AK147" i="4"/>
  <c r="AD148" i="4"/>
  <c r="AE148" i="4"/>
  <c r="AG148" i="4"/>
  <c r="AH148" i="4"/>
  <c r="AJ148" i="4"/>
  <c r="AK148" i="4"/>
  <c r="AD149" i="4"/>
  <c r="AE149" i="4"/>
  <c r="AG149" i="4"/>
  <c r="AH149" i="4"/>
  <c r="AJ149" i="4"/>
  <c r="AK149" i="4"/>
  <c r="AD150" i="4"/>
  <c r="AE150" i="4"/>
  <c r="AG150" i="4"/>
  <c r="AH150" i="4"/>
  <c r="AJ150" i="4"/>
  <c r="AK150" i="4"/>
  <c r="AD151" i="4"/>
  <c r="AE151" i="4"/>
  <c r="AG151" i="4"/>
  <c r="AH151" i="4"/>
  <c r="AJ151" i="4"/>
  <c r="AK151" i="4"/>
  <c r="AD152" i="4"/>
  <c r="AE152" i="4"/>
  <c r="AG152" i="4"/>
  <c r="AH152" i="4"/>
  <c r="AJ152" i="4"/>
  <c r="AK152" i="4"/>
  <c r="AD153" i="4"/>
  <c r="AE153" i="4"/>
  <c r="AG153" i="4"/>
  <c r="AH153" i="4"/>
  <c r="AJ153" i="4"/>
  <c r="AK153" i="4"/>
  <c r="AD154" i="4"/>
  <c r="AE154" i="4"/>
  <c r="AG154" i="4"/>
  <c r="AH154" i="4"/>
  <c r="AJ154" i="4"/>
  <c r="AK154" i="4"/>
  <c r="AD155" i="4"/>
  <c r="AE155" i="4"/>
  <c r="AG155" i="4"/>
  <c r="AH155" i="4"/>
  <c r="AJ155" i="4"/>
  <c r="AK155" i="4"/>
  <c r="AD156" i="4"/>
  <c r="AE156" i="4"/>
  <c r="AG156" i="4"/>
  <c r="AH156" i="4"/>
  <c r="AJ156" i="4"/>
  <c r="AK156" i="4"/>
  <c r="AD157" i="4"/>
  <c r="AE157" i="4"/>
  <c r="AG157" i="4"/>
  <c r="AH157" i="4"/>
  <c r="AJ157" i="4"/>
  <c r="AK157" i="4"/>
  <c r="AD158" i="4"/>
  <c r="AE158" i="4"/>
  <c r="AG158" i="4"/>
  <c r="AH158" i="4"/>
  <c r="AJ158" i="4"/>
  <c r="AK158" i="4"/>
  <c r="AD159" i="4"/>
  <c r="AE159" i="4"/>
  <c r="AG159" i="4"/>
  <c r="AH159" i="4"/>
  <c r="AJ159" i="4"/>
  <c r="AK159" i="4"/>
  <c r="AD160" i="4"/>
  <c r="AE160" i="4"/>
  <c r="AG160" i="4"/>
  <c r="AH160" i="4"/>
  <c r="AJ160" i="4"/>
  <c r="AK160" i="4"/>
  <c r="AD161" i="4"/>
  <c r="AE161" i="4"/>
  <c r="AG161" i="4"/>
  <c r="AH161" i="4"/>
  <c r="AJ161" i="4"/>
  <c r="AK161" i="4"/>
  <c r="AD162" i="4"/>
  <c r="AE162" i="4"/>
  <c r="AG162" i="4"/>
  <c r="AH162" i="4"/>
  <c r="AJ162" i="4"/>
  <c r="AK162" i="4"/>
  <c r="AD163" i="4"/>
  <c r="AE163" i="4"/>
  <c r="AG163" i="4"/>
  <c r="AH163" i="4"/>
  <c r="AJ163" i="4"/>
  <c r="AK163" i="4"/>
  <c r="AD164" i="4"/>
  <c r="AE164" i="4"/>
  <c r="AG164" i="4"/>
  <c r="AH164" i="4"/>
  <c r="AJ164" i="4"/>
  <c r="AK164" i="4"/>
  <c r="AD165" i="4"/>
  <c r="AE165" i="4"/>
  <c r="AG165" i="4"/>
  <c r="AH165" i="4"/>
  <c r="AJ165" i="4"/>
  <c r="AK165" i="4"/>
  <c r="AD166" i="4"/>
  <c r="AE166" i="4"/>
  <c r="AG166" i="4"/>
  <c r="AH166" i="4"/>
  <c r="AJ166" i="4"/>
  <c r="AK166" i="4"/>
  <c r="AD167" i="4"/>
  <c r="AE167" i="4"/>
  <c r="AG167" i="4"/>
  <c r="AH167" i="4"/>
  <c r="AJ167" i="4"/>
  <c r="AK167" i="4"/>
  <c r="AD168" i="4"/>
  <c r="AE168" i="4"/>
  <c r="AG168" i="4"/>
  <c r="AH168" i="4"/>
  <c r="AJ168" i="4"/>
  <c r="AK168" i="4"/>
  <c r="AD169" i="4"/>
  <c r="AE169" i="4"/>
  <c r="AG169" i="4"/>
  <c r="AH169" i="4"/>
  <c r="AJ169" i="4"/>
  <c r="AK169" i="4"/>
  <c r="AD170" i="4"/>
  <c r="AE170" i="4"/>
  <c r="AG170" i="4"/>
  <c r="AH170" i="4"/>
  <c r="AJ170" i="4"/>
  <c r="AK170" i="4"/>
  <c r="AD171" i="4"/>
  <c r="AE171" i="4"/>
  <c r="AG171" i="4"/>
  <c r="AH171" i="4"/>
  <c r="AJ171" i="4"/>
  <c r="AK171" i="4"/>
  <c r="AD172" i="4"/>
  <c r="AE172" i="4"/>
  <c r="AG172" i="4"/>
  <c r="AH172" i="4"/>
  <c r="AJ172" i="4"/>
  <c r="AK172" i="4"/>
  <c r="AD173" i="4"/>
  <c r="AE173" i="4"/>
  <c r="AG173" i="4"/>
  <c r="AH173" i="4"/>
  <c r="AJ173" i="4"/>
  <c r="AK173" i="4"/>
  <c r="AD174" i="4"/>
  <c r="AE174" i="4"/>
  <c r="AG174" i="4"/>
  <c r="AH174" i="4"/>
  <c r="AJ174" i="4"/>
  <c r="AK174" i="4"/>
  <c r="AD175" i="4"/>
  <c r="AE175" i="4"/>
  <c r="AG175" i="4"/>
  <c r="AH175" i="4"/>
  <c r="AJ175" i="4"/>
  <c r="AK175" i="4"/>
  <c r="AD176" i="4"/>
  <c r="AE176" i="4"/>
  <c r="AG176" i="4"/>
  <c r="AH176" i="4"/>
  <c r="AJ176" i="4"/>
  <c r="AK176" i="4"/>
  <c r="AD177" i="4"/>
  <c r="AE177" i="4"/>
  <c r="AG177" i="4"/>
  <c r="AH177" i="4"/>
  <c r="AJ177" i="4"/>
  <c r="AK177" i="4"/>
  <c r="AD178" i="4"/>
  <c r="AE178" i="4"/>
  <c r="AG178" i="4"/>
  <c r="AH178" i="4"/>
  <c r="AJ178" i="4"/>
  <c r="AK178" i="4"/>
  <c r="AD179" i="4"/>
  <c r="AE179" i="4"/>
  <c r="AG179" i="4"/>
  <c r="AH179" i="4"/>
  <c r="AJ179" i="4"/>
  <c r="AK179" i="4"/>
  <c r="AD180" i="4"/>
  <c r="AE180" i="4"/>
  <c r="AG180" i="4"/>
  <c r="AH180" i="4"/>
  <c r="AJ180" i="4"/>
  <c r="AK180" i="4"/>
  <c r="AD181" i="4"/>
  <c r="AE181" i="4"/>
  <c r="AG181" i="4"/>
  <c r="AH181" i="4"/>
  <c r="AJ181" i="4"/>
  <c r="AK181" i="4"/>
  <c r="AD182" i="4"/>
  <c r="AE182" i="4"/>
  <c r="AG182" i="4"/>
  <c r="AH182" i="4"/>
  <c r="AJ182" i="4"/>
  <c r="AK182" i="4"/>
  <c r="AD183" i="4"/>
  <c r="AE183" i="4"/>
  <c r="AG183" i="4"/>
  <c r="AH183" i="4"/>
  <c r="AJ183" i="4"/>
  <c r="AK183" i="4"/>
  <c r="AD184" i="4"/>
  <c r="AE184" i="4"/>
  <c r="AG184" i="4"/>
  <c r="AH184" i="4"/>
  <c r="AJ184" i="4"/>
  <c r="AK184" i="4"/>
  <c r="AD185" i="4"/>
  <c r="AE185" i="4"/>
  <c r="AG185" i="4"/>
  <c r="AH185" i="4"/>
  <c r="AJ185" i="4"/>
  <c r="AK185" i="4"/>
  <c r="AD186" i="4"/>
  <c r="AE186" i="4"/>
  <c r="AG186" i="4"/>
  <c r="AH186" i="4"/>
  <c r="AJ186" i="4"/>
  <c r="AK186" i="4"/>
  <c r="AD187" i="4"/>
  <c r="AE187" i="4"/>
  <c r="AG187" i="4"/>
  <c r="AH187" i="4"/>
  <c r="AJ187" i="4"/>
  <c r="AK187" i="4"/>
  <c r="AD188" i="4"/>
  <c r="AE188" i="4"/>
  <c r="AG188" i="4"/>
  <c r="AH188" i="4"/>
  <c r="AJ188" i="4"/>
  <c r="AK188" i="4"/>
  <c r="AD189" i="4"/>
  <c r="AE189" i="4"/>
  <c r="AG189" i="4"/>
  <c r="AH189" i="4"/>
  <c r="AJ189" i="4"/>
  <c r="AK189" i="4"/>
  <c r="AD190" i="4"/>
  <c r="AE190" i="4"/>
  <c r="AG190" i="4"/>
  <c r="AH190" i="4"/>
  <c r="AJ190" i="4"/>
  <c r="AK190" i="4"/>
  <c r="AD191" i="4"/>
  <c r="AE191" i="4"/>
  <c r="AG191" i="4"/>
  <c r="AH191" i="4"/>
  <c r="AJ191" i="4"/>
  <c r="AK191" i="4"/>
  <c r="AD192" i="4"/>
  <c r="AE192" i="4"/>
  <c r="AG192" i="4"/>
  <c r="AH192" i="4"/>
  <c r="AJ192" i="4"/>
  <c r="AK192" i="4"/>
  <c r="AD193" i="4"/>
  <c r="AE193" i="4"/>
  <c r="AG193" i="4"/>
  <c r="AH193" i="4"/>
  <c r="AJ193" i="4"/>
  <c r="AK193" i="4"/>
  <c r="AD194" i="4"/>
  <c r="AE194" i="4"/>
  <c r="AG194" i="4"/>
  <c r="AH194" i="4"/>
  <c r="AJ194" i="4"/>
  <c r="AK194" i="4"/>
  <c r="AD195" i="4"/>
  <c r="AE195" i="4"/>
  <c r="AG195" i="4"/>
  <c r="AH195" i="4"/>
  <c r="AJ195" i="4"/>
  <c r="AK195" i="4"/>
  <c r="AD196" i="4"/>
  <c r="AE196" i="4"/>
  <c r="AG196" i="4"/>
  <c r="AH196" i="4"/>
  <c r="AJ196" i="4"/>
  <c r="AK196" i="4"/>
  <c r="AD197" i="4"/>
  <c r="AE197" i="4"/>
  <c r="AG197" i="4"/>
  <c r="AH197" i="4"/>
  <c r="AJ197" i="4"/>
  <c r="AK197" i="4"/>
  <c r="AD198" i="4"/>
  <c r="AE198" i="4"/>
  <c r="AG198" i="4"/>
  <c r="AH198" i="4"/>
  <c r="AJ198" i="4"/>
  <c r="AK198" i="4"/>
  <c r="AD199" i="4"/>
  <c r="AE199" i="4"/>
  <c r="AG199" i="4"/>
  <c r="AH199" i="4"/>
  <c r="AJ199" i="4"/>
  <c r="AK199" i="4"/>
  <c r="AD200" i="4"/>
  <c r="AE200" i="4"/>
  <c r="AG200" i="4"/>
  <c r="AH200" i="4"/>
  <c r="AJ200" i="4"/>
  <c r="AK200" i="4"/>
  <c r="AD201" i="4"/>
  <c r="AE201" i="4"/>
  <c r="AG201" i="4"/>
  <c r="AH201" i="4"/>
  <c r="AJ201" i="4"/>
  <c r="AK201" i="4"/>
  <c r="AD202" i="4"/>
  <c r="AE202" i="4"/>
  <c r="AG202" i="4"/>
  <c r="AH202" i="4"/>
  <c r="AJ202" i="4"/>
  <c r="AK202" i="4"/>
  <c r="AD203" i="4"/>
  <c r="AE203" i="4"/>
  <c r="AG203" i="4"/>
  <c r="AH203" i="4"/>
  <c r="AJ203" i="4"/>
  <c r="AK203" i="4"/>
  <c r="AD204" i="4"/>
  <c r="AE204" i="4"/>
  <c r="AG204" i="4"/>
  <c r="AH204" i="4"/>
  <c r="AJ204" i="4"/>
  <c r="AK204" i="4"/>
  <c r="AD205" i="4"/>
  <c r="AE205" i="4"/>
  <c r="AG205" i="4"/>
  <c r="AH205" i="4"/>
  <c r="AJ205" i="4"/>
  <c r="AK205" i="4"/>
  <c r="AD206" i="4"/>
  <c r="AE206" i="4"/>
  <c r="AG206" i="4"/>
  <c r="AH206" i="4"/>
  <c r="AJ206" i="4"/>
  <c r="AK206" i="4"/>
  <c r="AD207" i="4"/>
  <c r="AE207" i="4"/>
  <c r="AG207" i="4"/>
  <c r="AH207" i="4"/>
  <c r="AJ207" i="4"/>
  <c r="AK207" i="4"/>
  <c r="AD208" i="4"/>
  <c r="AE208" i="4"/>
  <c r="AG208" i="4"/>
  <c r="AH208" i="4"/>
  <c r="AJ208" i="4"/>
  <c r="AK208" i="4"/>
  <c r="AD209" i="4"/>
  <c r="AE209" i="4"/>
  <c r="AG209" i="4"/>
  <c r="AH209" i="4"/>
  <c r="AJ209" i="4"/>
  <c r="AK209" i="4"/>
  <c r="AD210" i="4"/>
  <c r="AE210" i="4"/>
  <c r="AG210" i="4"/>
  <c r="AH210" i="4"/>
  <c r="AJ210" i="4"/>
  <c r="AK210" i="4"/>
  <c r="AD211" i="4"/>
  <c r="AE211" i="4"/>
  <c r="AG211" i="4"/>
  <c r="AH211" i="4"/>
  <c r="AJ211" i="4"/>
  <c r="AK211" i="4"/>
  <c r="AD212" i="4"/>
  <c r="AE212" i="4"/>
  <c r="AG212" i="4"/>
  <c r="AH212" i="4"/>
  <c r="AJ212" i="4"/>
  <c r="AK212" i="4"/>
  <c r="AD213" i="4"/>
  <c r="AE213" i="4"/>
  <c r="AG213" i="4"/>
  <c r="AH213" i="4"/>
  <c r="AJ213" i="4"/>
  <c r="AK213" i="4"/>
  <c r="AD214" i="4"/>
  <c r="AE214" i="4"/>
  <c r="AG214" i="4"/>
  <c r="AH214" i="4"/>
  <c r="AJ214" i="4"/>
  <c r="AK214" i="4"/>
  <c r="AD215" i="4"/>
  <c r="AE215" i="4"/>
  <c r="AG215" i="4"/>
  <c r="AH215" i="4"/>
  <c r="AJ215" i="4"/>
  <c r="AK215" i="4"/>
  <c r="AD216" i="4"/>
  <c r="AE216" i="4"/>
  <c r="AG216" i="4"/>
  <c r="AH216" i="4"/>
  <c r="AJ216" i="4"/>
  <c r="AK216" i="4"/>
  <c r="AD217" i="4"/>
  <c r="AE217" i="4"/>
  <c r="AG217" i="4"/>
  <c r="AH217" i="4"/>
  <c r="AJ217" i="4"/>
  <c r="AK217" i="4"/>
  <c r="AD218" i="4"/>
  <c r="AE218" i="4"/>
  <c r="AG218" i="4"/>
  <c r="AH218" i="4"/>
  <c r="AJ218" i="4"/>
  <c r="AK218" i="4"/>
  <c r="AD219" i="4"/>
  <c r="AE219" i="4"/>
  <c r="AG219" i="4"/>
  <c r="AH219" i="4"/>
  <c r="AJ219" i="4"/>
  <c r="AK219" i="4"/>
  <c r="AD220" i="4"/>
  <c r="AE220" i="4"/>
  <c r="AG220" i="4"/>
  <c r="AH220" i="4"/>
  <c r="AJ220" i="4"/>
  <c r="AK220" i="4"/>
  <c r="AD221" i="4"/>
  <c r="AE221" i="4"/>
  <c r="AG221" i="4"/>
  <c r="AH221" i="4"/>
  <c r="AJ221" i="4"/>
  <c r="AK221" i="4"/>
  <c r="AD222" i="4"/>
  <c r="AE222" i="4"/>
  <c r="AG222" i="4"/>
  <c r="AH222" i="4"/>
  <c r="AJ222" i="4"/>
  <c r="AK222" i="4"/>
  <c r="AD223" i="4"/>
  <c r="AE223" i="4"/>
  <c r="AG223" i="4"/>
  <c r="AH223" i="4"/>
  <c r="AJ223" i="4"/>
  <c r="AK223" i="4"/>
  <c r="AD224" i="4"/>
  <c r="AE224" i="4"/>
  <c r="AG224" i="4"/>
  <c r="AH224" i="4"/>
  <c r="AJ224" i="4"/>
  <c r="AK224" i="4"/>
  <c r="AD225" i="4"/>
  <c r="AE225" i="4"/>
  <c r="AG225" i="4"/>
  <c r="AH225" i="4"/>
  <c r="AJ225" i="4"/>
  <c r="AK225" i="4"/>
  <c r="AD226" i="4"/>
  <c r="AE226" i="4"/>
  <c r="AG226" i="4"/>
  <c r="AH226" i="4"/>
  <c r="AJ226" i="4"/>
  <c r="AK226" i="4"/>
  <c r="AD227" i="4"/>
  <c r="AE227" i="4"/>
  <c r="AG227" i="4"/>
  <c r="AH227" i="4"/>
  <c r="AJ227" i="4"/>
  <c r="AK227" i="4"/>
  <c r="AD228" i="4"/>
  <c r="AE228" i="4"/>
  <c r="AG228" i="4"/>
  <c r="AH228" i="4"/>
  <c r="AJ228" i="4"/>
  <c r="AK228" i="4"/>
  <c r="AD229" i="4"/>
  <c r="AE229" i="4"/>
  <c r="AG229" i="4"/>
  <c r="AH229" i="4"/>
  <c r="AJ229" i="4"/>
  <c r="AK229" i="4"/>
  <c r="AD230" i="4"/>
  <c r="AE230" i="4"/>
  <c r="AG230" i="4"/>
  <c r="AH230" i="4"/>
  <c r="AJ230" i="4"/>
  <c r="AK230" i="4"/>
  <c r="AD231" i="4"/>
  <c r="AE231" i="4"/>
  <c r="AG231" i="4"/>
  <c r="AH231" i="4"/>
  <c r="AJ231" i="4"/>
  <c r="AK231" i="4"/>
  <c r="AD232" i="4"/>
  <c r="AE232" i="4"/>
  <c r="AG232" i="4"/>
  <c r="AH232" i="4"/>
  <c r="AJ232" i="4"/>
  <c r="AK232" i="4"/>
  <c r="AD233" i="4"/>
  <c r="AE233" i="4"/>
  <c r="AG233" i="4"/>
  <c r="AH233" i="4"/>
  <c r="AJ233" i="4"/>
  <c r="AK233" i="4"/>
  <c r="AD234" i="4"/>
  <c r="AE234" i="4"/>
  <c r="AG234" i="4"/>
  <c r="AH234" i="4"/>
  <c r="AJ234" i="4"/>
  <c r="AK234" i="4"/>
  <c r="AD235" i="4"/>
  <c r="AE235" i="4"/>
  <c r="AG235" i="4"/>
  <c r="AH235" i="4"/>
  <c r="AJ235" i="4"/>
  <c r="AK235" i="4"/>
  <c r="AD236" i="4"/>
  <c r="AE236" i="4"/>
  <c r="AG236" i="4"/>
  <c r="AH236" i="4"/>
  <c r="AJ236" i="4"/>
  <c r="AK236" i="4"/>
  <c r="AD237" i="4"/>
  <c r="AE237" i="4"/>
  <c r="AG237" i="4"/>
  <c r="AH237" i="4"/>
  <c r="AJ237" i="4"/>
  <c r="AK237" i="4"/>
  <c r="AD238" i="4"/>
  <c r="AE238" i="4"/>
  <c r="AG238" i="4"/>
  <c r="AH238" i="4"/>
  <c r="AJ238" i="4"/>
  <c r="AK238" i="4"/>
  <c r="AD239" i="4"/>
  <c r="AE239" i="4"/>
  <c r="AG239" i="4"/>
  <c r="AH239" i="4"/>
  <c r="AJ239" i="4"/>
  <c r="AK239" i="4"/>
  <c r="AD240" i="4"/>
  <c r="AE240" i="4"/>
  <c r="AG240" i="4"/>
  <c r="AH240" i="4"/>
  <c r="AJ240" i="4"/>
  <c r="AK240" i="4"/>
  <c r="AD241" i="4"/>
  <c r="AE241" i="4"/>
  <c r="AG241" i="4"/>
  <c r="AH241" i="4"/>
  <c r="AJ241" i="4"/>
  <c r="AK241" i="4"/>
  <c r="AD242" i="4"/>
  <c r="AE242" i="4"/>
  <c r="AG242" i="4"/>
  <c r="AH242" i="4"/>
  <c r="AJ242" i="4"/>
  <c r="AK242" i="4"/>
  <c r="AD243" i="4"/>
  <c r="AE243" i="4"/>
  <c r="AG243" i="4"/>
  <c r="AH243" i="4"/>
  <c r="AJ243" i="4"/>
  <c r="AK243" i="4"/>
  <c r="AD244" i="4"/>
  <c r="AE244" i="4"/>
  <c r="AG244" i="4"/>
  <c r="AH244" i="4"/>
  <c r="AJ244" i="4"/>
  <c r="AK244" i="4"/>
  <c r="AD245" i="4"/>
  <c r="AE245" i="4"/>
  <c r="AG245" i="4"/>
  <c r="AH245" i="4"/>
  <c r="AJ245" i="4"/>
  <c r="AK245" i="4"/>
  <c r="AD246" i="4"/>
  <c r="AE246" i="4"/>
  <c r="AG246" i="4"/>
  <c r="AH246" i="4"/>
  <c r="AJ246" i="4"/>
  <c r="AK246" i="4"/>
  <c r="AD247" i="4"/>
  <c r="AE247" i="4"/>
  <c r="AG247" i="4"/>
  <c r="AH247" i="4"/>
  <c r="AJ247" i="4"/>
  <c r="AK247" i="4"/>
  <c r="AD248" i="4"/>
  <c r="AE248" i="4"/>
  <c r="AG248" i="4"/>
  <c r="AH248" i="4"/>
  <c r="AJ248" i="4"/>
  <c r="AK248" i="4"/>
  <c r="AD249" i="4"/>
  <c r="AE249" i="4"/>
  <c r="AG249" i="4"/>
  <c r="AH249" i="4"/>
  <c r="AJ249" i="4"/>
  <c r="AK249" i="4"/>
  <c r="AD250" i="4"/>
  <c r="AE250" i="4"/>
  <c r="AG250" i="4"/>
  <c r="AH250" i="4"/>
  <c r="AJ250" i="4"/>
  <c r="AK250" i="4"/>
  <c r="AD251" i="4"/>
  <c r="AE251" i="4"/>
  <c r="AG251" i="4"/>
  <c r="AH251" i="4"/>
  <c r="AJ251" i="4"/>
  <c r="AK251" i="4"/>
  <c r="AD252" i="4"/>
  <c r="AE252" i="4"/>
  <c r="AG252" i="4"/>
  <c r="AH252" i="4"/>
  <c r="AJ252" i="4"/>
  <c r="AK252" i="4"/>
  <c r="AD253" i="4"/>
  <c r="AE253" i="4"/>
  <c r="AG253" i="4"/>
  <c r="AH253" i="4"/>
  <c r="AJ253" i="4"/>
  <c r="AK253" i="4"/>
  <c r="AD254" i="4"/>
  <c r="AE254" i="4"/>
  <c r="AG254" i="4"/>
  <c r="AH254" i="4"/>
  <c r="AJ254" i="4"/>
  <c r="AK254" i="4"/>
  <c r="AD255" i="4"/>
  <c r="AE255" i="4"/>
  <c r="AG255" i="4"/>
  <c r="AH255" i="4"/>
  <c r="AJ255" i="4"/>
  <c r="AK255" i="4"/>
  <c r="AD256" i="4"/>
  <c r="AE256" i="4"/>
  <c r="AG256" i="4"/>
  <c r="AH256" i="4"/>
  <c r="AJ256" i="4"/>
  <c r="AK256" i="4"/>
  <c r="AD257" i="4"/>
  <c r="AE257" i="4"/>
  <c r="AG257" i="4"/>
  <c r="AH257" i="4"/>
  <c r="AJ257" i="4"/>
  <c r="AK257" i="4"/>
  <c r="AD258" i="4"/>
  <c r="AE258" i="4"/>
  <c r="AG258" i="4"/>
  <c r="AH258" i="4"/>
  <c r="AJ258" i="4"/>
  <c r="AK258" i="4"/>
  <c r="AD259" i="4"/>
  <c r="AE259" i="4"/>
  <c r="AG259" i="4"/>
  <c r="AH259" i="4"/>
  <c r="AJ259" i="4"/>
  <c r="AK259" i="4"/>
  <c r="AD260" i="4"/>
  <c r="AE260" i="4"/>
  <c r="AG260" i="4"/>
  <c r="AH260" i="4"/>
  <c r="AJ260" i="4"/>
  <c r="AK260" i="4"/>
  <c r="AD261" i="4"/>
  <c r="AE261" i="4"/>
  <c r="AG261" i="4"/>
  <c r="AH261" i="4"/>
  <c r="AJ261" i="4"/>
  <c r="AK261" i="4"/>
  <c r="AD262" i="4"/>
  <c r="AE262" i="4"/>
  <c r="AG262" i="4"/>
  <c r="AH262" i="4"/>
  <c r="AJ262" i="4"/>
  <c r="AK262" i="4"/>
  <c r="AD263" i="4"/>
  <c r="AE263" i="4"/>
  <c r="AG263" i="4"/>
  <c r="AH263" i="4"/>
  <c r="AJ263" i="4"/>
  <c r="AK263" i="4"/>
  <c r="AD264" i="4"/>
  <c r="AE264" i="4"/>
  <c r="AG264" i="4"/>
  <c r="AH264" i="4"/>
  <c r="AJ264" i="4"/>
  <c r="AK264" i="4"/>
  <c r="AD265" i="4"/>
  <c r="AE265" i="4"/>
  <c r="AG265" i="4"/>
  <c r="AH265" i="4"/>
  <c r="AJ265" i="4"/>
  <c r="AK265" i="4"/>
  <c r="AD266" i="4"/>
  <c r="AE266" i="4"/>
  <c r="AG266" i="4"/>
  <c r="AH266" i="4"/>
  <c r="AJ266" i="4"/>
  <c r="AK266" i="4"/>
  <c r="AD267" i="4"/>
  <c r="AE267" i="4"/>
  <c r="AG267" i="4"/>
  <c r="AH267" i="4"/>
  <c r="AJ267" i="4"/>
  <c r="AK267" i="4"/>
  <c r="AD268" i="4"/>
  <c r="AE268" i="4"/>
  <c r="AG268" i="4"/>
  <c r="AH268" i="4"/>
  <c r="AJ268" i="4"/>
  <c r="AK268" i="4"/>
  <c r="AD269" i="4"/>
  <c r="AE269" i="4"/>
  <c r="AG269" i="4"/>
  <c r="AH269" i="4"/>
  <c r="AJ269" i="4"/>
  <c r="AK269" i="4"/>
  <c r="AD270" i="4"/>
  <c r="AE270" i="4"/>
  <c r="AG270" i="4"/>
  <c r="AH270" i="4"/>
  <c r="AJ270" i="4"/>
  <c r="AK270" i="4"/>
  <c r="AD271" i="4"/>
  <c r="AE271" i="4"/>
  <c r="AG271" i="4"/>
  <c r="AH271" i="4"/>
  <c r="AJ271" i="4"/>
  <c r="AK271" i="4"/>
  <c r="AD272" i="4"/>
  <c r="AE272" i="4"/>
  <c r="AG272" i="4"/>
  <c r="AH272" i="4"/>
  <c r="AJ272" i="4"/>
  <c r="AK272" i="4"/>
  <c r="AD273" i="4"/>
  <c r="AE273" i="4"/>
  <c r="AG273" i="4"/>
  <c r="AH273" i="4"/>
  <c r="AJ273" i="4"/>
  <c r="AK273" i="4"/>
  <c r="AD274" i="4"/>
  <c r="AE274" i="4"/>
  <c r="AG274" i="4"/>
  <c r="AH274" i="4"/>
  <c r="AJ274" i="4"/>
  <c r="AK274" i="4"/>
  <c r="AD275" i="4"/>
  <c r="AE275" i="4"/>
  <c r="AG275" i="4"/>
  <c r="AH275" i="4"/>
  <c r="AJ275" i="4"/>
  <c r="AK275" i="4"/>
  <c r="AD276" i="4"/>
  <c r="AE276" i="4"/>
  <c r="AG276" i="4"/>
  <c r="AH276" i="4"/>
  <c r="AJ276" i="4"/>
  <c r="AK276" i="4"/>
  <c r="AD277" i="4"/>
  <c r="AE277" i="4"/>
  <c r="AG277" i="4"/>
  <c r="AH277" i="4"/>
  <c r="AJ277" i="4"/>
  <c r="AK277" i="4"/>
  <c r="AD278" i="4"/>
  <c r="AE278" i="4"/>
  <c r="AG278" i="4"/>
  <c r="AH278" i="4"/>
  <c r="AJ278" i="4"/>
  <c r="AK278" i="4"/>
  <c r="AD279" i="4"/>
  <c r="AE279" i="4"/>
  <c r="AG279" i="4"/>
  <c r="AH279" i="4"/>
  <c r="AJ279" i="4"/>
  <c r="AK279" i="4"/>
  <c r="AD280" i="4"/>
  <c r="AE280" i="4"/>
  <c r="AG280" i="4"/>
  <c r="AH280" i="4"/>
  <c r="AJ280" i="4"/>
  <c r="AK280" i="4"/>
  <c r="AD281" i="4"/>
  <c r="AE281" i="4"/>
  <c r="AG281" i="4"/>
  <c r="AH281" i="4"/>
  <c r="AJ281" i="4"/>
  <c r="AK281" i="4"/>
  <c r="AD282" i="4"/>
  <c r="AE282" i="4"/>
  <c r="AG282" i="4"/>
  <c r="AH282" i="4"/>
  <c r="AJ282" i="4"/>
  <c r="AK282" i="4"/>
  <c r="AD283" i="4"/>
  <c r="AE283" i="4"/>
  <c r="AG283" i="4"/>
  <c r="AH283" i="4"/>
  <c r="AJ283" i="4"/>
  <c r="AK283" i="4"/>
  <c r="AD284" i="4"/>
  <c r="AE284" i="4"/>
  <c r="AG284" i="4"/>
  <c r="AH284" i="4"/>
  <c r="AJ284" i="4"/>
  <c r="AK284" i="4"/>
  <c r="AD285" i="4"/>
  <c r="AE285" i="4"/>
  <c r="AG285" i="4"/>
  <c r="AH285" i="4"/>
  <c r="AJ285" i="4"/>
  <c r="AK285" i="4"/>
  <c r="AD286" i="4"/>
  <c r="AE286" i="4"/>
  <c r="AG286" i="4"/>
  <c r="AH286" i="4"/>
  <c r="AJ286" i="4"/>
  <c r="AK286" i="4"/>
  <c r="AD287" i="4"/>
  <c r="AE287" i="4"/>
  <c r="AG287" i="4"/>
  <c r="AH287" i="4"/>
  <c r="AJ287" i="4"/>
  <c r="AK287" i="4"/>
  <c r="AD288" i="4"/>
  <c r="AE288" i="4"/>
  <c r="AG288" i="4"/>
  <c r="AH288" i="4"/>
  <c r="AJ288" i="4"/>
  <c r="AK288" i="4"/>
  <c r="AD289" i="4"/>
  <c r="AE289" i="4"/>
  <c r="AG289" i="4"/>
  <c r="AH289" i="4"/>
  <c r="AJ289" i="4"/>
  <c r="AK289" i="4"/>
  <c r="AD290" i="4"/>
  <c r="AE290" i="4"/>
  <c r="AG290" i="4"/>
  <c r="AH290" i="4"/>
  <c r="AJ290" i="4"/>
  <c r="AK290" i="4"/>
  <c r="AD291" i="4"/>
  <c r="AE291" i="4"/>
  <c r="AG291" i="4"/>
  <c r="AH291" i="4"/>
  <c r="AJ291" i="4"/>
  <c r="AK291" i="4"/>
  <c r="AD292" i="4"/>
  <c r="AE292" i="4"/>
  <c r="AG292" i="4"/>
  <c r="AH292" i="4"/>
  <c r="AJ292" i="4"/>
  <c r="AK292" i="4"/>
  <c r="AD293" i="4"/>
  <c r="AE293" i="4"/>
  <c r="AG293" i="4"/>
  <c r="AH293" i="4"/>
  <c r="AJ293" i="4"/>
  <c r="AK293" i="4"/>
  <c r="AD294" i="4"/>
  <c r="AE294" i="4"/>
  <c r="AG294" i="4"/>
  <c r="AH294" i="4"/>
  <c r="AJ294" i="4"/>
  <c r="AK294" i="4"/>
  <c r="AD295" i="4"/>
  <c r="AE295" i="4"/>
  <c r="AG295" i="4"/>
  <c r="AH295" i="4"/>
  <c r="AJ295" i="4"/>
  <c r="AK295" i="4"/>
  <c r="AK3" i="4"/>
  <c r="AJ3" i="4"/>
  <c r="AH3" i="4"/>
  <c r="AG3" i="4"/>
  <c r="AE3" i="4"/>
  <c r="AD3" i="4"/>
  <c r="U4" i="4"/>
  <c r="V4" i="4"/>
  <c r="X4" i="4"/>
  <c r="Y4" i="4"/>
  <c r="AA4" i="4"/>
  <c r="AB4" i="4"/>
  <c r="U5" i="4"/>
  <c r="V5" i="4"/>
  <c r="X5" i="4"/>
  <c r="Y5" i="4"/>
  <c r="AA5" i="4"/>
  <c r="AB5" i="4"/>
  <c r="U6" i="4"/>
  <c r="V6" i="4"/>
  <c r="X6" i="4"/>
  <c r="Y6" i="4"/>
  <c r="AA6" i="4"/>
  <c r="AB6" i="4"/>
  <c r="U7" i="4"/>
  <c r="V7" i="4"/>
  <c r="X7" i="4"/>
  <c r="Y7" i="4"/>
  <c r="AA7" i="4"/>
  <c r="AB7" i="4"/>
  <c r="U8" i="4"/>
  <c r="V8" i="4"/>
  <c r="X8" i="4"/>
  <c r="Y8" i="4"/>
  <c r="AA8" i="4"/>
  <c r="AB8" i="4"/>
  <c r="U9" i="4"/>
  <c r="V9" i="4"/>
  <c r="X9" i="4"/>
  <c r="Y9" i="4"/>
  <c r="AA9" i="4"/>
  <c r="AB9" i="4"/>
  <c r="U10" i="4"/>
  <c r="V10" i="4"/>
  <c r="X10" i="4"/>
  <c r="Y10" i="4"/>
  <c r="AA10" i="4"/>
  <c r="AB10" i="4"/>
  <c r="U11" i="4"/>
  <c r="V11" i="4"/>
  <c r="X11" i="4"/>
  <c r="Y11" i="4"/>
  <c r="AA11" i="4"/>
  <c r="AB11" i="4"/>
  <c r="U12" i="4"/>
  <c r="V12" i="4"/>
  <c r="X12" i="4"/>
  <c r="Y12" i="4"/>
  <c r="AA12" i="4"/>
  <c r="AB12" i="4"/>
  <c r="U13" i="4"/>
  <c r="V13" i="4"/>
  <c r="X13" i="4"/>
  <c r="Y13" i="4"/>
  <c r="AA13" i="4"/>
  <c r="AB13" i="4"/>
  <c r="U14" i="4"/>
  <c r="V14" i="4"/>
  <c r="X14" i="4"/>
  <c r="Y14" i="4"/>
  <c r="AA14" i="4"/>
  <c r="AB14" i="4"/>
  <c r="U15" i="4"/>
  <c r="V15" i="4"/>
  <c r="X15" i="4"/>
  <c r="Y15" i="4"/>
  <c r="AA15" i="4"/>
  <c r="AB15" i="4"/>
  <c r="U16" i="4"/>
  <c r="V16" i="4"/>
  <c r="X16" i="4"/>
  <c r="Y16" i="4"/>
  <c r="AA16" i="4"/>
  <c r="AB16" i="4"/>
  <c r="U17" i="4"/>
  <c r="V17" i="4"/>
  <c r="X17" i="4"/>
  <c r="Y17" i="4"/>
  <c r="AA17" i="4"/>
  <c r="AB17" i="4"/>
  <c r="U18" i="4"/>
  <c r="V18" i="4"/>
  <c r="X18" i="4"/>
  <c r="Y18" i="4"/>
  <c r="AA18" i="4"/>
  <c r="AB18" i="4"/>
  <c r="U19" i="4"/>
  <c r="V19" i="4"/>
  <c r="X19" i="4"/>
  <c r="Y19" i="4"/>
  <c r="AA19" i="4"/>
  <c r="AB19" i="4"/>
  <c r="U20" i="4"/>
  <c r="V20" i="4"/>
  <c r="X20" i="4"/>
  <c r="Y20" i="4"/>
  <c r="AA20" i="4"/>
  <c r="AB20" i="4"/>
  <c r="U21" i="4"/>
  <c r="V21" i="4"/>
  <c r="X21" i="4"/>
  <c r="Y21" i="4"/>
  <c r="AA21" i="4"/>
  <c r="AB21" i="4"/>
  <c r="U22" i="4"/>
  <c r="V22" i="4"/>
  <c r="X22" i="4"/>
  <c r="Y22" i="4"/>
  <c r="AA22" i="4"/>
  <c r="AB22" i="4"/>
  <c r="U23" i="4"/>
  <c r="V23" i="4"/>
  <c r="X23" i="4"/>
  <c r="Y23" i="4"/>
  <c r="AA23" i="4"/>
  <c r="AB23" i="4"/>
  <c r="U24" i="4"/>
  <c r="V24" i="4"/>
  <c r="X24" i="4"/>
  <c r="Y24" i="4"/>
  <c r="AA24" i="4"/>
  <c r="AB24" i="4"/>
  <c r="U25" i="4"/>
  <c r="V25" i="4"/>
  <c r="X25" i="4"/>
  <c r="Y25" i="4"/>
  <c r="AA25" i="4"/>
  <c r="AB25" i="4"/>
  <c r="U26" i="4"/>
  <c r="V26" i="4"/>
  <c r="X26" i="4"/>
  <c r="Y26" i="4"/>
  <c r="AA26" i="4"/>
  <c r="AB26" i="4"/>
  <c r="U27" i="4"/>
  <c r="V27" i="4"/>
  <c r="X27" i="4"/>
  <c r="Y27" i="4"/>
  <c r="AA27" i="4"/>
  <c r="AB27" i="4"/>
  <c r="U28" i="4"/>
  <c r="V28" i="4"/>
  <c r="X28" i="4"/>
  <c r="Y28" i="4"/>
  <c r="AA28" i="4"/>
  <c r="AB28" i="4"/>
  <c r="U29" i="4"/>
  <c r="V29" i="4"/>
  <c r="X29" i="4"/>
  <c r="Y29" i="4"/>
  <c r="AA29" i="4"/>
  <c r="AB29" i="4"/>
  <c r="U30" i="4"/>
  <c r="V30" i="4"/>
  <c r="X30" i="4"/>
  <c r="Y30" i="4"/>
  <c r="AA30" i="4"/>
  <c r="AB30" i="4"/>
  <c r="U31" i="4"/>
  <c r="V31" i="4"/>
  <c r="X31" i="4"/>
  <c r="Y31" i="4"/>
  <c r="AA31" i="4"/>
  <c r="AB31" i="4"/>
  <c r="U32" i="4"/>
  <c r="V32" i="4"/>
  <c r="X32" i="4"/>
  <c r="Y32" i="4"/>
  <c r="AA32" i="4"/>
  <c r="AB32" i="4"/>
  <c r="U33" i="4"/>
  <c r="V33" i="4"/>
  <c r="X33" i="4"/>
  <c r="Y33" i="4"/>
  <c r="AA33" i="4"/>
  <c r="AB33" i="4"/>
  <c r="U34" i="4"/>
  <c r="V34" i="4"/>
  <c r="X34" i="4"/>
  <c r="Y34" i="4"/>
  <c r="AA34" i="4"/>
  <c r="AB34" i="4"/>
  <c r="U35" i="4"/>
  <c r="V35" i="4"/>
  <c r="X35" i="4"/>
  <c r="Y35" i="4"/>
  <c r="AA35" i="4"/>
  <c r="AB35" i="4"/>
  <c r="U36" i="4"/>
  <c r="V36" i="4"/>
  <c r="X36" i="4"/>
  <c r="Y36" i="4"/>
  <c r="AA36" i="4"/>
  <c r="AB36" i="4"/>
  <c r="U37" i="4"/>
  <c r="V37" i="4"/>
  <c r="X37" i="4"/>
  <c r="Y37" i="4"/>
  <c r="AA37" i="4"/>
  <c r="AB37" i="4"/>
  <c r="U38" i="4"/>
  <c r="V38" i="4"/>
  <c r="X38" i="4"/>
  <c r="Y38" i="4"/>
  <c r="AA38" i="4"/>
  <c r="AB38" i="4"/>
  <c r="U39" i="4"/>
  <c r="V39" i="4"/>
  <c r="X39" i="4"/>
  <c r="Y39" i="4"/>
  <c r="AA39" i="4"/>
  <c r="AB39" i="4"/>
  <c r="U40" i="4"/>
  <c r="V40" i="4"/>
  <c r="X40" i="4"/>
  <c r="Y40" i="4"/>
  <c r="AA40" i="4"/>
  <c r="AB40" i="4"/>
  <c r="U41" i="4"/>
  <c r="V41" i="4"/>
  <c r="X41" i="4"/>
  <c r="Y41" i="4"/>
  <c r="AA41" i="4"/>
  <c r="AB41" i="4"/>
  <c r="U42" i="4"/>
  <c r="V42" i="4"/>
  <c r="X42" i="4"/>
  <c r="Y42" i="4"/>
  <c r="AA42" i="4"/>
  <c r="AB42" i="4"/>
  <c r="U43" i="4"/>
  <c r="V43" i="4"/>
  <c r="X43" i="4"/>
  <c r="Y43" i="4"/>
  <c r="AA43" i="4"/>
  <c r="AB43" i="4"/>
  <c r="U44" i="4"/>
  <c r="V44" i="4"/>
  <c r="X44" i="4"/>
  <c r="Y44" i="4"/>
  <c r="AA44" i="4"/>
  <c r="AB44" i="4"/>
  <c r="U45" i="4"/>
  <c r="V45" i="4"/>
  <c r="X45" i="4"/>
  <c r="Y45" i="4"/>
  <c r="AA45" i="4"/>
  <c r="AB45" i="4"/>
  <c r="U46" i="4"/>
  <c r="V46" i="4"/>
  <c r="X46" i="4"/>
  <c r="Y46" i="4"/>
  <c r="AA46" i="4"/>
  <c r="AB46" i="4"/>
  <c r="U47" i="4"/>
  <c r="V47" i="4"/>
  <c r="X47" i="4"/>
  <c r="Y47" i="4"/>
  <c r="AA47" i="4"/>
  <c r="AB47" i="4"/>
  <c r="U48" i="4"/>
  <c r="V48" i="4"/>
  <c r="X48" i="4"/>
  <c r="Y48" i="4"/>
  <c r="AA48" i="4"/>
  <c r="AB48" i="4"/>
  <c r="U49" i="4"/>
  <c r="V49" i="4"/>
  <c r="X49" i="4"/>
  <c r="Y49" i="4"/>
  <c r="AA49" i="4"/>
  <c r="AB49" i="4"/>
  <c r="U50" i="4"/>
  <c r="V50" i="4"/>
  <c r="X50" i="4"/>
  <c r="Y50" i="4"/>
  <c r="AA50" i="4"/>
  <c r="AB50" i="4"/>
  <c r="U51" i="4"/>
  <c r="V51" i="4"/>
  <c r="X51" i="4"/>
  <c r="Y51" i="4"/>
  <c r="AA51" i="4"/>
  <c r="AB51" i="4"/>
  <c r="U52" i="4"/>
  <c r="V52" i="4"/>
  <c r="X52" i="4"/>
  <c r="Y52" i="4"/>
  <c r="AA52" i="4"/>
  <c r="AB52" i="4"/>
  <c r="U53" i="4"/>
  <c r="V53" i="4"/>
  <c r="X53" i="4"/>
  <c r="Y53" i="4"/>
  <c r="AA53" i="4"/>
  <c r="AB53" i="4"/>
  <c r="U54" i="4"/>
  <c r="V54" i="4"/>
  <c r="X54" i="4"/>
  <c r="Y54" i="4"/>
  <c r="AA54" i="4"/>
  <c r="AB54" i="4"/>
  <c r="U55" i="4"/>
  <c r="V55" i="4"/>
  <c r="X55" i="4"/>
  <c r="Y55" i="4"/>
  <c r="AA55" i="4"/>
  <c r="AB55" i="4"/>
  <c r="U56" i="4"/>
  <c r="V56" i="4"/>
  <c r="X56" i="4"/>
  <c r="Y56" i="4"/>
  <c r="AA56" i="4"/>
  <c r="AB56" i="4"/>
  <c r="U57" i="4"/>
  <c r="V57" i="4"/>
  <c r="X57" i="4"/>
  <c r="Y57" i="4"/>
  <c r="AA57" i="4"/>
  <c r="AB57" i="4"/>
  <c r="U58" i="4"/>
  <c r="V58" i="4"/>
  <c r="X58" i="4"/>
  <c r="Y58" i="4"/>
  <c r="AA58" i="4"/>
  <c r="AB58" i="4"/>
  <c r="U59" i="4"/>
  <c r="V59" i="4"/>
  <c r="X59" i="4"/>
  <c r="Y59" i="4"/>
  <c r="AA59" i="4"/>
  <c r="AB59" i="4"/>
  <c r="U60" i="4"/>
  <c r="V60" i="4"/>
  <c r="X60" i="4"/>
  <c r="Y60" i="4"/>
  <c r="AA60" i="4"/>
  <c r="AB60" i="4"/>
  <c r="U61" i="4"/>
  <c r="V61" i="4"/>
  <c r="X61" i="4"/>
  <c r="Y61" i="4"/>
  <c r="AA61" i="4"/>
  <c r="AB61" i="4"/>
  <c r="U62" i="4"/>
  <c r="V62" i="4"/>
  <c r="X62" i="4"/>
  <c r="Y62" i="4"/>
  <c r="AA62" i="4"/>
  <c r="AB62" i="4"/>
  <c r="U63" i="4"/>
  <c r="V63" i="4"/>
  <c r="X63" i="4"/>
  <c r="Y63" i="4"/>
  <c r="AA63" i="4"/>
  <c r="AB63" i="4"/>
  <c r="U64" i="4"/>
  <c r="V64" i="4"/>
  <c r="X64" i="4"/>
  <c r="Y64" i="4"/>
  <c r="AA64" i="4"/>
  <c r="AB64" i="4"/>
  <c r="U65" i="4"/>
  <c r="V65" i="4"/>
  <c r="X65" i="4"/>
  <c r="Y65" i="4"/>
  <c r="AA65" i="4"/>
  <c r="AB65" i="4"/>
  <c r="U66" i="4"/>
  <c r="V66" i="4"/>
  <c r="X66" i="4"/>
  <c r="Y66" i="4"/>
  <c r="AA66" i="4"/>
  <c r="AB66" i="4"/>
  <c r="U67" i="4"/>
  <c r="V67" i="4"/>
  <c r="X67" i="4"/>
  <c r="Y67" i="4"/>
  <c r="AA67" i="4"/>
  <c r="AB67" i="4"/>
  <c r="U68" i="4"/>
  <c r="V68" i="4"/>
  <c r="X68" i="4"/>
  <c r="Y68" i="4"/>
  <c r="AA68" i="4"/>
  <c r="AB68" i="4"/>
  <c r="U69" i="4"/>
  <c r="V69" i="4"/>
  <c r="X69" i="4"/>
  <c r="Y69" i="4"/>
  <c r="AA69" i="4"/>
  <c r="AB69" i="4"/>
  <c r="U70" i="4"/>
  <c r="V70" i="4"/>
  <c r="X70" i="4"/>
  <c r="Y70" i="4"/>
  <c r="AA70" i="4"/>
  <c r="AB70" i="4"/>
  <c r="U71" i="4"/>
  <c r="V71" i="4"/>
  <c r="X71" i="4"/>
  <c r="Y71" i="4"/>
  <c r="AA71" i="4"/>
  <c r="AB71" i="4"/>
  <c r="U72" i="4"/>
  <c r="V72" i="4"/>
  <c r="X72" i="4"/>
  <c r="Y72" i="4"/>
  <c r="AA72" i="4"/>
  <c r="AB72" i="4"/>
  <c r="U73" i="4"/>
  <c r="V73" i="4"/>
  <c r="X73" i="4"/>
  <c r="Y73" i="4"/>
  <c r="AA73" i="4"/>
  <c r="AB73" i="4"/>
  <c r="U74" i="4"/>
  <c r="V74" i="4"/>
  <c r="X74" i="4"/>
  <c r="Y74" i="4"/>
  <c r="AA74" i="4"/>
  <c r="AB74" i="4"/>
  <c r="U75" i="4"/>
  <c r="V75" i="4"/>
  <c r="X75" i="4"/>
  <c r="Y75" i="4"/>
  <c r="AA75" i="4"/>
  <c r="AB75" i="4"/>
  <c r="U76" i="4"/>
  <c r="V76" i="4"/>
  <c r="X76" i="4"/>
  <c r="Y76" i="4"/>
  <c r="AA76" i="4"/>
  <c r="AB76" i="4"/>
  <c r="U77" i="4"/>
  <c r="V77" i="4"/>
  <c r="X77" i="4"/>
  <c r="Y77" i="4"/>
  <c r="AA77" i="4"/>
  <c r="AB77" i="4"/>
  <c r="U78" i="4"/>
  <c r="V78" i="4"/>
  <c r="X78" i="4"/>
  <c r="Y78" i="4"/>
  <c r="AA78" i="4"/>
  <c r="AB78" i="4"/>
  <c r="U79" i="4"/>
  <c r="V79" i="4"/>
  <c r="X79" i="4"/>
  <c r="Y79" i="4"/>
  <c r="AA79" i="4"/>
  <c r="AB79" i="4"/>
  <c r="U80" i="4"/>
  <c r="V80" i="4"/>
  <c r="X80" i="4"/>
  <c r="Y80" i="4"/>
  <c r="AA80" i="4"/>
  <c r="AB80" i="4"/>
  <c r="U81" i="4"/>
  <c r="V81" i="4"/>
  <c r="X81" i="4"/>
  <c r="Y81" i="4"/>
  <c r="AA81" i="4"/>
  <c r="AB81" i="4"/>
  <c r="U82" i="4"/>
  <c r="V82" i="4"/>
  <c r="X82" i="4"/>
  <c r="Y82" i="4"/>
  <c r="AA82" i="4"/>
  <c r="AB82" i="4"/>
  <c r="U83" i="4"/>
  <c r="V83" i="4"/>
  <c r="X83" i="4"/>
  <c r="Y83" i="4"/>
  <c r="AA83" i="4"/>
  <c r="AB83" i="4"/>
  <c r="U84" i="4"/>
  <c r="V84" i="4"/>
  <c r="X84" i="4"/>
  <c r="Y84" i="4"/>
  <c r="AA84" i="4"/>
  <c r="AB84" i="4"/>
  <c r="U85" i="4"/>
  <c r="V85" i="4"/>
  <c r="X85" i="4"/>
  <c r="Y85" i="4"/>
  <c r="AA85" i="4"/>
  <c r="AB85" i="4"/>
  <c r="U86" i="4"/>
  <c r="V86" i="4"/>
  <c r="X86" i="4"/>
  <c r="Y86" i="4"/>
  <c r="AA86" i="4"/>
  <c r="AB86" i="4"/>
  <c r="U87" i="4"/>
  <c r="V87" i="4"/>
  <c r="X87" i="4"/>
  <c r="Y87" i="4"/>
  <c r="AA87" i="4"/>
  <c r="AB87" i="4"/>
  <c r="U88" i="4"/>
  <c r="V88" i="4"/>
  <c r="X88" i="4"/>
  <c r="Y88" i="4"/>
  <c r="AA88" i="4"/>
  <c r="AB88" i="4"/>
  <c r="U89" i="4"/>
  <c r="V89" i="4"/>
  <c r="X89" i="4"/>
  <c r="Y89" i="4"/>
  <c r="AA89" i="4"/>
  <c r="AB89" i="4"/>
  <c r="U90" i="4"/>
  <c r="V90" i="4"/>
  <c r="X90" i="4"/>
  <c r="Y90" i="4"/>
  <c r="AA90" i="4"/>
  <c r="AB90" i="4"/>
  <c r="U91" i="4"/>
  <c r="V91" i="4"/>
  <c r="X91" i="4"/>
  <c r="Y91" i="4"/>
  <c r="AA91" i="4"/>
  <c r="AB91" i="4"/>
  <c r="U92" i="4"/>
  <c r="V92" i="4"/>
  <c r="X92" i="4"/>
  <c r="Y92" i="4"/>
  <c r="AA92" i="4"/>
  <c r="AB92" i="4"/>
  <c r="U93" i="4"/>
  <c r="V93" i="4"/>
  <c r="X93" i="4"/>
  <c r="Y93" i="4"/>
  <c r="AA93" i="4"/>
  <c r="AB93" i="4"/>
  <c r="U94" i="4"/>
  <c r="V94" i="4"/>
  <c r="X94" i="4"/>
  <c r="Y94" i="4"/>
  <c r="AA94" i="4"/>
  <c r="AB94" i="4"/>
  <c r="U95" i="4"/>
  <c r="V95" i="4"/>
  <c r="X95" i="4"/>
  <c r="Y95" i="4"/>
  <c r="AA95" i="4"/>
  <c r="AB95" i="4"/>
  <c r="U96" i="4"/>
  <c r="V96" i="4"/>
  <c r="X96" i="4"/>
  <c r="Y96" i="4"/>
  <c r="AA96" i="4"/>
  <c r="AB96" i="4"/>
  <c r="U97" i="4"/>
  <c r="V97" i="4"/>
  <c r="X97" i="4"/>
  <c r="Y97" i="4"/>
  <c r="AA97" i="4"/>
  <c r="AB97" i="4"/>
  <c r="U98" i="4"/>
  <c r="V98" i="4"/>
  <c r="X98" i="4"/>
  <c r="Y98" i="4"/>
  <c r="AA98" i="4"/>
  <c r="AB98" i="4"/>
  <c r="U99" i="4"/>
  <c r="V99" i="4"/>
  <c r="X99" i="4"/>
  <c r="Y99" i="4"/>
  <c r="AA99" i="4"/>
  <c r="AB99" i="4"/>
  <c r="U100" i="4"/>
  <c r="V100" i="4"/>
  <c r="X100" i="4"/>
  <c r="Y100" i="4"/>
  <c r="AA100" i="4"/>
  <c r="AB100" i="4"/>
  <c r="U101" i="4"/>
  <c r="V101" i="4"/>
  <c r="X101" i="4"/>
  <c r="Y101" i="4"/>
  <c r="AA101" i="4"/>
  <c r="AB101" i="4"/>
  <c r="U102" i="4"/>
  <c r="V102" i="4"/>
  <c r="X102" i="4"/>
  <c r="Y102" i="4"/>
  <c r="AA102" i="4"/>
  <c r="AB102" i="4"/>
  <c r="U103" i="4"/>
  <c r="V103" i="4"/>
  <c r="X103" i="4"/>
  <c r="Y103" i="4"/>
  <c r="AA103" i="4"/>
  <c r="AB103" i="4"/>
  <c r="U104" i="4"/>
  <c r="V104" i="4"/>
  <c r="X104" i="4"/>
  <c r="Y104" i="4"/>
  <c r="AA104" i="4"/>
  <c r="AB104" i="4"/>
  <c r="U105" i="4"/>
  <c r="V105" i="4"/>
  <c r="X105" i="4"/>
  <c r="Y105" i="4"/>
  <c r="AA105" i="4"/>
  <c r="AB105" i="4"/>
  <c r="U106" i="4"/>
  <c r="V106" i="4"/>
  <c r="X106" i="4"/>
  <c r="Y106" i="4"/>
  <c r="AA106" i="4"/>
  <c r="AB106" i="4"/>
  <c r="U107" i="4"/>
  <c r="V107" i="4"/>
  <c r="X107" i="4"/>
  <c r="Y107" i="4"/>
  <c r="AA107" i="4"/>
  <c r="AB107" i="4"/>
  <c r="U108" i="4"/>
  <c r="V108" i="4"/>
  <c r="X108" i="4"/>
  <c r="Y108" i="4"/>
  <c r="AA108" i="4"/>
  <c r="AB108" i="4"/>
  <c r="U109" i="4"/>
  <c r="V109" i="4"/>
  <c r="X109" i="4"/>
  <c r="Y109" i="4"/>
  <c r="AA109" i="4"/>
  <c r="AB109" i="4"/>
  <c r="U110" i="4"/>
  <c r="V110" i="4"/>
  <c r="X110" i="4"/>
  <c r="Y110" i="4"/>
  <c r="AA110" i="4"/>
  <c r="AB110" i="4"/>
  <c r="U111" i="4"/>
  <c r="V111" i="4"/>
  <c r="X111" i="4"/>
  <c r="Y111" i="4"/>
  <c r="AA111" i="4"/>
  <c r="AB111" i="4"/>
  <c r="U112" i="4"/>
  <c r="V112" i="4"/>
  <c r="X112" i="4"/>
  <c r="Y112" i="4"/>
  <c r="AA112" i="4"/>
  <c r="AB112" i="4"/>
  <c r="U113" i="4"/>
  <c r="V113" i="4"/>
  <c r="X113" i="4"/>
  <c r="Y113" i="4"/>
  <c r="AA113" i="4"/>
  <c r="AB113" i="4"/>
  <c r="U114" i="4"/>
  <c r="V114" i="4"/>
  <c r="X114" i="4"/>
  <c r="Y114" i="4"/>
  <c r="AA114" i="4"/>
  <c r="AB114" i="4"/>
  <c r="U115" i="4"/>
  <c r="V115" i="4"/>
  <c r="X115" i="4"/>
  <c r="Y115" i="4"/>
  <c r="AA115" i="4"/>
  <c r="AB115" i="4"/>
  <c r="U116" i="4"/>
  <c r="V116" i="4"/>
  <c r="X116" i="4"/>
  <c r="Y116" i="4"/>
  <c r="AA116" i="4"/>
  <c r="AB116" i="4"/>
  <c r="U117" i="4"/>
  <c r="V117" i="4"/>
  <c r="X117" i="4"/>
  <c r="Y117" i="4"/>
  <c r="AA117" i="4"/>
  <c r="AB117" i="4"/>
  <c r="U118" i="4"/>
  <c r="V118" i="4"/>
  <c r="X118" i="4"/>
  <c r="Y118" i="4"/>
  <c r="AA118" i="4"/>
  <c r="AB118" i="4"/>
  <c r="U119" i="4"/>
  <c r="V119" i="4"/>
  <c r="X119" i="4"/>
  <c r="Y119" i="4"/>
  <c r="AA119" i="4"/>
  <c r="AB119" i="4"/>
  <c r="U120" i="4"/>
  <c r="V120" i="4"/>
  <c r="X120" i="4"/>
  <c r="Y120" i="4"/>
  <c r="AA120" i="4"/>
  <c r="AB120" i="4"/>
  <c r="U121" i="4"/>
  <c r="V121" i="4"/>
  <c r="X121" i="4"/>
  <c r="Y121" i="4"/>
  <c r="AA121" i="4"/>
  <c r="AB121" i="4"/>
  <c r="U122" i="4"/>
  <c r="V122" i="4"/>
  <c r="X122" i="4"/>
  <c r="Y122" i="4"/>
  <c r="AA122" i="4"/>
  <c r="AB122" i="4"/>
  <c r="U123" i="4"/>
  <c r="V123" i="4"/>
  <c r="X123" i="4"/>
  <c r="Y123" i="4"/>
  <c r="AA123" i="4"/>
  <c r="AB123" i="4"/>
  <c r="U124" i="4"/>
  <c r="V124" i="4"/>
  <c r="X124" i="4"/>
  <c r="Y124" i="4"/>
  <c r="AA124" i="4"/>
  <c r="AB124" i="4"/>
  <c r="U125" i="4"/>
  <c r="V125" i="4"/>
  <c r="X125" i="4"/>
  <c r="Y125" i="4"/>
  <c r="AA125" i="4"/>
  <c r="AB125" i="4"/>
  <c r="U126" i="4"/>
  <c r="V126" i="4"/>
  <c r="X126" i="4"/>
  <c r="Y126" i="4"/>
  <c r="AA126" i="4"/>
  <c r="AB126" i="4"/>
  <c r="U127" i="4"/>
  <c r="V127" i="4"/>
  <c r="X127" i="4"/>
  <c r="Y127" i="4"/>
  <c r="AA127" i="4"/>
  <c r="AB127" i="4"/>
  <c r="U128" i="4"/>
  <c r="V128" i="4"/>
  <c r="X128" i="4"/>
  <c r="Y128" i="4"/>
  <c r="AA128" i="4"/>
  <c r="AB128" i="4"/>
  <c r="U129" i="4"/>
  <c r="V129" i="4"/>
  <c r="X129" i="4"/>
  <c r="Y129" i="4"/>
  <c r="AA129" i="4"/>
  <c r="AB129" i="4"/>
  <c r="U130" i="4"/>
  <c r="V130" i="4"/>
  <c r="X130" i="4"/>
  <c r="Y130" i="4"/>
  <c r="AA130" i="4"/>
  <c r="AB130" i="4"/>
  <c r="U131" i="4"/>
  <c r="V131" i="4"/>
  <c r="X131" i="4"/>
  <c r="Y131" i="4"/>
  <c r="AA131" i="4"/>
  <c r="AB131" i="4"/>
  <c r="U132" i="4"/>
  <c r="V132" i="4"/>
  <c r="X132" i="4"/>
  <c r="Y132" i="4"/>
  <c r="AA132" i="4"/>
  <c r="AB132" i="4"/>
  <c r="U133" i="4"/>
  <c r="V133" i="4"/>
  <c r="X133" i="4"/>
  <c r="Y133" i="4"/>
  <c r="AA133" i="4"/>
  <c r="AB133" i="4"/>
  <c r="U134" i="4"/>
  <c r="V134" i="4"/>
  <c r="X134" i="4"/>
  <c r="Y134" i="4"/>
  <c r="AA134" i="4"/>
  <c r="AB134" i="4"/>
  <c r="U135" i="4"/>
  <c r="V135" i="4"/>
  <c r="X135" i="4"/>
  <c r="Y135" i="4"/>
  <c r="AA135" i="4"/>
  <c r="AB135" i="4"/>
  <c r="U136" i="4"/>
  <c r="V136" i="4"/>
  <c r="X136" i="4"/>
  <c r="Y136" i="4"/>
  <c r="AA136" i="4"/>
  <c r="AB136" i="4"/>
  <c r="U137" i="4"/>
  <c r="V137" i="4"/>
  <c r="X137" i="4"/>
  <c r="Y137" i="4"/>
  <c r="AA137" i="4"/>
  <c r="AB137" i="4"/>
  <c r="U138" i="4"/>
  <c r="V138" i="4"/>
  <c r="X138" i="4"/>
  <c r="Y138" i="4"/>
  <c r="AA138" i="4"/>
  <c r="AB138" i="4"/>
  <c r="U139" i="4"/>
  <c r="V139" i="4"/>
  <c r="X139" i="4"/>
  <c r="Y139" i="4"/>
  <c r="AA139" i="4"/>
  <c r="AB139" i="4"/>
  <c r="U140" i="4"/>
  <c r="V140" i="4"/>
  <c r="X140" i="4"/>
  <c r="Y140" i="4"/>
  <c r="AA140" i="4"/>
  <c r="AB140" i="4"/>
  <c r="U141" i="4"/>
  <c r="V141" i="4"/>
  <c r="X141" i="4"/>
  <c r="Y141" i="4"/>
  <c r="AA141" i="4"/>
  <c r="AB141" i="4"/>
  <c r="U142" i="4"/>
  <c r="V142" i="4"/>
  <c r="X142" i="4"/>
  <c r="Y142" i="4"/>
  <c r="AA142" i="4"/>
  <c r="AB142" i="4"/>
  <c r="U143" i="4"/>
  <c r="V143" i="4"/>
  <c r="X143" i="4"/>
  <c r="Y143" i="4"/>
  <c r="AA143" i="4"/>
  <c r="AB143" i="4"/>
  <c r="U144" i="4"/>
  <c r="V144" i="4"/>
  <c r="X144" i="4"/>
  <c r="Y144" i="4"/>
  <c r="AA144" i="4"/>
  <c r="AB144" i="4"/>
  <c r="U145" i="4"/>
  <c r="V145" i="4"/>
  <c r="X145" i="4"/>
  <c r="Y145" i="4"/>
  <c r="AA145" i="4"/>
  <c r="AB145" i="4"/>
  <c r="U146" i="4"/>
  <c r="V146" i="4"/>
  <c r="X146" i="4"/>
  <c r="Y146" i="4"/>
  <c r="AA146" i="4"/>
  <c r="AB146" i="4"/>
  <c r="U147" i="4"/>
  <c r="V147" i="4"/>
  <c r="X147" i="4"/>
  <c r="Y147" i="4"/>
  <c r="AA147" i="4"/>
  <c r="AB147" i="4"/>
  <c r="U148" i="4"/>
  <c r="V148" i="4"/>
  <c r="X148" i="4"/>
  <c r="Y148" i="4"/>
  <c r="AA148" i="4"/>
  <c r="AB148" i="4"/>
  <c r="U149" i="4"/>
  <c r="V149" i="4"/>
  <c r="X149" i="4"/>
  <c r="Y149" i="4"/>
  <c r="AA149" i="4"/>
  <c r="AB149" i="4"/>
  <c r="U150" i="4"/>
  <c r="V150" i="4"/>
  <c r="X150" i="4"/>
  <c r="Y150" i="4"/>
  <c r="AA150" i="4"/>
  <c r="AB150" i="4"/>
  <c r="U151" i="4"/>
  <c r="V151" i="4"/>
  <c r="X151" i="4"/>
  <c r="Y151" i="4"/>
  <c r="AA151" i="4"/>
  <c r="AB151" i="4"/>
  <c r="U152" i="4"/>
  <c r="V152" i="4"/>
  <c r="X152" i="4"/>
  <c r="Y152" i="4"/>
  <c r="AA152" i="4"/>
  <c r="AB152" i="4"/>
  <c r="U153" i="4"/>
  <c r="V153" i="4"/>
  <c r="X153" i="4"/>
  <c r="Y153" i="4"/>
  <c r="AA153" i="4"/>
  <c r="AB153" i="4"/>
  <c r="U154" i="4"/>
  <c r="V154" i="4"/>
  <c r="X154" i="4"/>
  <c r="Y154" i="4"/>
  <c r="AA154" i="4"/>
  <c r="AB154" i="4"/>
  <c r="U155" i="4"/>
  <c r="V155" i="4"/>
  <c r="X155" i="4"/>
  <c r="Y155" i="4"/>
  <c r="AA155" i="4"/>
  <c r="AB155" i="4"/>
  <c r="U156" i="4"/>
  <c r="V156" i="4"/>
  <c r="X156" i="4"/>
  <c r="Y156" i="4"/>
  <c r="AA156" i="4"/>
  <c r="AB156" i="4"/>
  <c r="U157" i="4"/>
  <c r="V157" i="4"/>
  <c r="X157" i="4"/>
  <c r="Y157" i="4"/>
  <c r="AA157" i="4"/>
  <c r="AB157" i="4"/>
  <c r="U158" i="4"/>
  <c r="V158" i="4"/>
  <c r="X158" i="4"/>
  <c r="Y158" i="4"/>
  <c r="AA158" i="4"/>
  <c r="AB158" i="4"/>
  <c r="U159" i="4"/>
  <c r="V159" i="4"/>
  <c r="X159" i="4"/>
  <c r="Y159" i="4"/>
  <c r="AA159" i="4"/>
  <c r="AB159" i="4"/>
  <c r="U160" i="4"/>
  <c r="V160" i="4"/>
  <c r="X160" i="4"/>
  <c r="Y160" i="4"/>
  <c r="AA160" i="4"/>
  <c r="AB160" i="4"/>
  <c r="U161" i="4"/>
  <c r="V161" i="4"/>
  <c r="X161" i="4"/>
  <c r="Y161" i="4"/>
  <c r="AA161" i="4"/>
  <c r="AB161" i="4"/>
  <c r="U162" i="4"/>
  <c r="V162" i="4"/>
  <c r="X162" i="4"/>
  <c r="Y162" i="4"/>
  <c r="AA162" i="4"/>
  <c r="AB162" i="4"/>
  <c r="U163" i="4"/>
  <c r="V163" i="4"/>
  <c r="X163" i="4"/>
  <c r="Y163" i="4"/>
  <c r="AA163" i="4"/>
  <c r="AB163" i="4"/>
  <c r="U164" i="4"/>
  <c r="V164" i="4"/>
  <c r="X164" i="4"/>
  <c r="Y164" i="4"/>
  <c r="AA164" i="4"/>
  <c r="AB164" i="4"/>
  <c r="U165" i="4"/>
  <c r="V165" i="4"/>
  <c r="X165" i="4"/>
  <c r="Y165" i="4"/>
  <c r="AA165" i="4"/>
  <c r="AB165" i="4"/>
  <c r="U166" i="4"/>
  <c r="V166" i="4"/>
  <c r="X166" i="4"/>
  <c r="Y166" i="4"/>
  <c r="AA166" i="4"/>
  <c r="AB166" i="4"/>
  <c r="U167" i="4"/>
  <c r="V167" i="4"/>
  <c r="X167" i="4"/>
  <c r="Y167" i="4"/>
  <c r="AA167" i="4"/>
  <c r="AB167" i="4"/>
  <c r="U168" i="4"/>
  <c r="V168" i="4"/>
  <c r="X168" i="4"/>
  <c r="Y168" i="4"/>
  <c r="AA168" i="4"/>
  <c r="AB168" i="4"/>
  <c r="U169" i="4"/>
  <c r="V169" i="4"/>
  <c r="X169" i="4"/>
  <c r="Y169" i="4"/>
  <c r="AA169" i="4"/>
  <c r="AB169" i="4"/>
  <c r="U170" i="4"/>
  <c r="V170" i="4"/>
  <c r="X170" i="4"/>
  <c r="Y170" i="4"/>
  <c r="AA170" i="4"/>
  <c r="AB170" i="4"/>
  <c r="U171" i="4"/>
  <c r="V171" i="4"/>
  <c r="X171" i="4"/>
  <c r="Y171" i="4"/>
  <c r="AA171" i="4"/>
  <c r="AB171" i="4"/>
  <c r="U172" i="4"/>
  <c r="V172" i="4"/>
  <c r="X172" i="4"/>
  <c r="Y172" i="4"/>
  <c r="AA172" i="4"/>
  <c r="AB172" i="4"/>
  <c r="U173" i="4"/>
  <c r="V173" i="4"/>
  <c r="X173" i="4"/>
  <c r="Y173" i="4"/>
  <c r="AA173" i="4"/>
  <c r="AB173" i="4"/>
  <c r="U174" i="4"/>
  <c r="V174" i="4"/>
  <c r="X174" i="4"/>
  <c r="Y174" i="4"/>
  <c r="AA174" i="4"/>
  <c r="AB174" i="4"/>
  <c r="U175" i="4"/>
  <c r="V175" i="4"/>
  <c r="X175" i="4"/>
  <c r="Y175" i="4"/>
  <c r="AA175" i="4"/>
  <c r="AB175" i="4"/>
  <c r="U176" i="4"/>
  <c r="V176" i="4"/>
  <c r="X176" i="4"/>
  <c r="Y176" i="4"/>
  <c r="AA176" i="4"/>
  <c r="AB176" i="4"/>
  <c r="U177" i="4"/>
  <c r="V177" i="4"/>
  <c r="X177" i="4"/>
  <c r="Y177" i="4"/>
  <c r="AA177" i="4"/>
  <c r="AB177" i="4"/>
  <c r="U178" i="4"/>
  <c r="V178" i="4"/>
  <c r="X178" i="4"/>
  <c r="Y178" i="4"/>
  <c r="AA178" i="4"/>
  <c r="AB178" i="4"/>
  <c r="U179" i="4"/>
  <c r="V179" i="4"/>
  <c r="X179" i="4"/>
  <c r="Y179" i="4"/>
  <c r="AA179" i="4"/>
  <c r="AB179" i="4"/>
  <c r="U180" i="4"/>
  <c r="V180" i="4"/>
  <c r="X180" i="4"/>
  <c r="Y180" i="4"/>
  <c r="AA180" i="4"/>
  <c r="AB180" i="4"/>
  <c r="U181" i="4"/>
  <c r="V181" i="4"/>
  <c r="X181" i="4"/>
  <c r="Y181" i="4"/>
  <c r="AA181" i="4"/>
  <c r="AB181" i="4"/>
  <c r="U182" i="4"/>
  <c r="V182" i="4"/>
  <c r="X182" i="4"/>
  <c r="Y182" i="4"/>
  <c r="AA182" i="4"/>
  <c r="AB182" i="4"/>
  <c r="U183" i="4"/>
  <c r="V183" i="4"/>
  <c r="X183" i="4"/>
  <c r="Y183" i="4"/>
  <c r="AA183" i="4"/>
  <c r="AB183" i="4"/>
  <c r="U184" i="4"/>
  <c r="V184" i="4"/>
  <c r="X184" i="4"/>
  <c r="Y184" i="4"/>
  <c r="AA184" i="4"/>
  <c r="AB184" i="4"/>
  <c r="U185" i="4"/>
  <c r="V185" i="4"/>
  <c r="X185" i="4"/>
  <c r="Y185" i="4"/>
  <c r="AA185" i="4"/>
  <c r="AB185" i="4"/>
  <c r="U186" i="4"/>
  <c r="V186" i="4"/>
  <c r="X186" i="4"/>
  <c r="Y186" i="4"/>
  <c r="AA186" i="4"/>
  <c r="AB186" i="4"/>
  <c r="U187" i="4"/>
  <c r="V187" i="4"/>
  <c r="X187" i="4"/>
  <c r="Y187" i="4"/>
  <c r="AA187" i="4"/>
  <c r="AB187" i="4"/>
  <c r="U188" i="4"/>
  <c r="V188" i="4"/>
  <c r="X188" i="4"/>
  <c r="Y188" i="4"/>
  <c r="AA188" i="4"/>
  <c r="AB188" i="4"/>
  <c r="U189" i="4"/>
  <c r="V189" i="4"/>
  <c r="X189" i="4"/>
  <c r="Y189" i="4"/>
  <c r="AA189" i="4"/>
  <c r="AB189" i="4"/>
  <c r="U190" i="4"/>
  <c r="V190" i="4"/>
  <c r="X190" i="4"/>
  <c r="Y190" i="4"/>
  <c r="AA190" i="4"/>
  <c r="AB190" i="4"/>
  <c r="U191" i="4"/>
  <c r="V191" i="4"/>
  <c r="X191" i="4"/>
  <c r="Y191" i="4"/>
  <c r="AA191" i="4"/>
  <c r="AB191" i="4"/>
  <c r="U192" i="4"/>
  <c r="V192" i="4"/>
  <c r="X192" i="4"/>
  <c r="Y192" i="4"/>
  <c r="AA192" i="4"/>
  <c r="AB192" i="4"/>
  <c r="U193" i="4"/>
  <c r="V193" i="4"/>
  <c r="X193" i="4"/>
  <c r="Y193" i="4"/>
  <c r="AA193" i="4"/>
  <c r="AB193" i="4"/>
  <c r="U194" i="4"/>
  <c r="V194" i="4"/>
  <c r="X194" i="4"/>
  <c r="Y194" i="4"/>
  <c r="AA194" i="4"/>
  <c r="AB194" i="4"/>
  <c r="U195" i="4"/>
  <c r="V195" i="4"/>
  <c r="X195" i="4"/>
  <c r="Y195" i="4"/>
  <c r="AA195" i="4"/>
  <c r="AB195" i="4"/>
  <c r="U196" i="4"/>
  <c r="V196" i="4"/>
  <c r="X196" i="4"/>
  <c r="Y196" i="4"/>
  <c r="AA196" i="4"/>
  <c r="AB196" i="4"/>
  <c r="U197" i="4"/>
  <c r="V197" i="4"/>
  <c r="X197" i="4"/>
  <c r="Y197" i="4"/>
  <c r="AA197" i="4"/>
  <c r="AB197" i="4"/>
  <c r="U198" i="4"/>
  <c r="V198" i="4"/>
  <c r="X198" i="4"/>
  <c r="Y198" i="4"/>
  <c r="AA198" i="4"/>
  <c r="AB198" i="4"/>
  <c r="U199" i="4"/>
  <c r="V199" i="4"/>
  <c r="X199" i="4"/>
  <c r="Y199" i="4"/>
  <c r="AA199" i="4"/>
  <c r="AB199" i="4"/>
  <c r="U200" i="4"/>
  <c r="V200" i="4"/>
  <c r="X200" i="4"/>
  <c r="Y200" i="4"/>
  <c r="AA200" i="4"/>
  <c r="AB200" i="4"/>
  <c r="U201" i="4"/>
  <c r="V201" i="4"/>
  <c r="X201" i="4"/>
  <c r="Y201" i="4"/>
  <c r="AA201" i="4"/>
  <c r="AB201" i="4"/>
  <c r="U202" i="4"/>
  <c r="V202" i="4"/>
  <c r="X202" i="4"/>
  <c r="Y202" i="4"/>
  <c r="AA202" i="4"/>
  <c r="AB202" i="4"/>
  <c r="U203" i="4"/>
  <c r="V203" i="4"/>
  <c r="X203" i="4"/>
  <c r="Y203" i="4"/>
  <c r="AA203" i="4"/>
  <c r="AB203" i="4"/>
  <c r="U204" i="4"/>
  <c r="V204" i="4"/>
  <c r="X204" i="4"/>
  <c r="Y204" i="4"/>
  <c r="AA204" i="4"/>
  <c r="AB204" i="4"/>
  <c r="U205" i="4"/>
  <c r="V205" i="4"/>
  <c r="X205" i="4"/>
  <c r="Y205" i="4"/>
  <c r="AA205" i="4"/>
  <c r="AB205" i="4"/>
  <c r="U206" i="4"/>
  <c r="V206" i="4"/>
  <c r="X206" i="4"/>
  <c r="Y206" i="4"/>
  <c r="AA206" i="4"/>
  <c r="AB206" i="4"/>
  <c r="U207" i="4"/>
  <c r="V207" i="4"/>
  <c r="X207" i="4"/>
  <c r="Y207" i="4"/>
  <c r="AA207" i="4"/>
  <c r="AB207" i="4"/>
  <c r="U208" i="4"/>
  <c r="V208" i="4"/>
  <c r="X208" i="4"/>
  <c r="Y208" i="4"/>
  <c r="AA208" i="4"/>
  <c r="AB208" i="4"/>
  <c r="U209" i="4"/>
  <c r="V209" i="4"/>
  <c r="X209" i="4"/>
  <c r="Y209" i="4"/>
  <c r="AA209" i="4"/>
  <c r="AB209" i="4"/>
  <c r="U210" i="4"/>
  <c r="V210" i="4"/>
  <c r="X210" i="4"/>
  <c r="Y210" i="4"/>
  <c r="AA210" i="4"/>
  <c r="AB210" i="4"/>
  <c r="U211" i="4"/>
  <c r="V211" i="4"/>
  <c r="X211" i="4"/>
  <c r="Y211" i="4"/>
  <c r="AA211" i="4"/>
  <c r="AB211" i="4"/>
  <c r="U212" i="4"/>
  <c r="V212" i="4"/>
  <c r="X212" i="4"/>
  <c r="Y212" i="4"/>
  <c r="AA212" i="4"/>
  <c r="AB212" i="4"/>
  <c r="U213" i="4"/>
  <c r="V213" i="4"/>
  <c r="X213" i="4"/>
  <c r="Y213" i="4"/>
  <c r="AA213" i="4"/>
  <c r="AB213" i="4"/>
  <c r="U214" i="4"/>
  <c r="V214" i="4"/>
  <c r="X214" i="4"/>
  <c r="Y214" i="4"/>
  <c r="AA214" i="4"/>
  <c r="AB214" i="4"/>
  <c r="U215" i="4"/>
  <c r="V215" i="4"/>
  <c r="X215" i="4"/>
  <c r="Y215" i="4"/>
  <c r="AA215" i="4"/>
  <c r="AB215" i="4"/>
  <c r="U216" i="4"/>
  <c r="V216" i="4"/>
  <c r="X216" i="4"/>
  <c r="Y216" i="4"/>
  <c r="AA216" i="4"/>
  <c r="AB216" i="4"/>
  <c r="U217" i="4"/>
  <c r="V217" i="4"/>
  <c r="X217" i="4"/>
  <c r="Y217" i="4"/>
  <c r="AA217" i="4"/>
  <c r="AB217" i="4"/>
  <c r="U218" i="4"/>
  <c r="V218" i="4"/>
  <c r="X218" i="4"/>
  <c r="Y218" i="4"/>
  <c r="AA218" i="4"/>
  <c r="AB218" i="4"/>
  <c r="U219" i="4"/>
  <c r="V219" i="4"/>
  <c r="X219" i="4"/>
  <c r="Y219" i="4"/>
  <c r="AA219" i="4"/>
  <c r="AB219" i="4"/>
  <c r="U220" i="4"/>
  <c r="V220" i="4"/>
  <c r="X220" i="4"/>
  <c r="Y220" i="4"/>
  <c r="AA220" i="4"/>
  <c r="AB220" i="4"/>
  <c r="U221" i="4"/>
  <c r="V221" i="4"/>
  <c r="X221" i="4"/>
  <c r="Y221" i="4"/>
  <c r="AA221" i="4"/>
  <c r="AB221" i="4"/>
  <c r="U222" i="4"/>
  <c r="V222" i="4"/>
  <c r="X222" i="4"/>
  <c r="Y222" i="4"/>
  <c r="AA222" i="4"/>
  <c r="AB222" i="4"/>
  <c r="U223" i="4"/>
  <c r="V223" i="4"/>
  <c r="X223" i="4"/>
  <c r="Y223" i="4"/>
  <c r="AA223" i="4"/>
  <c r="AB223" i="4"/>
  <c r="U224" i="4"/>
  <c r="V224" i="4"/>
  <c r="X224" i="4"/>
  <c r="Y224" i="4"/>
  <c r="AA224" i="4"/>
  <c r="AB224" i="4"/>
  <c r="U225" i="4"/>
  <c r="V225" i="4"/>
  <c r="X225" i="4"/>
  <c r="Y225" i="4"/>
  <c r="AA225" i="4"/>
  <c r="AB225" i="4"/>
  <c r="U226" i="4"/>
  <c r="V226" i="4"/>
  <c r="X226" i="4"/>
  <c r="Y226" i="4"/>
  <c r="AA226" i="4"/>
  <c r="AB226" i="4"/>
  <c r="U227" i="4"/>
  <c r="V227" i="4"/>
  <c r="X227" i="4"/>
  <c r="Y227" i="4"/>
  <c r="AA227" i="4"/>
  <c r="AB227" i="4"/>
  <c r="U228" i="4"/>
  <c r="V228" i="4"/>
  <c r="X228" i="4"/>
  <c r="Y228" i="4"/>
  <c r="AA228" i="4"/>
  <c r="AB228" i="4"/>
  <c r="U229" i="4"/>
  <c r="V229" i="4"/>
  <c r="X229" i="4"/>
  <c r="Y229" i="4"/>
  <c r="AA229" i="4"/>
  <c r="AB229" i="4"/>
  <c r="U230" i="4"/>
  <c r="V230" i="4"/>
  <c r="X230" i="4"/>
  <c r="Y230" i="4"/>
  <c r="AA230" i="4"/>
  <c r="AB230" i="4"/>
  <c r="U231" i="4"/>
  <c r="V231" i="4"/>
  <c r="X231" i="4"/>
  <c r="Y231" i="4"/>
  <c r="AA231" i="4"/>
  <c r="AB231" i="4"/>
  <c r="U232" i="4"/>
  <c r="V232" i="4"/>
  <c r="X232" i="4"/>
  <c r="Y232" i="4"/>
  <c r="AA232" i="4"/>
  <c r="AB232" i="4"/>
  <c r="U233" i="4"/>
  <c r="V233" i="4"/>
  <c r="X233" i="4"/>
  <c r="Y233" i="4"/>
  <c r="AA233" i="4"/>
  <c r="AB233" i="4"/>
  <c r="U234" i="4"/>
  <c r="V234" i="4"/>
  <c r="X234" i="4"/>
  <c r="Y234" i="4"/>
  <c r="AA234" i="4"/>
  <c r="AB234" i="4"/>
  <c r="U235" i="4"/>
  <c r="V235" i="4"/>
  <c r="X235" i="4"/>
  <c r="Y235" i="4"/>
  <c r="AA235" i="4"/>
  <c r="AB235" i="4"/>
  <c r="U236" i="4"/>
  <c r="V236" i="4"/>
  <c r="X236" i="4"/>
  <c r="Y236" i="4"/>
  <c r="AA236" i="4"/>
  <c r="AB236" i="4"/>
  <c r="U237" i="4"/>
  <c r="V237" i="4"/>
  <c r="X237" i="4"/>
  <c r="Y237" i="4"/>
  <c r="AA237" i="4"/>
  <c r="AB237" i="4"/>
  <c r="U238" i="4"/>
  <c r="V238" i="4"/>
  <c r="X238" i="4"/>
  <c r="Y238" i="4"/>
  <c r="AA238" i="4"/>
  <c r="AB238" i="4"/>
  <c r="U239" i="4"/>
  <c r="V239" i="4"/>
  <c r="X239" i="4"/>
  <c r="Y239" i="4"/>
  <c r="AA239" i="4"/>
  <c r="AB239" i="4"/>
  <c r="U240" i="4"/>
  <c r="V240" i="4"/>
  <c r="X240" i="4"/>
  <c r="Y240" i="4"/>
  <c r="AA240" i="4"/>
  <c r="AB240" i="4"/>
  <c r="U241" i="4"/>
  <c r="V241" i="4"/>
  <c r="X241" i="4"/>
  <c r="Y241" i="4"/>
  <c r="AA241" i="4"/>
  <c r="AB241" i="4"/>
  <c r="U242" i="4"/>
  <c r="V242" i="4"/>
  <c r="X242" i="4"/>
  <c r="Y242" i="4"/>
  <c r="AA242" i="4"/>
  <c r="AB242" i="4"/>
  <c r="U243" i="4"/>
  <c r="V243" i="4"/>
  <c r="X243" i="4"/>
  <c r="Y243" i="4"/>
  <c r="AA243" i="4"/>
  <c r="AB243" i="4"/>
  <c r="U244" i="4"/>
  <c r="V244" i="4"/>
  <c r="X244" i="4"/>
  <c r="Y244" i="4"/>
  <c r="AA244" i="4"/>
  <c r="AB244" i="4"/>
  <c r="U245" i="4"/>
  <c r="V245" i="4"/>
  <c r="X245" i="4"/>
  <c r="Y245" i="4"/>
  <c r="AA245" i="4"/>
  <c r="AB245" i="4"/>
  <c r="U246" i="4"/>
  <c r="V246" i="4"/>
  <c r="X246" i="4"/>
  <c r="Y246" i="4"/>
  <c r="AA246" i="4"/>
  <c r="AB246" i="4"/>
  <c r="U247" i="4"/>
  <c r="V247" i="4"/>
  <c r="X247" i="4"/>
  <c r="Y247" i="4"/>
  <c r="AA247" i="4"/>
  <c r="AB247" i="4"/>
  <c r="U248" i="4"/>
  <c r="V248" i="4"/>
  <c r="X248" i="4"/>
  <c r="Y248" i="4"/>
  <c r="AA248" i="4"/>
  <c r="AB248" i="4"/>
  <c r="U249" i="4"/>
  <c r="V249" i="4"/>
  <c r="X249" i="4"/>
  <c r="Y249" i="4"/>
  <c r="AA249" i="4"/>
  <c r="AB249" i="4"/>
  <c r="U250" i="4"/>
  <c r="V250" i="4"/>
  <c r="X250" i="4"/>
  <c r="Y250" i="4"/>
  <c r="AA250" i="4"/>
  <c r="AB250" i="4"/>
  <c r="U251" i="4"/>
  <c r="V251" i="4"/>
  <c r="X251" i="4"/>
  <c r="Y251" i="4"/>
  <c r="AA251" i="4"/>
  <c r="AB251" i="4"/>
  <c r="U252" i="4"/>
  <c r="V252" i="4"/>
  <c r="X252" i="4"/>
  <c r="Y252" i="4"/>
  <c r="AA252" i="4"/>
  <c r="AB252" i="4"/>
  <c r="U253" i="4"/>
  <c r="V253" i="4"/>
  <c r="X253" i="4"/>
  <c r="Y253" i="4"/>
  <c r="AA253" i="4"/>
  <c r="AB253" i="4"/>
  <c r="U254" i="4"/>
  <c r="V254" i="4"/>
  <c r="X254" i="4"/>
  <c r="Y254" i="4"/>
  <c r="AA254" i="4"/>
  <c r="AB254" i="4"/>
  <c r="U255" i="4"/>
  <c r="V255" i="4"/>
  <c r="X255" i="4"/>
  <c r="Y255" i="4"/>
  <c r="AA255" i="4"/>
  <c r="AB255" i="4"/>
  <c r="U256" i="4"/>
  <c r="V256" i="4"/>
  <c r="X256" i="4"/>
  <c r="Y256" i="4"/>
  <c r="AA256" i="4"/>
  <c r="AB256" i="4"/>
  <c r="U257" i="4"/>
  <c r="V257" i="4"/>
  <c r="X257" i="4"/>
  <c r="Y257" i="4"/>
  <c r="AA257" i="4"/>
  <c r="AB257" i="4"/>
  <c r="U258" i="4"/>
  <c r="V258" i="4"/>
  <c r="X258" i="4"/>
  <c r="Y258" i="4"/>
  <c r="AA258" i="4"/>
  <c r="AB258" i="4"/>
  <c r="U259" i="4"/>
  <c r="V259" i="4"/>
  <c r="X259" i="4"/>
  <c r="Y259" i="4"/>
  <c r="AA259" i="4"/>
  <c r="AB259" i="4"/>
  <c r="U260" i="4"/>
  <c r="V260" i="4"/>
  <c r="X260" i="4"/>
  <c r="Y260" i="4"/>
  <c r="AA260" i="4"/>
  <c r="AB260" i="4"/>
  <c r="U261" i="4"/>
  <c r="V261" i="4"/>
  <c r="X261" i="4"/>
  <c r="Y261" i="4"/>
  <c r="AA261" i="4"/>
  <c r="AB261" i="4"/>
  <c r="U262" i="4"/>
  <c r="V262" i="4"/>
  <c r="X262" i="4"/>
  <c r="Y262" i="4"/>
  <c r="AA262" i="4"/>
  <c r="AB262" i="4"/>
  <c r="U263" i="4"/>
  <c r="V263" i="4"/>
  <c r="X263" i="4"/>
  <c r="Y263" i="4"/>
  <c r="AA263" i="4"/>
  <c r="AB263" i="4"/>
  <c r="U264" i="4"/>
  <c r="V264" i="4"/>
  <c r="X264" i="4"/>
  <c r="Y264" i="4"/>
  <c r="AA264" i="4"/>
  <c r="AB264" i="4"/>
  <c r="U265" i="4"/>
  <c r="V265" i="4"/>
  <c r="X265" i="4"/>
  <c r="Y265" i="4"/>
  <c r="AA265" i="4"/>
  <c r="AB265" i="4"/>
  <c r="U266" i="4"/>
  <c r="V266" i="4"/>
  <c r="X266" i="4"/>
  <c r="Y266" i="4"/>
  <c r="AA266" i="4"/>
  <c r="AB266" i="4"/>
  <c r="U267" i="4"/>
  <c r="V267" i="4"/>
  <c r="X267" i="4"/>
  <c r="Y267" i="4"/>
  <c r="AA267" i="4"/>
  <c r="AB267" i="4"/>
  <c r="U268" i="4"/>
  <c r="V268" i="4"/>
  <c r="X268" i="4"/>
  <c r="Y268" i="4"/>
  <c r="AA268" i="4"/>
  <c r="AB268" i="4"/>
  <c r="U269" i="4"/>
  <c r="V269" i="4"/>
  <c r="X269" i="4"/>
  <c r="Y269" i="4"/>
  <c r="AA269" i="4"/>
  <c r="AB269" i="4"/>
  <c r="U270" i="4"/>
  <c r="V270" i="4"/>
  <c r="X270" i="4"/>
  <c r="Y270" i="4"/>
  <c r="AA270" i="4"/>
  <c r="AB270" i="4"/>
  <c r="U271" i="4"/>
  <c r="V271" i="4"/>
  <c r="X271" i="4"/>
  <c r="Y271" i="4"/>
  <c r="AA271" i="4"/>
  <c r="AB271" i="4"/>
  <c r="U272" i="4"/>
  <c r="V272" i="4"/>
  <c r="X272" i="4"/>
  <c r="Y272" i="4"/>
  <c r="AA272" i="4"/>
  <c r="AB272" i="4"/>
  <c r="U273" i="4"/>
  <c r="V273" i="4"/>
  <c r="X273" i="4"/>
  <c r="Y273" i="4"/>
  <c r="AA273" i="4"/>
  <c r="AB273" i="4"/>
  <c r="U274" i="4"/>
  <c r="V274" i="4"/>
  <c r="X274" i="4"/>
  <c r="Y274" i="4"/>
  <c r="AA274" i="4"/>
  <c r="AB274" i="4"/>
  <c r="U275" i="4"/>
  <c r="V275" i="4"/>
  <c r="X275" i="4"/>
  <c r="Y275" i="4"/>
  <c r="AA275" i="4"/>
  <c r="AB275" i="4"/>
  <c r="U276" i="4"/>
  <c r="V276" i="4"/>
  <c r="X276" i="4"/>
  <c r="Y276" i="4"/>
  <c r="AA276" i="4"/>
  <c r="AB276" i="4"/>
  <c r="U277" i="4"/>
  <c r="V277" i="4"/>
  <c r="X277" i="4"/>
  <c r="Y277" i="4"/>
  <c r="AA277" i="4"/>
  <c r="AB277" i="4"/>
  <c r="U278" i="4"/>
  <c r="V278" i="4"/>
  <c r="X278" i="4"/>
  <c r="Y278" i="4"/>
  <c r="AA278" i="4"/>
  <c r="AB278" i="4"/>
  <c r="U279" i="4"/>
  <c r="V279" i="4"/>
  <c r="X279" i="4"/>
  <c r="Y279" i="4"/>
  <c r="AA279" i="4"/>
  <c r="AB279" i="4"/>
  <c r="U280" i="4"/>
  <c r="V280" i="4"/>
  <c r="X280" i="4"/>
  <c r="Y280" i="4"/>
  <c r="AA280" i="4"/>
  <c r="AB280" i="4"/>
  <c r="U281" i="4"/>
  <c r="V281" i="4"/>
  <c r="X281" i="4"/>
  <c r="Y281" i="4"/>
  <c r="AA281" i="4"/>
  <c r="AB281" i="4"/>
  <c r="U282" i="4"/>
  <c r="V282" i="4"/>
  <c r="X282" i="4"/>
  <c r="Y282" i="4"/>
  <c r="AA282" i="4"/>
  <c r="AB282" i="4"/>
  <c r="U283" i="4"/>
  <c r="V283" i="4"/>
  <c r="X283" i="4"/>
  <c r="Y283" i="4"/>
  <c r="AA283" i="4"/>
  <c r="AB283" i="4"/>
  <c r="U284" i="4"/>
  <c r="V284" i="4"/>
  <c r="X284" i="4"/>
  <c r="Y284" i="4"/>
  <c r="AA284" i="4"/>
  <c r="AB284" i="4"/>
  <c r="U285" i="4"/>
  <c r="V285" i="4"/>
  <c r="X285" i="4"/>
  <c r="Y285" i="4"/>
  <c r="AA285" i="4"/>
  <c r="AB285" i="4"/>
  <c r="U286" i="4"/>
  <c r="V286" i="4"/>
  <c r="X286" i="4"/>
  <c r="Y286" i="4"/>
  <c r="AA286" i="4"/>
  <c r="AB286" i="4"/>
  <c r="U287" i="4"/>
  <c r="V287" i="4"/>
  <c r="X287" i="4"/>
  <c r="Y287" i="4"/>
  <c r="AA287" i="4"/>
  <c r="AB287" i="4"/>
  <c r="U288" i="4"/>
  <c r="V288" i="4"/>
  <c r="X288" i="4"/>
  <c r="Y288" i="4"/>
  <c r="AA288" i="4"/>
  <c r="AB288" i="4"/>
  <c r="U289" i="4"/>
  <c r="V289" i="4"/>
  <c r="X289" i="4"/>
  <c r="Y289" i="4"/>
  <c r="AA289" i="4"/>
  <c r="AB289" i="4"/>
  <c r="U290" i="4"/>
  <c r="V290" i="4"/>
  <c r="X290" i="4"/>
  <c r="Y290" i="4"/>
  <c r="AA290" i="4"/>
  <c r="AB290" i="4"/>
  <c r="U291" i="4"/>
  <c r="V291" i="4"/>
  <c r="X291" i="4"/>
  <c r="Y291" i="4"/>
  <c r="AA291" i="4"/>
  <c r="AB291" i="4"/>
  <c r="U292" i="4"/>
  <c r="V292" i="4"/>
  <c r="X292" i="4"/>
  <c r="Y292" i="4"/>
  <c r="AA292" i="4"/>
  <c r="AB292" i="4"/>
  <c r="U293" i="4"/>
  <c r="V293" i="4"/>
  <c r="X293" i="4"/>
  <c r="Y293" i="4"/>
  <c r="AA293" i="4"/>
  <c r="AB293" i="4"/>
  <c r="U294" i="4"/>
  <c r="V294" i="4"/>
  <c r="X294" i="4"/>
  <c r="Y294" i="4"/>
  <c r="AA294" i="4"/>
  <c r="AB294" i="4"/>
  <c r="U295" i="4"/>
  <c r="V295" i="4"/>
  <c r="X295" i="4"/>
  <c r="Y295" i="4"/>
  <c r="AA295" i="4"/>
  <c r="AB295" i="4"/>
  <c r="AB3" i="4"/>
  <c r="AA3" i="4"/>
  <c r="Y3" i="4"/>
  <c r="X3" i="4"/>
  <c r="V3" i="4"/>
  <c r="U3" i="4"/>
  <c r="L4" i="4"/>
  <c r="M4" i="4"/>
  <c r="O4" i="4"/>
  <c r="P4" i="4"/>
  <c r="R4" i="4"/>
  <c r="S4" i="4"/>
  <c r="L5" i="4"/>
  <c r="M5" i="4"/>
  <c r="O5" i="4"/>
  <c r="P5" i="4"/>
  <c r="R5" i="4"/>
  <c r="S5" i="4"/>
  <c r="L6" i="4"/>
  <c r="M6" i="4"/>
  <c r="O6" i="4"/>
  <c r="P6" i="4"/>
  <c r="R6" i="4"/>
  <c r="S6" i="4"/>
  <c r="L7" i="4"/>
  <c r="M7" i="4"/>
  <c r="O7" i="4"/>
  <c r="P7" i="4"/>
  <c r="R7" i="4"/>
  <c r="S7" i="4"/>
  <c r="L8" i="4"/>
  <c r="M8" i="4"/>
  <c r="O8" i="4"/>
  <c r="P8" i="4"/>
  <c r="R8" i="4"/>
  <c r="S8" i="4"/>
  <c r="L9" i="4"/>
  <c r="M9" i="4"/>
  <c r="O9" i="4"/>
  <c r="P9" i="4"/>
  <c r="R9" i="4"/>
  <c r="S9" i="4"/>
  <c r="L10" i="4"/>
  <c r="M10" i="4"/>
  <c r="O10" i="4"/>
  <c r="P10" i="4"/>
  <c r="R10" i="4"/>
  <c r="S10" i="4"/>
  <c r="L11" i="4"/>
  <c r="M11" i="4"/>
  <c r="O11" i="4"/>
  <c r="P11" i="4"/>
  <c r="R11" i="4"/>
  <c r="S11" i="4"/>
  <c r="L12" i="4"/>
  <c r="M12" i="4"/>
  <c r="O12" i="4"/>
  <c r="P12" i="4"/>
  <c r="R12" i="4"/>
  <c r="S12" i="4"/>
  <c r="L13" i="4"/>
  <c r="M13" i="4"/>
  <c r="O13" i="4"/>
  <c r="P13" i="4"/>
  <c r="R13" i="4"/>
  <c r="S13" i="4"/>
  <c r="L14" i="4"/>
  <c r="M14" i="4"/>
  <c r="O14" i="4"/>
  <c r="P14" i="4"/>
  <c r="R14" i="4"/>
  <c r="S14" i="4"/>
  <c r="L15" i="4"/>
  <c r="M15" i="4"/>
  <c r="O15" i="4"/>
  <c r="P15" i="4"/>
  <c r="R15" i="4"/>
  <c r="S15" i="4"/>
  <c r="L16" i="4"/>
  <c r="M16" i="4"/>
  <c r="O16" i="4"/>
  <c r="P16" i="4"/>
  <c r="R16" i="4"/>
  <c r="S16" i="4"/>
  <c r="L17" i="4"/>
  <c r="M17" i="4"/>
  <c r="O17" i="4"/>
  <c r="P17" i="4"/>
  <c r="R17" i="4"/>
  <c r="S17" i="4"/>
  <c r="L18" i="4"/>
  <c r="M18" i="4"/>
  <c r="O18" i="4"/>
  <c r="P18" i="4"/>
  <c r="R18" i="4"/>
  <c r="S18" i="4"/>
  <c r="L19" i="4"/>
  <c r="M19" i="4"/>
  <c r="O19" i="4"/>
  <c r="P19" i="4"/>
  <c r="R19" i="4"/>
  <c r="S19" i="4"/>
  <c r="L20" i="4"/>
  <c r="M20" i="4"/>
  <c r="O20" i="4"/>
  <c r="P20" i="4"/>
  <c r="R20" i="4"/>
  <c r="S20" i="4"/>
  <c r="L21" i="4"/>
  <c r="M21" i="4"/>
  <c r="O21" i="4"/>
  <c r="P21" i="4"/>
  <c r="R21" i="4"/>
  <c r="S21" i="4"/>
  <c r="L22" i="4"/>
  <c r="M22" i="4"/>
  <c r="O22" i="4"/>
  <c r="P22" i="4"/>
  <c r="R22" i="4"/>
  <c r="S22" i="4"/>
  <c r="L23" i="4"/>
  <c r="M23" i="4"/>
  <c r="O23" i="4"/>
  <c r="P23" i="4"/>
  <c r="R23" i="4"/>
  <c r="S23" i="4"/>
  <c r="L24" i="4"/>
  <c r="M24" i="4"/>
  <c r="O24" i="4"/>
  <c r="P24" i="4"/>
  <c r="R24" i="4"/>
  <c r="S24" i="4"/>
  <c r="L25" i="4"/>
  <c r="M25" i="4"/>
  <c r="O25" i="4"/>
  <c r="P25" i="4"/>
  <c r="R25" i="4"/>
  <c r="S25" i="4"/>
  <c r="L26" i="4"/>
  <c r="M26" i="4"/>
  <c r="O26" i="4"/>
  <c r="P26" i="4"/>
  <c r="R26" i="4"/>
  <c r="S26" i="4"/>
  <c r="L27" i="4"/>
  <c r="M27" i="4"/>
  <c r="O27" i="4"/>
  <c r="P27" i="4"/>
  <c r="R27" i="4"/>
  <c r="S27" i="4"/>
  <c r="L28" i="4"/>
  <c r="M28" i="4"/>
  <c r="O28" i="4"/>
  <c r="P28" i="4"/>
  <c r="R28" i="4"/>
  <c r="S28" i="4"/>
  <c r="L29" i="4"/>
  <c r="M29" i="4"/>
  <c r="O29" i="4"/>
  <c r="P29" i="4"/>
  <c r="R29" i="4"/>
  <c r="S29" i="4"/>
  <c r="L30" i="4"/>
  <c r="M30" i="4"/>
  <c r="O30" i="4"/>
  <c r="P30" i="4"/>
  <c r="R30" i="4"/>
  <c r="S30" i="4"/>
  <c r="L31" i="4"/>
  <c r="M31" i="4"/>
  <c r="O31" i="4"/>
  <c r="P31" i="4"/>
  <c r="R31" i="4"/>
  <c r="S31" i="4"/>
  <c r="L32" i="4"/>
  <c r="M32" i="4"/>
  <c r="O32" i="4"/>
  <c r="P32" i="4"/>
  <c r="R32" i="4"/>
  <c r="S32" i="4"/>
  <c r="L33" i="4"/>
  <c r="M33" i="4"/>
  <c r="O33" i="4"/>
  <c r="P33" i="4"/>
  <c r="R33" i="4"/>
  <c r="S33" i="4"/>
  <c r="L34" i="4"/>
  <c r="M34" i="4"/>
  <c r="O34" i="4"/>
  <c r="P34" i="4"/>
  <c r="R34" i="4"/>
  <c r="S34" i="4"/>
  <c r="L35" i="4"/>
  <c r="M35" i="4"/>
  <c r="O35" i="4"/>
  <c r="P35" i="4"/>
  <c r="R35" i="4"/>
  <c r="S35" i="4"/>
  <c r="L36" i="4"/>
  <c r="M36" i="4"/>
  <c r="O36" i="4"/>
  <c r="P36" i="4"/>
  <c r="R36" i="4"/>
  <c r="S36" i="4"/>
  <c r="L37" i="4"/>
  <c r="M37" i="4"/>
  <c r="O37" i="4"/>
  <c r="P37" i="4"/>
  <c r="R37" i="4"/>
  <c r="S37" i="4"/>
  <c r="L38" i="4"/>
  <c r="M38" i="4"/>
  <c r="O38" i="4"/>
  <c r="P38" i="4"/>
  <c r="R38" i="4"/>
  <c r="S38" i="4"/>
  <c r="L39" i="4"/>
  <c r="M39" i="4"/>
  <c r="O39" i="4"/>
  <c r="P39" i="4"/>
  <c r="R39" i="4"/>
  <c r="S39" i="4"/>
  <c r="L40" i="4"/>
  <c r="M40" i="4"/>
  <c r="O40" i="4"/>
  <c r="P40" i="4"/>
  <c r="R40" i="4"/>
  <c r="S40" i="4"/>
  <c r="L41" i="4"/>
  <c r="M41" i="4"/>
  <c r="O41" i="4"/>
  <c r="P41" i="4"/>
  <c r="R41" i="4"/>
  <c r="S41" i="4"/>
  <c r="L42" i="4"/>
  <c r="M42" i="4"/>
  <c r="O42" i="4"/>
  <c r="P42" i="4"/>
  <c r="R42" i="4"/>
  <c r="S42" i="4"/>
  <c r="L43" i="4"/>
  <c r="M43" i="4"/>
  <c r="O43" i="4"/>
  <c r="P43" i="4"/>
  <c r="R43" i="4"/>
  <c r="S43" i="4"/>
  <c r="L44" i="4"/>
  <c r="M44" i="4"/>
  <c r="O44" i="4"/>
  <c r="P44" i="4"/>
  <c r="R44" i="4"/>
  <c r="S44" i="4"/>
  <c r="L45" i="4"/>
  <c r="M45" i="4"/>
  <c r="O45" i="4"/>
  <c r="P45" i="4"/>
  <c r="R45" i="4"/>
  <c r="S45" i="4"/>
  <c r="L46" i="4"/>
  <c r="M46" i="4"/>
  <c r="O46" i="4"/>
  <c r="P46" i="4"/>
  <c r="R46" i="4"/>
  <c r="S46" i="4"/>
  <c r="L47" i="4"/>
  <c r="M47" i="4"/>
  <c r="O47" i="4"/>
  <c r="P47" i="4"/>
  <c r="R47" i="4"/>
  <c r="S47" i="4"/>
  <c r="L48" i="4"/>
  <c r="M48" i="4"/>
  <c r="O48" i="4"/>
  <c r="P48" i="4"/>
  <c r="R48" i="4"/>
  <c r="S48" i="4"/>
  <c r="L49" i="4"/>
  <c r="M49" i="4"/>
  <c r="O49" i="4"/>
  <c r="P49" i="4"/>
  <c r="R49" i="4"/>
  <c r="S49" i="4"/>
  <c r="L50" i="4"/>
  <c r="M50" i="4"/>
  <c r="O50" i="4"/>
  <c r="P50" i="4"/>
  <c r="R50" i="4"/>
  <c r="S50" i="4"/>
  <c r="L51" i="4"/>
  <c r="M51" i="4"/>
  <c r="O51" i="4"/>
  <c r="P51" i="4"/>
  <c r="R51" i="4"/>
  <c r="S51" i="4"/>
  <c r="L52" i="4"/>
  <c r="M52" i="4"/>
  <c r="O52" i="4"/>
  <c r="P52" i="4"/>
  <c r="R52" i="4"/>
  <c r="S52" i="4"/>
  <c r="L53" i="4"/>
  <c r="M53" i="4"/>
  <c r="O53" i="4"/>
  <c r="P53" i="4"/>
  <c r="R53" i="4"/>
  <c r="S53" i="4"/>
  <c r="L54" i="4"/>
  <c r="M54" i="4"/>
  <c r="O54" i="4"/>
  <c r="P54" i="4"/>
  <c r="R54" i="4"/>
  <c r="S54" i="4"/>
  <c r="L55" i="4"/>
  <c r="M55" i="4"/>
  <c r="O55" i="4"/>
  <c r="P55" i="4"/>
  <c r="R55" i="4"/>
  <c r="S55" i="4"/>
  <c r="L56" i="4"/>
  <c r="M56" i="4"/>
  <c r="O56" i="4"/>
  <c r="P56" i="4"/>
  <c r="R56" i="4"/>
  <c r="S56" i="4"/>
  <c r="L57" i="4"/>
  <c r="M57" i="4"/>
  <c r="O57" i="4"/>
  <c r="P57" i="4"/>
  <c r="R57" i="4"/>
  <c r="S57" i="4"/>
  <c r="L58" i="4"/>
  <c r="M58" i="4"/>
  <c r="O58" i="4"/>
  <c r="P58" i="4"/>
  <c r="R58" i="4"/>
  <c r="S58" i="4"/>
  <c r="L59" i="4"/>
  <c r="M59" i="4"/>
  <c r="O59" i="4"/>
  <c r="P59" i="4"/>
  <c r="R59" i="4"/>
  <c r="S59" i="4"/>
  <c r="L60" i="4"/>
  <c r="M60" i="4"/>
  <c r="O60" i="4"/>
  <c r="P60" i="4"/>
  <c r="R60" i="4"/>
  <c r="S60" i="4"/>
  <c r="L61" i="4"/>
  <c r="M61" i="4"/>
  <c r="O61" i="4"/>
  <c r="P61" i="4"/>
  <c r="R61" i="4"/>
  <c r="S61" i="4"/>
  <c r="L62" i="4"/>
  <c r="M62" i="4"/>
  <c r="O62" i="4"/>
  <c r="P62" i="4"/>
  <c r="R62" i="4"/>
  <c r="S62" i="4"/>
  <c r="L63" i="4"/>
  <c r="M63" i="4"/>
  <c r="O63" i="4"/>
  <c r="P63" i="4"/>
  <c r="R63" i="4"/>
  <c r="S63" i="4"/>
  <c r="L64" i="4"/>
  <c r="M64" i="4"/>
  <c r="O64" i="4"/>
  <c r="P64" i="4"/>
  <c r="R64" i="4"/>
  <c r="S64" i="4"/>
  <c r="L65" i="4"/>
  <c r="M65" i="4"/>
  <c r="O65" i="4"/>
  <c r="P65" i="4"/>
  <c r="R65" i="4"/>
  <c r="S65" i="4"/>
  <c r="L66" i="4"/>
  <c r="M66" i="4"/>
  <c r="O66" i="4"/>
  <c r="P66" i="4"/>
  <c r="R66" i="4"/>
  <c r="S66" i="4"/>
  <c r="L67" i="4"/>
  <c r="M67" i="4"/>
  <c r="O67" i="4"/>
  <c r="P67" i="4"/>
  <c r="R67" i="4"/>
  <c r="S67" i="4"/>
  <c r="L68" i="4"/>
  <c r="M68" i="4"/>
  <c r="O68" i="4"/>
  <c r="P68" i="4"/>
  <c r="R68" i="4"/>
  <c r="S68" i="4"/>
  <c r="L69" i="4"/>
  <c r="M69" i="4"/>
  <c r="O69" i="4"/>
  <c r="P69" i="4"/>
  <c r="R69" i="4"/>
  <c r="S69" i="4"/>
  <c r="L70" i="4"/>
  <c r="M70" i="4"/>
  <c r="O70" i="4"/>
  <c r="P70" i="4"/>
  <c r="R70" i="4"/>
  <c r="S70" i="4"/>
  <c r="L71" i="4"/>
  <c r="M71" i="4"/>
  <c r="O71" i="4"/>
  <c r="P71" i="4"/>
  <c r="R71" i="4"/>
  <c r="S71" i="4"/>
  <c r="L72" i="4"/>
  <c r="M72" i="4"/>
  <c r="O72" i="4"/>
  <c r="P72" i="4"/>
  <c r="R72" i="4"/>
  <c r="S72" i="4"/>
  <c r="L73" i="4"/>
  <c r="M73" i="4"/>
  <c r="O73" i="4"/>
  <c r="P73" i="4"/>
  <c r="R73" i="4"/>
  <c r="S73" i="4"/>
  <c r="L74" i="4"/>
  <c r="M74" i="4"/>
  <c r="O74" i="4"/>
  <c r="P74" i="4"/>
  <c r="R74" i="4"/>
  <c r="S74" i="4"/>
  <c r="L75" i="4"/>
  <c r="M75" i="4"/>
  <c r="O75" i="4"/>
  <c r="P75" i="4"/>
  <c r="R75" i="4"/>
  <c r="S75" i="4"/>
  <c r="L76" i="4"/>
  <c r="M76" i="4"/>
  <c r="O76" i="4"/>
  <c r="P76" i="4"/>
  <c r="R76" i="4"/>
  <c r="S76" i="4"/>
  <c r="L77" i="4"/>
  <c r="M77" i="4"/>
  <c r="O77" i="4"/>
  <c r="P77" i="4"/>
  <c r="R77" i="4"/>
  <c r="S77" i="4"/>
  <c r="L78" i="4"/>
  <c r="M78" i="4"/>
  <c r="O78" i="4"/>
  <c r="P78" i="4"/>
  <c r="R78" i="4"/>
  <c r="S78" i="4"/>
  <c r="L79" i="4"/>
  <c r="M79" i="4"/>
  <c r="O79" i="4"/>
  <c r="P79" i="4"/>
  <c r="R79" i="4"/>
  <c r="S79" i="4"/>
  <c r="L80" i="4"/>
  <c r="M80" i="4"/>
  <c r="O80" i="4"/>
  <c r="P80" i="4"/>
  <c r="R80" i="4"/>
  <c r="S80" i="4"/>
  <c r="L81" i="4"/>
  <c r="M81" i="4"/>
  <c r="O81" i="4"/>
  <c r="P81" i="4"/>
  <c r="R81" i="4"/>
  <c r="S81" i="4"/>
  <c r="L82" i="4"/>
  <c r="M82" i="4"/>
  <c r="O82" i="4"/>
  <c r="P82" i="4"/>
  <c r="R82" i="4"/>
  <c r="S82" i="4"/>
  <c r="L83" i="4"/>
  <c r="M83" i="4"/>
  <c r="O83" i="4"/>
  <c r="P83" i="4"/>
  <c r="R83" i="4"/>
  <c r="S83" i="4"/>
  <c r="L84" i="4"/>
  <c r="M84" i="4"/>
  <c r="O84" i="4"/>
  <c r="P84" i="4"/>
  <c r="R84" i="4"/>
  <c r="S84" i="4"/>
  <c r="L85" i="4"/>
  <c r="M85" i="4"/>
  <c r="O85" i="4"/>
  <c r="P85" i="4"/>
  <c r="R85" i="4"/>
  <c r="S85" i="4"/>
  <c r="L86" i="4"/>
  <c r="M86" i="4"/>
  <c r="O86" i="4"/>
  <c r="P86" i="4"/>
  <c r="R86" i="4"/>
  <c r="S86" i="4"/>
  <c r="L87" i="4"/>
  <c r="M87" i="4"/>
  <c r="O87" i="4"/>
  <c r="P87" i="4"/>
  <c r="R87" i="4"/>
  <c r="S87" i="4"/>
  <c r="L88" i="4"/>
  <c r="M88" i="4"/>
  <c r="O88" i="4"/>
  <c r="P88" i="4"/>
  <c r="R88" i="4"/>
  <c r="S88" i="4"/>
  <c r="L89" i="4"/>
  <c r="M89" i="4"/>
  <c r="O89" i="4"/>
  <c r="P89" i="4"/>
  <c r="R89" i="4"/>
  <c r="S89" i="4"/>
  <c r="L90" i="4"/>
  <c r="M90" i="4"/>
  <c r="O90" i="4"/>
  <c r="P90" i="4"/>
  <c r="R90" i="4"/>
  <c r="S90" i="4"/>
  <c r="L91" i="4"/>
  <c r="M91" i="4"/>
  <c r="O91" i="4"/>
  <c r="P91" i="4"/>
  <c r="R91" i="4"/>
  <c r="S91" i="4"/>
  <c r="L92" i="4"/>
  <c r="M92" i="4"/>
  <c r="O92" i="4"/>
  <c r="P92" i="4"/>
  <c r="R92" i="4"/>
  <c r="S92" i="4"/>
  <c r="L93" i="4"/>
  <c r="M93" i="4"/>
  <c r="O93" i="4"/>
  <c r="P93" i="4"/>
  <c r="R93" i="4"/>
  <c r="S93" i="4"/>
  <c r="L94" i="4"/>
  <c r="M94" i="4"/>
  <c r="O94" i="4"/>
  <c r="P94" i="4"/>
  <c r="R94" i="4"/>
  <c r="S94" i="4"/>
  <c r="L95" i="4"/>
  <c r="M95" i="4"/>
  <c r="O95" i="4"/>
  <c r="P95" i="4"/>
  <c r="R95" i="4"/>
  <c r="S95" i="4"/>
  <c r="L96" i="4"/>
  <c r="M96" i="4"/>
  <c r="O96" i="4"/>
  <c r="P96" i="4"/>
  <c r="R96" i="4"/>
  <c r="S96" i="4"/>
  <c r="L97" i="4"/>
  <c r="M97" i="4"/>
  <c r="O97" i="4"/>
  <c r="P97" i="4"/>
  <c r="R97" i="4"/>
  <c r="S97" i="4"/>
  <c r="L98" i="4"/>
  <c r="M98" i="4"/>
  <c r="O98" i="4"/>
  <c r="P98" i="4"/>
  <c r="R98" i="4"/>
  <c r="S98" i="4"/>
  <c r="L99" i="4"/>
  <c r="M99" i="4"/>
  <c r="O99" i="4"/>
  <c r="P99" i="4"/>
  <c r="R99" i="4"/>
  <c r="S99" i="4"/>
  <c r="L100" i="4"/>
  <c r="M100" i="4"/>
  <c r="O100" i="4"/>
  <c r="P100" i="4"/>
  <c r="R100" i="4"/>
  <c r="S100" i="4"/>
  <c r="L101" i="4"/>
  <c r="M101" i="4"/>
  <c r="O101" i="4"/>
  <c r="P101" i="4"/>
  <c r="R101" i="4"/>
  <c r="S101" i="4"/>
  <c r="L102" i="4"/>
  <c r="M102" i="4"/>
  <c r="O102" i="4"/>
  <c r="P102" i="4"/>
  <c r="R102" i="4"/>
  <c r="S102" i="4"/>
  <c r="L103" i="4"/>
  <c r="M103" i="4"/>
  <c r="O103" i="4"/>
  <c r="P103" i="4"/>
  <c r="R103" i="4"/>
  <c r="S103" i="4"/>
  <c r="L104" i="4"/>
  <c r="M104" i="4"/>
  <c r="O104" i="4"/>
  <c r="P104" i="4"/>
  <c r="R104" i="4"/>
  <c r="S104" i="4"/>
  <c r="L105" i="4"/>
  <c r="M105" i="4"/>
  <c r="O105" i="4"/>
  <c r="P105" i="4"/>
  <c r="R105" i="4"/>
  <c r="S105" i="4"/>
  <c r="L106" i="4"/>
  <c r="M106" i="4"/>
  <c r="O106" i="4"/>
  <c r="P106" i="4"/>
  <c r="R106" i="4"/>
  <c r="S106" i="4"/>
  <c r="L107" i="4"/>
  <c r="M107" i="4"/>
  <c r="O107" i="4"/>
  <c r="P107" i="4"/>
  <c r="R107" i="4"/>
  <c r="S107" i="4"/>
  <c r="L108" i="4"/>
  <c r="M108" i="4"/>
  <c r="O108" i="4"/>
  <c r="P108" i="4"/>
  <c r="R108" i="4"/>
  <c r="S108" i="4"/>
  <c r="L109" i="4"/>
  <c r="M109" i="4"/>
  <c r="O109" i="4"/>
  <c r="P109" i="4"/>
  <c r="R109" i="4"/>
  <c r="S109" i="4"/>
  <c r="L110" i="4"/>
  <c r="M110" i="4"/>
  <c r="O110" i="4"/>
  <c r="P110" i="4"/>
  <c r="R110" i="4"/>
  <c r="S110" i="4"/>
  <c r="L111" i="4"/>
  <c r="M111" i="4"/>
  <c r="O111" i="4"/>
  <c r="P111" i="4"/>
  <c r="R111" i="4"/>
  <c r="S111" i="4"/>
  <c r="L112" i="4"/>
  <c r="M112" i="4"/>
  <c r="O112" i="4"/>
  <c r="P112" i="4"/>
  <c r="R112" i="4"/>
  <c r="S112" i="4"/>
  <c r="L113" i="4"/>
  <c r="M113" i="4"/>
  <c r="O113" i="4"/>
  <c r="P113" i="4"/>
  <c r="R113" i="4"/>
  <c r="S113" i="4"/>
  <c r="L114" i="4"/>
  <c r="M114" i="4"/>
  <c r="O114" i="4"/>
  <c r="P114" i="4"/>
  <c r="R114" i="4"/>
  <c r="S114" i="4"/>
  <c r="L115" i="4"/>
  <c r="M115" i="4"/>
  <c r="O115" i="4"/>
  <c r="P115" i="4"/>
  <c r="R115" i="4"/>
  <c r="S115" i="4"/>
  <c r="L116" i="4"/>
  <c r="M116" i="4"/>
  <c r="O116" i="4"/>
  <c r="P116" i="4"/>
  <c r="R116" i="4"/>
  <c r="S116" i="4"/>
  <c r="L117" i="4"/>
  <c r="M117" i="4"/>
  <c r="O117" i="4"/>
  <c r="P117" i="4"/>
  <c r="R117" i="4"/>
  <c r="S117" i="4"/>
  <c r="L118" i="4"/>
  <c r="M118" i="4"/>
  <c r="O118" i="4"/>
  <c r="P118" i="4"/>
  <c r="R118" i="4"/>
  <c r="S118" i="4"/>
  <c r="L119" i="4"/>
  <c r="M119" i="4"/>
  <c r="O119" i="4"/>
  <c r="P119" i="4"/>
  <c r="R119" i="4"/>
  <c r="S119" i="4"/>
  <c r="L120" i="4"/>
  <c r="M120" i="4"/>
  <c r="O120" i="4"/>
  <c r="P120" i="4"/>
  <c r="R120" i="4"/>
  <c r="S120" i="4"/>
  <c r="L121" i="4"/>
  <c r="M121" i="4"/>
  <c r="O121" i="4"/>
  <c r="P121" i="4"/>
  <c r="R121" i="4"/>
  <c r="S121" i="4"/>
  <c r="L122" i="4"/>
  <c r="M122" i="4"/>
  <c r="O122" i="4"/>
  <c r="P122" i="4"/>
  <c r="R122" i="4"/>
  <c r="S122" i="4"/>
  <c r="L123" i="4"/>
  <c r="M123" i="4"/>
  <c r="O123" i="4"/>
  <c r="P123" i="4"/>
  <c r="R123" i="4"/>
  <c r="S123" i="4"/>
  <c r="L124" i="4"/>
  <c r="M124" i="4"/>
  <c r="O124" i="4"/>
  <c r="P124" i="4"/>
  <c r="R124" i="4"/>
  <c r="S124" i="4"/>
  <c r="L125" i="4"/>
  <c r="M125" i="4"/>
  <c r="O125" i="4"/>
  <c r="P125" i="4"/>
  <c r="R125" i="4"/>
  <c r="S125" i="4"/>
  <c r="L126" i="4"/>
  <c r="M126" i="4"/>
  <c r="O126" i="4"/>
  <c r="P126" i="4"/>
  <c r="R126" i="4"/>
  <c r="S126" i="4"/>
  <c r="L127" i="4"/>
  <c r="M127" i="4"/>
  <c r="O127" i="4"/>
  <c r="P127" i="4"/>
  <c r="R127" i="4"/>
  <c r="S127" i="4"/>
  <c r="L128" i="4"/>
  <c r="M128" i="4"/>
  <c r="O128" i="4"/>
  <c r="P128" i="4"/>
  <c r="R128" i="4"/>
  <c r="S128" i="4"/>
  <c r="L129" i="4"/>
  <c r="M129" i="4"/>
  <c r="O129" i="4"/>
  <c r="P129" i="4"/>
  <c r="R129" i="4"/>
  <c r="S129" i="4"/>
  <c r="L130" i="4"/>
  <c r="M130" i="4"/>
  <c r="O130" i="4"/>
  <c r="P130" i="4"/>
  <c r="R130" i="4"/>
  <c r="S130" i="4"/>
  <c r="L131" i="4"/>
  <c r="M131" i="4"/>
  <c r="O131" i="4"/>
  <c r="P131" i="4"/>
  <c r="R131" i="4"/>
  <c r="S131" i="4"/>
  <c r="L132" i="4"/>
  <c r="M132" i="4"/>
  <c r="O132" i="4"/>
  <c r="P132" i="4"/>
  <c r="R132" i="4"/>
  <c r="S132" i="4"/>
  <c r="L133" i="4"/>
  <c r="M133" i="4"/>
  <c r="O133" i="4"/>
  <c r="P133" i="4"/>
  <c r="R133" i="4"/>
  <c r="S133" i="4"/>
  <c r="L134" i="4"/>
  <c r="M134" i="4"/>
  <c r="O134" i="4"/>
  <c r="P134" i="4"/>
  <c r="R134" i="4"/>
  <c r="S134" i="4"/>
  <c r="L135" i="4"/>
  <c r="M135" i="4"/>
  <c r="O135" i="4"/>
  <c r="P135" i="4"/>
  <c r="R135" i="4"/>
  <c r="S135" i="4"/>
  <c r="L136" i="4"/>
  <c r="M136" i="4"/>
  <c r="O136" i="4"/>
  <c r="P136" i="4"/>
  <c r="R136" i="4"/>
  <c r="S136" i="4"/>
  <c r="L137" i="4"/>
  <c r="M137" i="4"/>
  <c r="O137" i="4"/>
  <c r="P137" i="4"/>
  <c r="R137" i="4"/>
  <c r="S137" i="4"/>
  <c r="L138" i="4"/>
  <c r="M138" i="4"/>
  <c r="O138" i="4"/>
  <c r="P138" i="4"/>
  <c r="R138" i="4"/>
  <c r="S138" i="4"/>
  <c r="L139" i="4"/>
  <c r="M139" i="4"/>
  <c r="O139" i="4"/>
  <c r="P139" i="4"/>
  <c r="R139" i="4"/>
  <c r="S139" i="4"/>
  <c r="L140" i="4"/>
  <c r="M140" i="4"/>
  <c r="O140" i="4"/>
  <c r="P140" i="4"/>
  <c r="R140" i="4"/>
  <c r="S140" i="4"/>
  <c r="L141" i="4"/>
  <c r="M141" i="4"/>
  <c r="O141" i="4"/>
  <c r="P141" i="4"/>
  <c r="R141" i="4"/>
  <c r="S141" i="4"/>
  <c r="L142" i="4"/>
  <c r="M142" i="4"/>
  <c r="O142" i="4"/>
  <c r="P142" i="4"/>
  <c r="R142" i="4"/>
  <c r="S142" i="4"/>
  <c r="L143" i="4"/>
  <c r="M143" i="4"/>
  <c r="O143" i="4"/>
  <c r="P143" i="4"/>
  <c r="R143" i="4"/>
  <c r="S143" i="4"/>
  <c r="L144" i="4"/>
  <c r="M144" i="4"/>
  <c r="O144" i="4"/>
  <c r="P144" i="4"/>
  <c r="R144" i="4"/>
  <c r="S144" i="4"/>
  <c r="L145" i="4"/>
  <c r="M145" i="4"/>
  <c r="O145" i="4"/>
  <c r="P145" i="4"/>
  <c r="R145" i="4"/>
  <c r="S145" i="4"/>
  <c r="L146" i="4"/>
  <c r="M146" i="4"/>
  <c r="O146" i="4"/>
  <c r="P146" i="4"/>
  <c r="R146" i="4"/>
  <c r="S146" i="4"/>
  <c r="L147" i="4"/>
  <c r="M147" i="4"/>
  <c r="O147" i="4"/>
  <c r="P147" i="4"/>
  <c r="R147" i="4"/>
  <c r="S147" i="4"/>
  <c r="L148" i="4"/>
  <c r="M148" i="4"/>
  <c r="O148" i="4"/>
  <c r="P148" i="4"/>
  <c r="R148" i="4"/>
  <c r="S148" i="4"/>
  <c r="L149" i="4"/>
  <c r="M149" i="4"/>
  <c r="O149" i="4"/>
  <c r="P149" i="4"/>
  <c r="R149" i="4"/>
  <c r="S149" i="4"/>
  <c r="L150" i="4"/>
  <c r="M150" i="4"/>
  <c r="O150" i="4"/>
  <c r="P150" i="4"/>
  <c r="R150" i="4"/>
  <c r="S150" i="4"/>
  <c r="L151" i="4"/>
  <c r="M151" i="4"/>
  <c r="O151" i="4"/>
  <c r="P151" i="4"/>
  <c r="R151" i="4"/>
  <c r="S151" i="4"/>
  <c r="L152" i="4"/>
  <c r="M152" i="4"/>
  <c r="O152" i="4"/>
  <c r="P152" i="4"/>
  <c r="R152" i="4"/>
  <c r="S152" i="4"/>
  <c r="L153" i="4"/>
  <c r="M153" i="4"/>
  <c r="O153" i="4"/>
  <c r="P153" i="4"/>
  <c r="R153" i="4"/>
  <c r="S153" i="4"/>
  <c r="L154" i="4"/>
  <c r="M154" i="4"/>
  <c r="O154" i="4"/>
  <c r="P154" i="4"/>
  <c r="R154" i="4"/>
  <c r="S154" i="4"/>
  <c r="L155" i="4"/>
  <c r="M155" i="4"/>
  <c r="O155" i="4"/>
  <c r="P155" i="4"/>
  <c r="R155" i="4"/>
  <c r="S155" i="4"/>
  <c r="L156" i="4"/>
  <c r="M156" i="4"/>
  <c r="O156" i="4"/>
  <c r="P156" i="4"/>
  <c r="R156" i="4"/>
  <c r="S156" i="4"/>
  <c r="L157" i="4"/>
  <c r="M157" i="4"/>
  <c r="O157" i="4"/>
  <c r="P157" i="4"/>
  <c r="R157" i="4"/>
  <c r="S157" i="4"/>
  <c r="L158" i="4"/>
  <c r="M158" i="4"/>
  <c r="O158" i="4"/>
  <c r="P158" i="4"/>
  <c r="R158" i="4"/>
  <c r="S158" i="4"/>
  <c r="L159" i="4"/>
  <c r="M159" i="4"/>
  <c r="O159" i="4"/>
  <c r="P159" i="4"/>
  <c r="R159" i="4"/>
  <c r="S159" i="4"/>
  <c r="L160" i="4"/>
  <c r="M160" i="4"/>
  <c r="O160" i="4"/>
  <c r="P160" i="4"/>
  <c r="R160" i="4"/>
  <c r="S160" i="4"/>
  <c r="L161" i="4"/>
  <c r="M161" i="4"/>
  <c r="O161" i="4"/>
  <c r="P161" i="4"/>
  <c r="R161" i="4"/>
  <c r="S161" i="4"/>
  <c r="L162" i="4"/>
  <c r="M162" i="4"/>
  <c r="O162" i="4"/>
  <c r="P162" i="4"/>
  <c r="R162" i="4"/>
  <c r="S162" i="4"/>
  <c r="L163" i="4"/>
  <c r="M163" i="4"/>
  <c r="O163" i="4"/>
  <c r="P163" i="4"/>
  <c r="R163" i="4"/>
  <c r="S163" i="4"/>
  <c r="L164" i="4"/>
  <c r="M164" i="4"/>
  <c r="O164" i="4"/>
  <c r="P164" i="4"/>
  <c r="R164" i="4"/>
  <c r="S164" i="4"/>
  <c r="L165" i="4"/>
  <c r="M165" i="4"/>
  <c r="O165" i="4"/>
  <c r="P165" i="4"/>
  <c r="R165" i="4"/>
  <c r="S165" i="4"/>
  <c r="L166" i="4"/>
  <c r="M166" i="4"/>
  <c r="O166" i="4"/>
  <c r="P166" i="4"/>
  <c r="R166" i="4"/>
  <c r="S166" i="4"/>
  <c r="L167" i="4"/>
  <c r="M167" i="4"/>
  <c r="O167" i="4"/>
  <c r="P167" i="4"/>
  <c r="R167" i="4"/>
  <c r="S167" i="4"/>
  <c r="L168" i="4"/>
  <c r="M168" i="4"/>
  <c r="O168" i="4"/>
  <c r="P168" i="4"/>
  <c r="R168" i="4"/>
  <c r="S168" i="4"/>
  <c r="L169" i="4"/>
  <c r="M169" i="4"/>
  <c r="O169" i="4"/>
  <c r="P169" i="4"/>
  <c r="R169" i="4"/>
  <c r="S169" i="4"/>
  <c r="L170" i="4"/>
  <c r="M170" i="4"/>
  <c r="O170" i="4"/>
  <c r="P170" i="4"/>
  <c r="R170" i="4"/>
  <c r="S170" i="4"/>
  <c r="L171" i="4"/>
  <c r="M171" i="4"/>
  <c r="O171" i="4"/>
  <c r="P171" i="4"/>
  <c r="R171" i="4"/>
  <c r="S171" i="4"/>
  <c r="L172" i="4"/>
  <c r="M172" i="4"/>
  <c r="O172" i="4"/>
  <c r="P172" i="4"/>
  <c r="R172" i="4"/>
  <c r="S172" i="4"/>
  <c r="L173" i="4"/>
  <c r="M173" i="4"/>
  <c r="O173" i="4"/>
  <c r="P173" i="4"/>
  <c r="R173" i="4"/>
  <c r="S173" i="4"/>
  <c r="L174" i="4"/>
  <c r="M174" i="4"/>
  <c r="O174" i="4"/>
  <c r="P174" i="4"/>
  <c r="R174" i="4"/>
  <c r="S174" i="4"/>
  <c r="L175" i="4"/>
  <c r="M175" i="4"/>
  <c r="O175" i="4"/>
  <c r="P175" i="4"/>
  <c r="R175" i="4"/>
  <c r="S175" i="4"/>
  <c r="L176" i="4"/>
  <c r="M176" i="4"/>
  <c r="O176" i="4"/>
  <c r="P176" i="4"/>
  <c r="R176" i="4"/>
  <c r="S176" i="4"/>
  <c r="L177" i="4"/>
  <c r="M177" i="4"/>
  <c r="O177" i="4"/>
  <c r="P177" i="4"/>
  <c r="R177" i="4"/>
  <c r="S177" i="4"/>
  <c r="L178" i="4"/>
  <c r="M178" i="4"/>
  <c r="O178" i="4"/>
  <c r="P178" i="4"/>
  <c r="R178" i="4"/>
  <c r="S178" i="4"/>
  <c r="L179" i="4"/>
  <c r="M179" i="4"/>
  <c r="O179" i="4"/>
  <c r="P179" i="4"/>
  <c r="R179" i="4"/>
  <c r="S179" i="4"/>
  <c r="L180" i="4"/>
  <c r="M180" i="4"/>
  <c r="O180" i="4"/>
  <c r="P180" i="4"/>
  <c r="R180" i="4"/>
  <c r="S180" i="4"/>
  <c r="L181" i="4"/>
  <c r="M181" i="4"/>
  <c r="O181" i="4"/>
  <c r="P181" i="4"/>
  <c r="R181" i="4"/>
  <c r="S181" i="4"/>
  <c r="L182" i="4"/>
  <c r="M182" i="4"/>
  <c r="O182" i="4"/>
  <c r="P182" i="4"/>
  <c r="R182" i="4"/>
  <c r="S182" i="4"/>
  <c r="L183" i="4"/>
  <c r="M183" i="4"/>
  <c r="O183" i="4"/>
  <c r="P183" i="4"/>
  <c r="R183" i="4"/>
  <c r="S183" i="4"/>
  <c r="L184" i="4"/>
  <c r="M184" i="4"/>
  <c r="O184" i="4"/>
  <c r="P184" i="4"/>
  <c r="R184" i="4"/>
  <c r="S184" i="4"/>
  <c r="L185" i="4"/>
  <c r="M185" i="4"/>
  <c r="O185" i="4"/>
  <c r="P185" i="4"/>
  <c r="R185" i="4"/>
  <c r="S185" i="4"/>
  <c r="L186" i="4"/>
  <c r="M186" i="4"/>
  <c r="O186" i="4"/>
  <c r="P186" i="4"/>
  <c r="R186" i="4"/>
  <c r="S186" i="4"/>
  <c r="L187" i="4"/>
  <c r="M187" i="4"/>
  <c r="O187" i="4"/>
  <c r="P187" i="4"/>
  <c r="R187" i="4"/>
  <c r="S187" i="4"/>
  <c r="L188" i="4"/>
  <c r="M188" i="4"/>
  <c r="O188" i="4"/>
  <c r="P188" i="4"/>
  <c r="R188" i="4"/>
  <c r="S188" i="4"/>
  <c r="L189" i="4"/>
  <c r="M189" i="4"/>
  <c r="O189" i="4"/>
  <c r="P189" i="4"/>
  <c r="R189" i="4"/>
  <c r="S189" i="4"/>
  <c r="L190" i="4"/>
  <c r="M190" i="4"/>
  <c r="O190" i="4"/>
  <c r="P190" i="4"/>
  <c r="R190" i="4"/>
  <c r="S190" i="4"/>
  <c r="L191" i="4"/>
  <c r="M191" i="4"/>
  <c r="O191" i="4"/>
  <c r="P191" i="4"/>
  <c r="R191" i="4"/>
  <c r="S191" i="4"/>
  <c r="L192" i="4"/>
  <c r="M192" i="4"/>
  <c r="O192" i="4"/>
  <c r="P192" i="4"/>
  <c r="R192" i="4"/>
  <c r="S192" i="4"/>
  <c r="L193" i="4"/>
  <c r="M193" i="4"/>
  <c r="O193" i="4"/>
  <c r="P193" i="4"/>
  <c r="R193" i="4"/>
  <c r="S193" i="4"/>
  <c r="L194" i="4"/>
  <c r="M194" i="4"/>
  <c r="O194" i="4"/>
  <c r="P194" i="4"/>
  <c r="R194" i="4"/>
  <c r="S194" i="4"/>
  <c r="L195" i="4"/>
  <c r="M195" i="4"/>
  <c r="O195" i="4"/>
  <c r="P195" i="4"/>
  <c r="R195" i="4"/>
  <c r="S195" i="4"/>
  <c r="L196" i="4"/>
  <c r="M196" i="4"/>
  <c r="O196" i="4"/>
  <c r="P196" i="4"/>
  <c r="R196" i="4"/>
  <c r="S196" i="4"/>
  <c r="L197" i="4"/>
  <c r="M197" i="4"/>
  <c r="O197" i="4"/>
  <c r="P197" i="4"/>
  <c r="R197" i="4"/>
  <c r="S197" i="4"/>
  <c r="L198" i="4"/>
  <c r="M198" i="4"/>
  <c r="O198" i="4"/>
  <c r="P198" i="4"/>
  <c r="R198" i="4"/>
  <c r="S198" i="4"/>
  <c r="L199" i="4"/>
  <c r="M199" i="4"/>
  <c r="O199" i="4"/>
  <c r="P199" i="4"/>
  <c r="R199" i="4"/>
  <c r="S199" i="4"/>
  <c r="L200" i="4"/>
  <c r="M200" i="4"/>
  <c r="O200" i="4"/>
  <c r="P200" i="4"/>
  <c r="R200" i="4"/>
  <c r="S200" i="4"/>
  <c r="L201" i="4"/>
  <c r="M201" i="4"/>
  <c r="O201" i="4"/>
  <c r="P201" i="4"/>
  <c r="R201" i="4"/>
  <c r="S201" i="4"/>
  <c r="L202" i="4"/>
  <c r="M202" i="4"/>
  <c r="O202" i="4"/>
  <c r="P202" i="4"/>
  <c r="R202" i="4"/>
  <c r="S202" i="4"/>
  <c r="L203" i="4"/>
  <c r="M203" i="4"/>
  <c r="O203" i="4"/>
  <c r="P203" i="4"/>
  <c r="R203" i="4"/>
  <c r="S203" i="4"/>
  <c r="L204" i="4"/>
  <c r="M204" i="4"/>
  <c r="O204" i="4"/>
  <c r="P204" i="4"/>
  <c r="R204" i="4"/>
  <c r="S204" i="4"/>
  <c r="L205" i="4"/>
  <c r="M205" i="4"/>
  <c r="O205" i="4"/>
  <c r="P205" i="4"/>
  <c r="R205" i="4"/>
  <c r="S205" i="4"/>
  <c r="L206" i="4"/>
  <c r="M206" i="4"/>
  <c r="O206" i="4"/>
  <c r="P206" i="4"/>
  <c r="R206" i="4"/>
  <c r="S206" i="4"/>
  <c r="L207" i="4"/>
  <c r="M207" i="4"/>
  <c r="O207" i="4"/>
  <c r="P207" i="4"/>
  <c r="R207" i="4"/>
  <c r="S207" i="4"/>
  <c r="L208" i="4"/>
  <c r="M208" i="4"/>
  <c r="O208" i="4"/>
  <c r="P208" i="4"/>
  <c r="R208" i="4"/>
  <c r="S208" i="4"/>
  <c r="L209" i="4"/>
  <c r="M209" i="4"/>
  <c r="O209" i="4"/>
  <c r="P209" i="4"/>
  <c r="R209" i="4"/>
  <c r="S209" i="4"/>
  <c r="L210" i="4"/>
  <c r="M210" i="4"/>
  <c r="O210" i="4"/>
  <c r="P210" i="4"/>
  <c r="R210" i="4"/>
  <c r="S210" i="4"/>
  <c r="L211" i="4"/>
  <c r="M211" i="4"/>
  <c r="O211" i="4"/>
  <c r="P211" i="4"/>
  <c r="R211" i="4"/>
  <c r="S211" i="4"/>
  <c r="L212" i="4"/>
  <c r="M212" i="4"/>
  <c r="O212" i="4"/>
  <c r="P212" i="4"/>
  <c r="R212" i="4"/>
  <c r="S212" i="4"/>
  <c r="L213" i="4"/>
  <c r="M213" i="4"/>
  <c r="O213" i="4"/>
  <c r="P213" i="4"/>
  <c r="R213" i="4"/>
  <c r="S213" i="4"/>
  <c r="L214" i="4"/>
  <c r="M214" i="4"/>
  <c r="O214" i="4"/>
  <c r="P214" i="4"/>
  <c r="R214" i="4"/>
  <c r="S214" i="4"/>
  <c r="L215" i="4"/>
  <c r="M215" i="4"/>
  <c r="O215" i="4"/>
  <c r="P215" i="4"/>
  <c r="R215" i="4"/>
  <c r="S215" i="4"/>
  <c r="L216" i="4"/>
  <c r="M216" i="4"/>
  <c r="O216" i="4"/>
  <c r="P216" i="4"/>
  <c r="R216" i="4"/>
  <c r="S216" i="4"/>
  <c r="L217" i="4"/>
  <c r="M217" i="4"/>
  <c r="O217" i="4"/>
  <c r="P217" i="4"/>
  <c r="R217" i="4"/>
  <c r="S217" i="4"/>
  <c r="L218" i="4"/>
  <c r="M218" i="4"/>
  <c r="O218" i="4"/>
  <c r="P218" i="4"/>
  <c r="R218" i="4"/>
  <c r="S218" i="4"/>
  <c r="L219" i="4"/>
  <c r="M219" i="4"/>
  <c r="O219" i="4"/>
  <c r="P219" i="4"/>
  <c r="R219" i="4"/>
  <c r="S219" i="4"/>
  <c r="L220" i="4"/>
  <c r="M220" i="4"/>
  <c r="O220" i="4"/>
  <c r="P220" i="4"/>
  <c r="R220" i="4"/>
  <c r="S220" i="4"/>
  <c r="L221" i="4"/>
  <c r="M221" i="4"/>
  <c r="O221" i="4"/>
  <c r="P221" i="4"/>
  <c r="R221" i="4"/>
  <c r="S221" i="4"/>
  <c r="L222" i="4"/>
  <c r="M222" i="4"/>
  <c r="O222" i="4"/>
  <c r="P222" i="4"/>
  <c r="R222" i="4"/>
  <c r="S222" i="4"/>
  <c r="L223" i="4"/>
  <c r="M223" i="4"/>
  <c r="O223" i="4"/>
  <c r="P223" i="4"/>
  <c r="R223" i="4"/>
  <c r="S223" i="4"/>
  <c r="L224" i="4"/>
  <c r="M224" i="4"/>
  <c r="O224" i="4"/>
  <c r="P224" i="4"/>
  <c r="R224" i="4"/>
  <c r="S224" i="4"/>
  <c r="L225" i="4"/>
  <c r="M225" i="4"/>
  <c r="O225" i="4"/>
  <c r="P225" i="4"/>
  <c r="R225" i="4"/>
  <c r="S225" i="4"/>
  <c r="L226" i="4"/>
  <c r="M226" i="4"/>
  <c r="O226" i="4"/>
  <c r="P226" i="4"/>
  <c r="R226" i="4"/>
  <c r="S226" i="4"/>
  <c r="L227" i="4"/>
  <c r="M227" i="4"/>
  <c r="O227" i="4"/>
  <c r="P227" i="4"/>
  <c r="R227" i="4"/>
  <c r="S227" i="4"/>
  <c r="L228" i="4"/>
  <c r="M228" i="4"/>
  <c r="O228" i="4"/>
  <c r="P228" i="4"/>
  <c r="R228" i="4"/>
  <c r="S228" i="4"/>
  <c r="L229" i="4"/>
  <c r="M229" i="4"/>
  <c r="O229" i="4"/>
  <c r="P229" i="4"/>
  <c r="R229" i="4"/>
  <c r="S229" i="4"/>
  <c r="L230" i="4"/>
  <c r="M230" i="4"/>
  <c r="O230" i="4"/>
  <c r="P230" i="4"/>
  <c r="R230" i="4"/>
  <c r="S230" i="4"/>
  <c r="L231" i="4"/>
  <c r="M231" i="4"/>
  <c r="O231" i="4"/>
  <c r="P231" i="4"/>
  <c r="R231" i="4"/>
  <c r="S231" i="4"/>
  <c r="L232" i="4"/>
  <c r="M232" i="4"/>
  <c r="O232" i="4"/>
  <c r="P232" i="4"/>
  <c r="R232" i="4"/>
  <c r="S232" i="4"/>
  <c r="L233" i="4"/>
  <c r="M233" i="4"/>
  <c r="O233" i="4"/>
  <c r="P233" i="4"/>
  <c r="R233" i="4"/>
  <c r="S233" i="4"/>
  <c r="L234" i="4"/>
  <c r="M234" i="4"/>
  <c r="O234" i="4"/>
  <c r="P234" i="4"/>
  <c r="R234" i="4"/>
  <c r="S234" i="4"/>
  <c r="L235" i="4"/>
  <c r="M235" i="4"/>
  <c r="O235" i="4"/>
  <c r="P235" i="4"/>
  <c r="R235" i="4"/>
  <c r="S235" i="4"/>
  <c r="L236" i="4"/>
  <c r="M236" i="4"/>
  <c r="O236" i="4"/>
  <c r="P236" i="4"/>
  <c r="R236" i="4"/>
  <c r="S236" i="4"/>
  <c r="L237" i="4"/>
  <c r="M237" i="4"/>
  <c r="O237" i="4"/>
  <c r="P237" i="4"/>
  <c r="R237" i="4"/>
  <c r="S237" i="4"/>
  <c r="L238" i="4"/>
  <c r="M238" i="4"/>
  <c r="O238" i="4"/>
  <c r="P238" i="4"/>
  <c r="R238" i="4"/>
  <c r="S238" i="4"/>
  <c r="L239" i="4"/>
  <c r="M239" i="4"/>
  <c r="O239" i="4"/>
  <c r="P239" i="4"/>
  <c r="R239" i="4"/>
  <c r="S239" i="4"/>
  <c r="L240" i="4"/>
  <c r="M240" i="4"/>
  <c r="O240" i="4"/>
  <c r="P240" i="4"/>
  <c r="R240" i="4"/>
  <c r="S240" i="4"/>
  <c r="L241" i="4"/>
  <c r="M241" i="4"/>
  <c r="O241" i="4"/>
  <c r="P241" i="4"/>
  <c r="R241" i="4"/>
  <c r="S241" i="4"/>
  <c r="L242" i="4"/>
  <c r="M242" i="4"/>
  <c r="O242" i="4"/>
  <c r="P242" i="4"/>
  <c r="R242" i="4"/>
  <c r="S242" i="4"/>
  <c r="L243" i="4"/>
  <c r="M243" i="4"/>
  <c r="O243" i="4"/>
  <c r="P243" i="4"/>
  <c r="R243" i="4"/>
  <c r="S243" i="4"/>
  <c r="L244" i="4"/>
  <c r="M244" i="4"/>
  <c r="O244" i="4"/>
  <c r="P244" i="4"/>
  <c r="R244" i="4"/>
  <c r="S244" i="4"/>
  <c r="L245" i="4"/>
  <c r="M245" i="4"/>
  <c r="O245" i="4"/>
  <c r="P245" i="4"/>
  <c r="R245" i="4"/>
  <c r="S245" i="4"/>
  <c r="L246" i="4"/>
  <c r="M246" i="4"/>
  <c r="O246" i="4"/>
  <c r="P246" i="4"/>
  <c r="R246" i="4"/>
  <c r="S246" i="4"/>
  <c r="L247" i="4"/>
  <c r="M247" i="4"/>
  <c r="O247" i="4"/>
  <c r="P247" i="4"/>
  <c r="R247" i="4"/>
  <c r="S247" i="4"/>
  <c r="L248" i="4"/>
  <c r="M248" i="4"/>
  <c r="O248" i="4"/>
  <c r="P248" i="4"/>
  <c r="R248" i="4"/>
  <c r="S248" i="4"/>
  <c r="L249" i="4"/>
  <c r="M249" i="4"/>
  <c r="O249" i="4"/>
  <c r="P249" i="4"/>
  <c r="R249" i="4"/>
  <c r="S249" i="4"/>
  <c r="L250" i="4"/>
  <c r="M250" i="4"/>
  <c r="O250" i="4"/>
  <c r="P250" i="4"/>
  <c r="R250" i="4"/>
  <c r="S250" i="4"/>
  <c r="L251" i="4"/>
  <c r="M251" i="4"/>
  <c r="O251" i="4"/>
  <c r="P251" i="4"/>
  <c r="R251" i="4"/>
  <c r="S251" i="4"/>
  <c r="L252" i="4"/>
  <c r="M252" i="4"/>
  <c r="O252" i="4"/>
  <c r="P252" i="4"/>
  <c r="R252" i="4"/>
  <c r="S252" i="4"/>
  <c r="L253" i="4"/>
  <c r="M253" i="4"/>
  <c r="O253" i="4"/>
  <c r="P253" i="4"/>
  <c r="R253" i="4"/>
  <c r="S253" i="4"/>
  <c r="L254" i="4"/>
  <c r="M254" i="4"/>
  <c r="O254" i="4"/>
  <c r="P254" i="4"/>
  <c r="R254" i="4"/>
  <c r="S254" i="4"/>
  <c r="L255" i="4"/>
  <c r="M255" i="4"/>
  <c r="O255" i="4"/>
  <c r="P255" i="4"/>
  <c r="R255" i="4"/>
  <c r="S255" i="4"/>
  <c r="L256" i="4"/>
  <c r="M256" i="4"/>
  <c r="O256" i="4"/>
  <c r="P256" i="4"/>
  <c r="R256" i="4"/>
  <c r="S256" i="4"/>
  <c r="L257" i="4"/>
  <c r="M257" i="4"/>
  <c r="O257" i="4"/>
  <c r="P257" i="4"/>
  <c r="R257" i="4"/>
  <c r="S257" i="4"/>
  <c r="L258" i="4"/>
  <c r="M258" i="4"/>
  <c r="O258" i="4"/>
  <c r="P258" i="4"/>
  <c r="R258" i="4"/>
  <c r="S258" i="4"/>
  <c r="L259" i="4"/>
  <c r="M259" i="4"/>
  <c r="O259" i="4"/>
  <c r="P259" i="4"/>
  <c r="R259" i="4"/>
  <c r="S259" i="4"/>
  <c r="L260" i="4"/>
  <c r="M260" i="4"/>
  <c r="O260" i="4"/>
  <c r="P260" i="4"/>
  <c r="R260" i="4"/>
  <c r="S260" i="4"/>
  <c r="L261" i="4"/>
  <c r="M261" i="4"/>
  <c r="O261" i="4"/>
  <c r="P261" i="4"/>
  <c r="R261" i="4"/>
  <c r="S261" i="4"/>
  <c r="L262" i="4"/>
  <c r="M262" i="4"/>
  <c r="O262" i="4"/>
  <c r="P262" i="4"/>
  <c r="R262" i="4"/>
  <c r="S262" i="4"/>
  <c r="L263" i="4"/>
  <c r="M263" i="4"/>
  <c r="O263" i="4"/>
  <c r="P263" i="4"/>
  <c r="R263" i="4"/>
  <c r="S263" i="4"/>
  <c r="L264" i="4"/>
  <c r="M264" i="4"/>
  <c r="O264" i="4"/>
  <c r="P264" i="4"/>
  <c r="R264" i="4"/>
  <c r="S264" i="4"/>
  <c r="L265" i="4"/>
  <c r="M265" i="4"/>
  <c r="O265" i="4"/>
  <c r="P265" i="4"/>
  <c r="R265" i="4"/>
  <c r="S265" i="4"/>
  <c r="L266" i="4"/>
  <c r="M266" i="4"/>
  <c r="O266" i="4"/>
  <c r="P266" i="4"/>
  <c r="R266" i="4"/>
  <c r="S266" i="4"/>
  <c r="L267" i="4"/>
  <c r="M267" i="4"/>
  <c r="O267" i="4"/>
  <c r="P267" i="4"/>
  <c r="R267" i="4"/>
  <c r="S267" i="4"/>
  <c r="L268" i="4"/>
  <c r="M268" i="4"/>
  <c r="O268" i="4"/>
  <c r="P268" i="4"/>
  <c r="R268" i="4"/>
  <c r="S268" i="4"/>
  <c r="L269" i="4"/>
  <c r="M269" i="4"/>
  <c r="O269" i="4"/>
  <c r="P269" i="4"/>
  <c r="R269" i="4"/>
  <c r="S269" i="4"/>
  <c r="L270" i="4"/>
  <c r="M270" i="4"/>
  <c r="O270" i="4"/>
  <c r="P270" i="4"/>
  <c r="R270" i="4"/>
  <c r="S270" i="4"/>
  <c r="L271" i="4"/>
  <c r="M271" i="4"/>
  <c r="O271" i="4"/>
  <c r="P271" i="4"/>
  <c r="R271" i="4"/>
  <c r="S271" i="4"/>
  <c r="L272" i="4"/>
  <c r="M272" i="4"/>
  <c r="O272" i="4"/>
  <c r="P272" i="4"/>
  <c r="R272" i="4"/>
  <c r="S272" i="4"/>
  <c r="L273" i="4"/>
  <c r="M273" i="4"/>
  <c r="O273" i="4"/>
  <c r="P273" i="4"/>
  <c r="R273" i="4"/>
  <c r="S273" i="4"/>
  <c r="L274" i="4"/>
  <c r="M274" i="4"/>
  <c r="O274" i="4"/>
  <c r="P274" i="4"/>
  <c r="R274" i="4"/>
  <c r="S274" i="4"/>
  <c r="L275" i="4"/>
  <c r="M275" i="4"/>
  <c r="O275" i="4"/>
  <c r="P275" i="4"/>
  <c r="R275" i="4"/>
  <c r="S275" i="4"/>
  <c r="L276" i="4"/>
  <c r="M276" i="4"/>
  <c r="O276" i="4"/>
  <c r="P276" i="4"/>
  <c r="R276" i="4"/>
  <c r="S276" i="4"/>
  <c r="L277" i="4"/>
  <c r="M277" i="4"/>
  <c r="O277" i="4"/>
  <c r="P277" i="4"/>
  <c r="R277" i="4"/>
  <c r="S277" i="4"/>
  <c r="L278" i="4"/>
  <c r="M278" i="4"/>
  <c r="O278" i="4"/>
  <c r="P278" i="4"/>
  <c r="R278" i="4"/>
  <c r="S278" i="4"/>
  <c r="L279" i="4"/>
  <c r="M279" i="4"/>
  <c r="O279" i="4"/>
  <c r="P279" i="4"/>
  <c r="R279" i="4"/>
  <c r="S279" i="4"/>
  <c r="L280" i="4"/>
  <c r="M280" i="4"/>
  <c r="O280" i="4"/>
  <c r="P280" i="4"/>
  <c r="R280" i="4"/>
  <c r="S280" i="4"/>
  <c r="L281" i="4"/>
  <c r="M281" i="4"/>
  <c r="O281" i="4"/>
  <c r="P281" i="4"/>
  <c r="R281" i="4"/>
  <c r="S281" i="4"/>
  <c r="L282" i="4"/>
  <c r="M282" i="4"/>
  <c r="O282" i="4"/>
  <c r="P282" i="4"/>
  <c r="R282" i="4"/>
  <c r="S282" i="4"/>
  <c r="L283" i="4"/>
  <c r="M283" i="4"/>
  <c r="O283" i="4"/>
  <c r="P283" i="4"/>
  <c r="R283" i="4"/>
  <c r="S283" i="4"/>
  <c r="L284" i="4"/>
  <c r="M284" i="4"/>
  <c r="O284" i="4"/>
  <c r="P284" i="4"/>
  <c r="R284" i="4"/>
  <c r="S284" i="4"/>
  <c r="L285" i="4"/>
  <c r="M285" i="4"/>
  <c r="O285" i="4"/>
  <c r="P285" i="4"/>
  <c r="R285" i="4"/>
  <c r="S285" i="4"/>
  <c r="L286" i="4"/>
  <c r="M286" i="4"/>
  <c r="O286" i="4"/>
  <c r="P286" i="4"/>
  <c r="R286" i="4"/>
  <c r="S286" i="4"/>
  <c r="L287" i="4"/>
  <c r="M287" i="4"/>
  <c r="O287" i="4"/>
  <c r="P287" i="4"/>
  <c r="R287" i="4"/>
  <c r="S287" i="4"/>
  <c r="L288" i="4"/>
  <c r="M288" i="4"/>
  <c r="O288" i="4"/>
  <c r="P288" i="4"/>
  <c r="R288" i="4"/>
  <c r="S288" i="4"/>
  <c r="L289" i="4"/>
  <c r="M289" i="4"/>
  <c r="O289" i="4"/>
  <c r="P289" i="4"/>
  <c r="R289" i="4"/>
  <c r="S289" i="4"/>
  <c r="L290" i="4"/>
  <c r="M290" i="4"/>
  <c r="O290" i="4"/>
  <c r="P290" i="4"/>
  <c r="R290" i="4"/>
  <c r="S290" i="4"/>
  <c r="L291" i="4"/>
  <c r="M291" i="4"/>
  <c r="O291" i="4"/>
  <c r="P291" i="4"/>
  <c r="R291" i="4"/>
  <c r="S291" i="4"/>
  <c r="L292" i="4"/>
  <c r="M292" i="4"/>
  <c r="O292" i="4"/>
  <c r="P292" i="4"/>
  <c r="R292" i="4"/>
  <c r="S292" i="4"/>
  <c r="L293" i="4"/>
  <c r="M293" i="4"/>
  <c r="O293" i="4"/>
  <c r="P293" i="4"/>
  <c r="R293" i="4"/>
  <c r="S293" i="4"/>
  <c r="L294" i="4"/>
  <c r="M294" i="4"/>
  <c r="O294" i="4"/>
  <c r="P294" i="4"/>
  <c r="R294" i="4"/>
  <c r="S294" i="4"/>
  <c r="L295" i="4"/>
  <c r="M295" i="4"/>
  <c r="O295" i="4"/>
  <c r="P295" i="4"/>
  <c r="R295" i="4"/>
  <c r="S295" i="4"/>
  <c r="S3" i="4"/>
  <c r="R3" i="4"/>
  <c r="P3" i="4"/>
  <c r="O3" i="4"/>
  <c r="M3" i="4"/>
  <c r="L3" i="4"/>
  <c r="C4" i="4"/>
  <c r="D4" i="4"/>
  <c r="F4" i="4"/>
  <c r="G4" i="4"/>
  <c r="I4" i="4"/>
  <c r="J4" i="4"/>
  <c r="C5" i="4"/>
  <c r="D5" i="4"/>
  <c r="F5" i="4"/>
  <c r="G5" i="4"/>
  <c r="I5" i="4"/>
  <c r="J5" i="4"/>
  <c r="C6" i="4"/>
  <c r="D6" i="4"/>
  <c r="F6" i="4"/>
  <c r="G6" i="4"/>
  <c r="I6" i="4"/>
  <c r="J6" i="4"/>
  <c r="C7" i="4"/>
  <c r="D7" i="4"/>
  <c r="F7" i="4"/>
  <c r="G7" i="4"/>
  <c r="I7" i="4"/>
  <c r="J7" i="4"/>
  <c r="C8" i="4"/>
  <c r="D8" i="4"/>
  <c r="F8" i="4"/>
  <c r="G8" i="4"/>
  <c r="I8" i="4"/>
  <c r="J8" i="4"/>
  <c r="C9" i="4"/>
  <c r="D9" i="4"/>
  <c r="F9" i="4"/>
  <c r="G9" i="4"/>
  <c r="I9" i="4"/>
  <c r="J9" i="4"/>
  <c r="C10" i="4"/>
  <c r="D10" i="4"/>
  <c r="F10" i="4"/>
  <c r="G10" i="4"/>
  <c r="I10" i="4"/>
  <c r="J10" i="4"/>
  <c r="C11" i="4"/>
  <c r="D11" i="4"/>
  <c r="F11" i="4"/>
  <c r="G11" i="4"/>
  <c r="I11" i="4"/>
  <c r="J11" i="4"/>
  <c r="C12" i="4"/>
  <c r="D12" i="4"/>
  <c r="F12" i="4"/>
  <c r="G12" i="4"/>
  <c r="I12" i="4"/>
  <c r="J12" i="4"/>
  <c r="C13" i="4"/>
  <c r="D13" i="4"/>
  <c r="F13" i="4"/>
  <c r="G13" i="4"/>
  <c r="I13" i="4"/>
  <c r="J13" i="4"/>
  <c r="C14" i="4"/>
  <c r="D14" i="4"/>
  <c r="F14" i="4"/>
  <c r="G14" i="4"/>
  <c r="I14" i="4"/>
  <c r="J14" i="4"/>
  <c r="C15" i="4"/>
  <c r="D15" i="4"/>
  <c r="F15" i="4"/>
  <c r="G15" i="4"/>
  <c r="I15" i="4"/>
  <c r="J15" i="4"/>
  <c r="C16" i="4"/>
  <c r="D16" i="4"/>
  <c r="F16" i="4"/>
  <c r="G16" i="4"/>
  <c r="I16" i="4"/>
  <c r="J16" i="4"/>
  <c r="C17" i="4"/>
  <c r="D17" i="4"/>
  <c r="F17" i="4"/>
  <c r="G17" i="4"/>
  <c r="I17" i="4"/>
  <c r="J17" i="4"/>
  <c r="C18" i="4"/>
  <c r="D18" i="4"/>
  <c r="F18" i="4"/>
  <c r="G18" i="4"/>
  <c r="I18" i="4"/>
  <c r="J18" i="4"/>
  <c r="C19" i="4"/>
  <c r="D19" i="4"/>
  <c r="F19" i="4"/>
  <c r="G19" i="4"/>
  <c r="I19" i="4"/>
  <c r="J19" i="4"/>
  <c r="C20" i="4"/>
  <c r="D20" i="4"/>
  <c r="F20" i="4"/>
  <c r="G20" i="4"/>
  <c r="I20" i="4"/>
  <c r="J20" i="4"/>
  <c r="C21" i="4"/>
  <c r="D21" i="4"/>
  <c r="F21" i="4"/>
  <c r="G21" i="4"/>
  <c r="I21" i="4"/>
  <c r="J21" i="4"/>
  <c r="C22" i="4"/>
  <c r="D22" i="4"/>
  <c r="F22" i="4"/>
  <c r="G22" i="4"/>
  <c r="I22" i="4"/>
  <c r="J22" i="4"/>
  <c r="C23" i="4"/>
  <c r="D23" i="4"/>
  <c r="F23" i="4"/>
  <c r="G23" i="4"/>
  <c r="I23" i="4"/>
  <c r="J23" i="4"/>
  <c r="C24" i="4"/>
  <c r="D24" i="4"/>
  <c r="F24" i="4"/>
  <c r="G24" i="4"/>
  <c r="I24" i="4"/>
  <c r="J24" i="4"/>
  <c r="C25" i="4"/>
  <c r="D25" i="4"/>
  <c r="F25" i="4"/>
  <c r="G25" i="4"/>
  <c r="I25" i="4"/>
  <c r="J25" i="4"/>
  <c r="C26" i="4"/>
  <c r="D26" i="4"/>
  <c r="F26" i="4"/>
  <c r="G26" i="4"/>
  <c r="I26" i="4"/>
  <c r="J26" i="4"/>
  <c r="C27" i="4"/>
  <c r="D27" i="4"/>
  <c r="F27" i="4"/>
  <c r="G27" i="4"/>
  <c r="I27" i="4"/>
  <c r="J27" i="4"/>
  <c r="C28" i="4"/>
  <c r="D28" i="4"/>
  <c r="F28" i="4"/>
  <c r="G28" i="4"/>
  <c r="I28" i="4"/>
  <c r="J28" i="4"/>
  <c r="C29" i="4"/>
  <c r="D29" i="4"/>
  <c r="F29" i="4"/>
  <c r="G29" i="4"/>
  <c r="I29" i="4"/>
  <c r="J29" i="4"/>
  <c r="C30" i="4"/>
  <c r="D30" i="4"/>
  <c r="F30" i="4"/>
  <c r="G30" i="4"/>
  <c r="I30" i="4"/>
  <c r="J30" i="4"/>
  <c r="C31" i="4"/>
  <c r="D31" i="4"/>
  <c r="F31" i="4"/>
  <c r="G31" i="4"/>
  <c r="I31" i="4"/>
  <c r="J31" i="4"/>
  <c r="C32" i="4"/>
  <c r="D32" i="4"/>
  <c r="F32" i="4"/>
  <c r="G32" i="4"/>
  <c r="I32" i="4"/>
  <c r="J32" i="4"/>
  <c r="C33" i="4"/>
  <c r="D33" i="4"/>
  <c r="F33" i="4"/>
  <c r="G33" i="4"/>
  <c r="I33" i="4"/>
  <c r="J33" i="4"/>
  <c r="C34" i="4"/>
  <c r="D34" i="4"/>
  <c r="F34" i="4"/>
  <c r="G34" i="4"/>
  <c r="I34" i="4"/>
  <c r="J34" i="4"/>
  <c r="C35" i="4"/>
  <c r="D35" i="4"/>
  <c r="F35" i="4"/>
  <c r="G35" i="4"/>
  <c r="I35" i="4"/>
  <c r="J35" i="4"/>
  <c r="C36" i="4"/>
  <c r="D36" i="4"/>
  <c r="F36" i="4"/>
  <c r="G36" i="4"/>
  <c r="I36" i="4"/>
  <c r="J36" i="4"/>
  <c r="C37" i="4"/>
  <c r="D37" i="4"/>
  <c r="F37" i="4"/>
  <c r="G37" i="4"/>
  <c r="I37" i="4"/>
  <c r="J37" i="4"/>
  <c r="C38" i="4"/>
  <c r="D38" i="4"/>
  <c r="F38" i="4"/>
  <c r="G38" i="4"/>
  <c r="I38" i="4"/>
  <c r="J38" i="4"/>
  <c r="C39" i="4"/>
  <c r="D39" i="4"/>
  <c r="F39" i="4"/>
  <c r="G39" i="4"/>
  <c r="I39" i="4"/>
  <c r="J39" i="4"/>
  <c r="C40" i="4"/>
  <c r="D40" i="4"/>
  <c r="F40" i="4"/>
  <c r="G40" i="4"/>
  <c r="I40" i="4"/>
  <c r="J40" i="4"/>
  <c r="C41" i="4"/>
  <c r="D41" i="4"/>
  <c r="F41" i="4"/>
  <c r="G41" i="4"/>
  <c r="I41" i="4"/>
  <c r="J41" i="4"/>
  <c r="C42" i="4"/>
  <c r="D42" i="4"/>
  <c r="F42" i="4"/>
  <c r="G42" i="4"/>
  <c r="I42" i="4"/>
  <c r="J42" i="4"/>
  <c r="C43" i="4"/>
  <c r="D43" i="4"/>
  <c r="F43" i="4"/>
  <c r="G43" i="4"/>
  <c r="I43" i="4"/>
  <c r="J43" i="4"/>
  <c r="C44" i="4"/>
  <c r="D44" i="4"/>
  <c r="F44" i="4"/>
  <c r="G44" i="4"/>
  <c r="I44" i="4"/>
  <c r="J44" i="4"/>
  <c r="C45" i="4"/>
  <c r="D45" i="4"/>
  <c r="F45" i="4"/>
  <c r="G45" i="4"/>
  <c r="I45" i="4"/>
  <c r="J45" i="4"/>
  <c r="C46" i="4"/>
  <c r="D46" i="4"/>
  <c r="F46" i="4"/>
  <c r="G46" i="4"/>
  <c r="I46" i="4"/>
  <c r="J46" i="4"/>
  <c r="C47" i="4"/>
  <c r="D47" i="4"/>
  <c r="F47" i="4"/>
  <c r="G47" i="4"/>
  <c r="I47" i="4"/>
  <c r="J47" i="4"/>
  <c r="C48" i="4"/>
  <c r="D48" i="4"/>
  <c r="F48" i="4"/>
  <c r="G48" i="4"/>
  <c r="I48" i="4"/>
  <c r="J48" i="4"/>
  <c r="C49" i="4"/>
  <c r="D49" i="4"/>
  <c r="F49" i="4"/>
  <c r="G49" i="4"/>
  <c r="I49" i="4"/>
  <c r="J49" i="4"/>
  <c r="C50" i="4"/>
  <c r="D50" i="4"/>
  <c r="F50" i="4"/>
  <c r="G50" i="4"/>
  <c r="I50" i="4"/>
  <c r="J50" i="4"/>
  <c r="C51" i="4"/>
  <c r="D51" i="4"/>
  <c r="F51" i="4"/>
  <c r="G51" i="4"/>
  <c r="I51" i="4"/>
  <c r="J51" i="4"/>
  <c r="C52" i="4"/>
  <c r="D52" i="4"/>
  <c r="F52" i="4"/>
  <c r="G52" i="4"/>
  <c r="I52" i="4"/>
  <c r="J52" i="4"/>
  <c r="C53" i="4"/>
  <c r="D53" i="4"/>
  <c r="F53" i="4"/>
  <c r="G53" i="4"/>
  <c r="I53" i="4"/>
  <c r="J53" i="4"/>
  <c r="C54" i="4"/>
  <c r="D54" i="4"/>
  <c r="F54" i="4"/>
  <c r="G54" i="4"/>
  <c r="I54" i="4"/>
  <c r="J54" i="4"/>
  <c r="C55" i="4"/>
  <c r="D55" i="4"/>
  <c r="F55" i="4"/>
  <c r="G55" i="4"/>
  <c r="I55" i="4"/>
  <c r="J55" i="4"/>
  <c r="C56" i="4"/>
  <c r="D56" i="4"/>
  <c r="F56" i="4"/>
  <c r="G56" i="4"/>
  <c r="I56" i="4"/>
  <c r="J56" i="4"/>
  <c r="C57" i="4"/>
  <c r="D57" i="4"/>
  <c r="F57" i="4"/>
  <c r="G57" i="4"/>
  <c r="I57" i="4"/>
  <c r="J57" i="4"/>
  <c r="C58" i="4"/>
  <c r="D58" i="4"/>
  <c r="F58" i="4"/>
  <c r="G58" i="4"/>
  <c r="I58" i="4"/>
  <c r="J58" i="4"/>
  <c r="C59" i="4"/>
  <c r="D59" i="4"/>
  <c r="F59" i="4"/>
  <c r="G59" i="4"/>
  <c r="I59" i="4"/>
  <c r="J59" i="4"/>
  <c r="C60" i="4"/>
  <c r="D60" i="4"/>
  <c r="F60" i="4"/>
  <c r="G60" i="4"/>
  <c r="I60" i="4"/>
  <c r="J60" i="4"/>
  <c r="C61" i="4"/>
  <c r="D61" i="4"/>
  <c r="F61" i="4"/>
  <c r="G61" i="4"/>
  <c r="I61" i="4"/>
  <c r="J61" i="4"/>
  <c r="C62" i="4"/>
  <c r="D62" i="4"/>
  <c r="F62" i="4"/>
  <c r="G62" i="4"/>
  <c r="I62" i="4"/>
  <c r="J62" i="4"/>
  <c r="C63" i="4"/>
  <c r="D63" i="4"/>
  <c r="F63" i="4"/>
  <c r="G63" i="4"/>
  <c r="I63" i="4"/>
  <c r="J63" i="4"/>
  <c r="C64" i="4"/>
  <c r="D64" i="4"/>
  <c r="F64" i="4"/>
  <c r="G64" i="4"/>
  <c r="I64" i="4"/>
  <c r="J64" i="4"/>
  <c r="C65" i="4"/>
  <c r="D65" i="4"/>
  <c r="F65" i="4"/>
  <c r="G65" i="4"/>
  <c r="I65" i="4"/>
  <c r="J65" i="4"/>
  <c r="C66" i="4"/>
  <c r="D66" i="4"/>
  <c r="F66" i="4"/>
  <c r="G66" i="4"/>
  <c r="I66" i="4"/>
  <c r="J66" i="4"/>
  <c r="C67" i="4"/>
  <c r="D67" i="4"/>
  <c r="F67" i="4"/>
  <c r="G67" i="4"/>
  <c r="I67" i="4"/>
  <c r="J67" i="4"/>
  <c r="C68" i="4"/>
  <c r="D68" i="4"/>
  <c r="F68" i="4"/>
  <c r="G68" i="4"/>
  <c r="I68" i="4"/>
  <c r="J68" i="4"/>
  <c r="C69" i="4"/>
  <c r="D69" i="4"/>
  <c r="F69" i="4"/>
  <c r="G69" i="4"/>
  <c r="I69" i="4"/>
  <c r="J69" i="4"/>
  <c r="C70" i="4"/>
  <c r="D70" i="4"/>
  <c r="F70" i="4"/>
  <c r="G70" i="4"/>
  <c r="I70" i="4"/>
  <c r="J70" i="4"/>
  <c r="C71" i="4"/>
  <c r="D71" i="4"/>
  <c r="F71" i="4"/>
  <c r="G71" i="4"/>
  <c r="I71" i="4"/>
  <c r="J71" i="4"/>
  <c r="C72" i="4"/>
  <c r="D72" i="4"/>
  <c r="F72" i="4"/>
  <c r="G72" i="4"/>
  <c r="I72" i="4"/>
  <c r="J72" i="4"/>
  <c r="C73" i="4"/>
  <c r="D73" i="4"/>
  <c r="F73" i="4"/>
  <c r="G73" i="4"/>
  <c r="I73" i="4"/>
  <c r="J73" i="4"/>
  <c r="C74" i="4"/>
  <c r="D74" i="4"/>
  <c r="F74" i="4"/>
  <c r="G74" i="4"/>
  <c r="I74" i="4"/>
  <c r="J74" i="4"/>
  <c r="C75" i="4"/>
  <c r="D75" i="4"/>
  <c r="F75" i="4"/>
  <c r="G75" i="4"/>
  <c r="I75" i="4"/>
  <c r="J75" i="4"/>
  <c r="C76" i="4"/>
  <c r="D76" i="4"/>
  <c r="F76" i="4"/>
  <c r="G76" i="4"/>
  <c r="I76" i="4"/>
  <c r="J76" i="4"/>
  <c r="C77" i="4"/>
  <c r="D77" i="4"/>
  <c r="F77" i="4"/>
  <c r="G77" i="4"/>
  <c r="I77" i="4"/>
  <c r="J77" i="4"/>
  <c r="C78" i="4"/>
  <c r="D78" i="4"/>
  <c r="F78" i="4"/>
  <c r="G78" i="4"/>
  <c r="I78" i="4"/>
  <c r="J78" i="4"/>
  <c r="C79" i="4"/>
  <c r="D79" i="4"/>
  <c r="F79" i="4"/>
  <c r="G79" i="4"/>
  <c r="I79" i="4"/>
  <c r="J79" i="4"/>
  <c r="C80" i="4"/>
  <c r="D80" i="4"/>
  <c r="F80" i="4"/>
  <c r="G80" i="4"/>
  <c r="I80" i="4"/>
  <c r="J80" i="4"/>
  <c r="C81" i="4"/>
  <c r="D81" i="4"/>
  <c r="F81" i="4"/>
  <c r="G81" i="4"/>
  <c r="I81" i="4"/>
  <c r="J81" i="4"/>
  <c r="C82" i="4"/>
  <c r="D82" i="4"/>
  <c r="F82" i="4"/>
  <c r="G82" i="4"/>
  <c r="I82" i="4"/>
  <c r="J82" i="4"/>
  <c r="C83" i="4"/>
  <c r="D83" i="4"/>
  <c r="F83" i="4"/>
  <c r="G83" i="4"/>
  <c r="I83" i="4"/>
  <c r="J83" i="4"/>
  <c r="C84" i="4"/>
  <c r="D84" i="4"/>
  <c r="F84" i="4"/>
  <c r="G84" i="4"/>
  <c r="I84" i="4"/>
  <c r="J84" i="4"/>
  <c r="C85" i="4"/>
  <c r="D85" i="4"/>
  <c r="F85" i="4"/>
  <c r="G85" i="4"/>
  <c r="I85" i="4"/>
  <c r="J85" i="4"/>
  <c r="C86" i="4"/>
  <c r="D86" i="4"/>
  <c r="F86" i="4"/>
  <c r="G86" i="4"/>
  <c r="I86" i="4"/>
  <c r="J86" i="4"/>
  <c r="C87" i="4"/>
  <c r="D87" i="4"/>
  <c r="F87" i="4"/>
  <c r="G87" i="4"/>
  <c r="I87" i="4"/>
  <c r="J87" i="4"/>
  <c r="C88" i="4"/>
  <c r="D88" i="4"/>
  <c r="F88" i="4"/>
  <c r="G88" i="4"/>
  <c r="I88" i="4"/>
  <c r="J88" i="4"/>
  <c r="C89" i="4"/>
  <c r="D89" i="4"/>
  <c r="F89" i="4"/>
  <c r="G89" i="4"/>
  <c r="I89" i="4"/>
  <c r="J89" i="4"/>
  <c r="C90" i="4"/>
  <c r="D90" i="4"/>
  <c r="F90" i="4"/>
  <c r="G90" i="4"/>
  <c r="I90" i="4"/>
  <c r="J90" i="4"/>
  <c r="C91" i="4"/>
  <c r="D91" i="4"/>
  <c r="F91" i="4"/>
  <c r="G91" i="4"/>
  <c r="I91" i="4"/>
  <c r="J91" i="4"/>
  <c r="C92" i="4"/>
  <c r="D92" i="4"/>
  <c r="F92" i="4"/>
  <c r="G92" i="4"/>
  <c r="I92" i="4"/>
  <c r="J92" i="4"/>
  <c r="C93" i="4"/>
  <c r="D93" i="4"/>
  <c r="F93" i="4"/>
  <c r="G93" i="4"/>
  <c r="I93" i="4"/>
  <c r="J93" i="4"/>
  <c r="C94" i="4"/>
  <c r="D94" i="4"/>
  <c r="F94" i="4"/>
  <c r="G94" i="4"/>
  <c r="I94" i="4"/>
  <c r="J94" i="4"/>
  <c r="C95" i="4"/>
  <c r="D95" i="4"/>
  <c r="F95" i="4"/>
  <c r="G95" i="4"/>
  <c r="I95" i="4"/>
  <c r="J95" i="4"/>
  <c r="C96" i="4"/>
  <c r="D96" i="4"/>
  <c r="F96" i="4"/>
  <c r="G96" i="4"/>
  <c r="I96" i="4"/>
  <c r="J96" i="4"/>
  <c r="C97" i="4"/>
  <c r="D97" i="4"/>
  <c r="F97" i="4"/>
  <c r="G97" i="4"/>
  <c r="I97" i="4"/>
  <c r="J97" i="4"/>
  <c r="C98" i="4"/>
  <c r="D98" i="4"/>
  <c r="F98" i="4"/>
  <c r="G98" i="4"/>
  <c r="I98" i="4"/>
  <c r="J98" i="4"/>
  <c r="C99" i="4"/>
  <c r="D99" i="4"/>
  <c r="F99" i="4"/>
  <c r="G99" i="4"/>
  <c r="I99" i="4"/>
  <c r="J99" i="4"/>
  <c r="C100" i="4"/>
  <c r="D100" i="4"/>
  <c r="F100" i="4"/>
  <c r="G100" i="4"/>
  <c r="I100" i="4"/>
  <c r="J100" i="4"/>
  <c r="C101" i="4"/>
  <c r="D101" i="4"/>
  <c r="F101" i="4"/>
  <c r="G101" i="4"/>
  <c r="I101" i="4"/>
  <c r="J101" i="4"/>
  <c r="C102" i="4"/>
  <c r="D102" i="4"/>
  <c r="F102" i="4"/>
  <c r="G102" i="4"/>
  <c r="I102" i="4"/>
  <c r="J102" i="4"/>
  <c r="C103" i="4"/>
  <c r="D103" i="4"/>
  <c r="F103" i="4"/>
  <c r="G103" i="4"/>
  <c r="I103" i="4"/>
  <c r="J103" i="4"/>
  <c r="C104" i="4"/>
  <c r="D104" i="4"/>
  <c r="F104" i="4"/>
  <c r="G104" i="4"/>
  <c r="I104" i="4"/>
  <c r="J104" i="4"/>
  <c r="C105" i="4"/>
  <c r="D105" i="4"/>
  <c r="F105" i="4"/>
  <c r="G105" i="4"/>
  <c r="I105" i="4"/>
  <c r="J105" i="4"/>
  <c r="C106" i="4"/>
  <c r="D106" i="4"/>
  <c r="F106" i="4"/>
  <c r="G106" i="4"/>
  <c r="I106" i="4"/>
  <c r="J106" i="4"/>
  <c r="C107" i="4"/>
  <c r="D107" i="4"/>
  <c r="F107" i="4"/>
  <c r="G107" i="4"/>
  <c r="I107" i="4"/>
  <c r="J107" i="4"/>
  <c r="C108" i="4"/>
  <c r="D108" i="4"/>
  <c r="F108" i="4"/>
  <c r="G108" i="4"/>
  <c r="I108" i="4"/>
  <c r="J108" i="4"/>
  <c r="C109" i="4"/>
  <c r="D109" i="4"/>
  <c r="F109" i="4"/>
  <c r="G109" i="4"/>
  <c r="I109" i="4"/>
  <c r="J109" i="4"/>
  <c r="C110" i="4"/>
  <c r="D110" i="4"/>
  <c r="F110" i="4"/>
  <c r="G110" i="4"/>
  <c r="I110" i="4"/>
  <c r="J110" i="4"/>
  <c r="C111" i="4"/>
  <c r="D111" i="4"/>
  <c r="F111" i="4"/>
  <c r="G111" i="4"/>
  <c r="I111" i="4"/>
  <c r="J111" i="4"/>
  <c r="C112" i="4"/>
  <c r="D112" i="4"/>
  <c r="F112" i="4"/>
  <c r="G112" i="4"/>
  <c r="I112" i="4"/>
  <c r="J112" i="4"/>
  <c r="C113" i="4"/>
  <c r="D113" i="4"/>
  <c r="F113" i="4"/>
  <c r="G113" i="4"/>
  <c r="I113" i="4"/>
  <c r="J113" i="4"/>
  <c r="C114" i="4"/>
  <c r="D114" i="4"/>
  <c r="F114" i="4"/>
  <c r="G114" i="4"/>
  <c r="I114" i="4"/>
  <c r="J114" i="4"/>
  <c r="C115" i="4"/>
  <c r="D115" i="4"/>
  <c r="F115" i="4"/>
  <c r="G115" i="4"/>
  <c r="I115" i="4"/>
  <c r="J115" i="4"/>
  <c r="C116" i="4"/>
  <c r="D116" i="4"/>
  <c r="F116" i="4"/>
  <c r="G116" i="4"/>
  <c r="I116" i="4"/>
  <c r="J116" i="4"/>
  <c r="C117" i="4"/>
  <c r="D117" i="4"/>
  <c r="F117" i="4"/>
  <c r="G117" i="4"/>
  <c r="I117" i="4"/>
  <c r="J117" i="4"/>
  <c r="C118" i="4"/>
  <c r="D118" i="4"/>
  <c r="F118" i="4"/>
  <c r="G118" i="4"/>
  <c r="I118" i="4"/>
  <c r="J118" i="4"/>
  <c r="C119" i="4"/>
  <c r="D119" i="4"/>
  <c r="F119" i="4"/>
  <c r="G119" i="4"/>
  <c r="I119" i="4"/>
  <c r="J119" i="4"/>
  <c r="C120" i="4"/>
  <c r="D120" i="4"/>
  <c r="F120" i="4"/>
  <c r="G120" i="4"/>
  <c r="I120" i="4"/>
  <c r="J120" i="4"/>
  <c r="C121" i="4"/>
  <c r="D121" i="4"/>
  <c r="F121" i="4"/>
  <c r="G121" i="4"/>
  <c r="I121" i="4"/>
  <c r="J121" i="4"/>
  <c r="C122" i="4"/>
  <c r="D122" i="4"/>
  <c r="F122" i="4"/>
  <c r="G122" i="4"/>
  <c r="I122" i="4"/>
  <c r="J122" i="4"/>
  <c r="C123" i="4"/>
  <c r="D123" i="4"/>
  <c r="F123" i="4"/>
  <c r="G123" i="4"/>
  <c r="I123" i="4"/>
  <c r="J123" i="4"/>
  <c r="C124" i="4"/>
  <c r="D124" i="4"/>
  <c r="F124" i="4"/>
  <c r="G124" i="4"/>
  <c r="I124" i="4"/>
  <c r="J124" i="4"/>
  <c r="C125" i="4"/>
  <c r="D125" i="4"/>
  <c r="F125" i="4"/>
  <c r="G125" i="4"/>
  <c r="I125" i="4"/>
  <c r="J125" i="4"/>
  <c r="C126" i="4"/>
  <c r="D126" i="4"/>
  <c r="F126" i="4"/>
  <c r="G126" i="4"/>
  <c r="I126" i="4"/>
  <c r="J126" i="4"/>
  <c r="C127" i="4"/>
  <c r="D127" i="4"/>
  <c r="F127" i="4"/>
  <c r="G127" i="4"/>
  <c r="I127" i="4"/>
  <c r="J127" i="4"/>
  <c r="C128" i="4"/>
  <c r="D128" i="4"/>
  <c r="F128" i="4"/>
  <c r="G128" i="4"/>
  <c r="I128" i="4"/>
  <c r="J128" i="4"/>
  <c r="C129" i="4"/>
  <c r="D129" i="4"/>
  <c r="F129" i="4"/>
  <c r="G129" i="4"/>
  <c r="I129" i="4"/>
  <c r="J129" i="4"/>
  <c r="C130" i="4"/>
  <c r="D130" i="4"/>
  <c r="F130" i="4"/>
  <c r="G130" i="4"/>
  <c r="I130" i="4"/>
  <c r="J130" i="4"/>
  <c r="C131" i="4"/>
  <c r="D131" i="4"/>
  <c r="F131" i="4"/>
  <c r="G131" i="4"/>
  <c r="I131" i="4"/>
  <c r="J131" i="4"/>
  <c r="C132" i="4"/>
  <c r="D132" i="4"/>
  <c r="F132" i="4"/>
  <c r="G132" i="4"/>
  <c r="I132" i="4"/>
  <c r="J132" i="4"/>
  <c r="C133" i="4"/>
  <c r="D133" i="4"/>
  <c r="F133" i="4"/>
  <c r="G133" i="4"/>
  <c r="I133" i="4"/>
  <c r="J133" i="4"/>
  <c r="C134" i="4"/>
  <c r="D134" i="4"/>
  <c r="F134" i="4"/>
  <c r="G134" i="4"/>
  <c r="I134" i="4"/>
  <c r="J134" i="4"/>
  <c r="C135" i="4"/>
  <c r="D135" i="4"/>
  <c r="F135" i="4"/>
  <c r="G135" i="4"/>
  <c r="I135" i="4"/>
  <c r="J135" i="4"/>
  <c r="C136" i="4"/>
  <c r="D136" i="4"/>
  <c r="F136" i="4"/>
  <c r="G136" i="4"/>
  <c r="I136" i="4"/>
  <c r="J136" i="4"/>
  <c r="C137" i="4"/>
  <c r="D137" i="4"/>
  <c r="F137" i="4"/>
  <c r="G137" i="4"/>
  <c r="I137" i="4"/>
  <c r="J137" i="4"/>
  <c r="C138" i="4"/>
  <c r="D138" i="4"/>
  <c r="F138" i="4"/>
  <c r="G138" i="4"/>
  <c r="I138" i="4"/>
  <c r="J138" i="4"/>
  <c r="C139" i="4"/>
  <c r="D139" i="4"/>
  <c r="F139" i="4"/>
  <c r="G139" i="4"/>
  <c r="I139" i="4"/>
  <c r="J139" i="4"/>
  <c r="C140" i="4"/>
  <c r="D140" i="4"/>
  <c r="F140" i="4"/>
  <c r="G140" i="4"/>
  <c r="I140" i="4"/>
  <c r="J140" i="4"/>
  <c r="C141" i="4"/>
  <c r="D141" i="4"/>
  <c r="F141" i="4"/>
  <c r="G141" i="4"/>
  <c r="I141" i="4"/>
  <c r="J141" i="4"/>
  <c r="C142" i="4"/>
  <c r="D142" i="4"/>
  <c r="F142" i="4"/>
  <c r="G142" i="4"/>
  <c r="I142" i="4"/>
  <c r="J142" i="4"/>
  <c r="C143" i="4"/>
  <c r="D143" i="4"/>
  <c r="F143" i="4"/>
  <c r="G143" i="4"/>
  <c r="I143" i="4"/>
  <c r="J143" i="4"/>
  <c r="C144" i="4"/>
  <c r="D144" i="4"/>
  <c r="F144" i="4"/>
  <c r="G144" i="4"/>
  <c r="I144" i="4"/>
  <c r="J144" i="4"/>
  <c r="C145" i="4"/>
  <c r="D145" i="4"/>
  <c r="F145" i="4"/>
  <c r="G145" i="4"/>
  <c r="I145" i="4"/>
  <c r="J145" i="4"/>
  <c r="C146" i="4"/>
  <c r="D146" i="4"/>
  <c r="F146" i="4"/>
  <c r="G146" i="4"/>
  <c r="I146" i="4"/>
  <c r="J146" i="4"/>
  <c r="C147" i="4"/>
  <c r="D147" i="4"/>
  <c r="F147" i="4"/>
  <c r="G147" i="4"/>
  <c r="I147" i="4"/>
  <c r="J147" i="4"/>
  <c r="C148" i="4"/>
  <c r="D148" i="4"/>
  <c r="F148" i="4"/>
  <c r="G148" i="4"/>
  <c r="I148" i="4"/>
  <c r="J148" i="4"/>
  <c r="C149" i="4"/>
  <c r="D149" i="4"/>
  <c r="F149" i="4"/>
  <c r="G149" i="4"/>
  <c r="I149" i="4"/>
  <c r="J149" i="4"/>
  <c r="C150" i="4"/>
  <c r="D150" i="4"/>
  <c r="F150" i="4"/>
  <c r="G150" i="4"/>
  <c r="I150" i="4"/>
  <c r="J150" i="4"/>
  <c r="C151" i="4"/>
  <c r="D151" i="4"/>
  <c r="F151" i="4"/>
  <c r="G151" i="4"/>
  <c r="I151" i="4"/>
  <c r="J151" i="4"/>
  <c r="C152" i="4"/>
  <c r="D152" i="4"/>
  <c r="F152" i="4"/>
  <c r="G152" i="4"/>
  <c r="I152" i="4"/>
  <c r="J152" i="4"/>
  <c r="C153" i="4"/>
  <c r="D153" i="4"/>
  <c r="F153" i="4"/>
  <c r="G153" i="4"/>
  <c r="I153" i="4"/>
  <c r="J153" i="4"/>
  <c r="C154" i="4"/>
  <c r="D154" i="4"/>
  <c r="F154" i="4"/>
  <c r="G154" i="4"/>
  <c r="I154" i="4"/>
  <c r="J154" i="4"/>
  <c r="C155" i="4"/>
  <c r="D155" i="4"/>
  <c r="F155" i="4"/>
  <c r="G155" i="4"/>
  <c r="I155" i="4"/>
  <c r="J155" i="4"/>
  <c r="C156" i="4"/>
  <c r="D156" i="4"/>
  <c r="F156" i="4"/>
  <c r="G156" i="4"/>
  <c r="I156" i="4"/>
  <c r="J156" i="4"/>
  <c r="C157" i="4"/>
  <c r="D157" i="4"/>
  <c r="F157" i="4"/>
  <c r="G157" i="4"/>
  <c r="I157" i="4"/>
  <c r="J157" i="4"/>
  <c r="C158" i="4"/>
  <c r="D158" i="4"/>
  <c r="F158" i="4"/>
  <c r="G158" i="4"/>
  <c r="I158" i="4"/>
  <c r="J158" i="4"/>
  <c r="C159" i="4"/>
  <c r="D159" i="4"/>
  <c r="F159" i="4"/>
  <c r="G159" i="4"/>
  <c r="I159" i="4"/>
  <c r="J159" i="4"/>
  <c r="C160" i="4"/>
  <c r="D160" i="4"/>
  <c r="F160" i="4"/>
  <c r="G160" i="4"/>
  <c r="I160" i="4"/>
  <c r="J160" i="4"/>
  <c r="C161" i="4"/>
  <c r="D161" i="4"/>
  <c r="F161" i="4"/>
  <c r="G161" i="4"/>
  <c r="I161" i="4"/>
  <c r="J161" i="4"/>
  <c r="C162" i="4"/>
  <c r="D162" i="4"/>
  <c r="F162" i="4"/>
  <c r="G162" i="4"/>
  <c r="I162" i="4"/>
  <c r="J162" i="4"/>
  <c r="C163" i="4"/>
  <c r="D163" i="4"/>
  <c r="F163" i="4"/>
  <c r="G163" i="4"/>
  <c r="I163" i="4"/>
  <c r="J163" i="4"/>
  <c r="C164" i="4"/>
  <c r="D164" i="4"/>
  <c r="F164" i="4"/>
  <c r="G164" i="4"/>
  <c r="I164" i="4"/>
  <c r="J164" i="4"/>
  <c r="C165" i="4"/>
  <c r="D165" i="4"/>
  <c r="F165" i="4"/>
  <c r="G165" i="4"/>
  <c r="I165" i="4"/>
  <c r="J165" i="4"/>
  <c r="C166" i="4"/>
  <c r="D166" i="4"/>
  <c r="F166" i="4"/>
  <c r="G166" i="4"/>
  <c r="I166" i="4"/>
  <c r="J166" i="4"/>
  <c r="C167" i="4"/>
  <c r="D167" i="4"/>
  <c r="F167" i="4"/>
  <c r="G167" i="4"/>
  <c r="I167" i="4"/>
  <c r="J167" i="4"/>
  <c r="C168" i="4"/>
  <c r="D168" i="4"/>
  <c r="F168" i="4"/>
  <c r="G168" i="4"/>
  <c r="I168" i="4"/>
  <c r="J168" i="4"/>
  <c r="C169" i="4"/>
  <c r="D169" i="4"/>
  <c r="F169" i="4"/>
  <c r="G169" i="4"/>
  <c r="I169" i="4"/>
  <c r="J169" i="4"/>
  <c r="C170" i="4"/>
  <c r="D170" i="4"/>
  <c r="F170" i="4"/>
  <c r="G170" i="4"/>
  <c r="I170" i="4"/>
  <c r="J170" i="4"/>
  <c r="C171" i="4"/>
  <c r="D171" i="4"/>
  <c r="F171" i="4"/>
  <c r="G171" i="4"/>
  <c r="I171" i="4"/>
  <c r="J171" i="4"/>
  <c r="C172" i="4"/>
  <c r="D172" i="4"/>
  <c r="F172" i="4"/>
  <c r="G172" i="4"/>
  <c r="I172" i="4"/>
  <c r="J172" i="4"/>
  <c r="C173" i="4"/>
  <c r="D173" i="4"/>
  <c r="F173" i="4"/>
  <c r="G173" i="4"/>
  <c r="I173" i="4"/>
  <c r="J173" i="4"/>
  <c r="C174" i="4"/>
  <c r="D174" i="4"/>
  <c r="F174" i="4"/>
  <c r="G174" i="4"/>
  <c r="I174" i="4"/>
  <c r="J174" i="4"/>
  <c r="C175" i="4"/>
  <c r="D175" i="4"/>
  <c r="F175" i="4"/>
  <c r="G175" i="4"/>
  <c r="I175" i="4"/>
  <c r="J175" i="4"/>
  <c r="C176" i="4"/>
  <c r="D176" i="4"/>
  <c r="F176" i="4"/>
  <c r="G176" i="4"/>
  <c r="I176" i="4"/>
  <c r="J176" i="4"/>
  <c r="C177" i="4"/>
  <c r="D177" i="4"/>
  <c r="F177" i="4"/>
  <c r="G177" i="4"/>
  <c r="I177" i="4"/>
  <c r="J177" i="4"/>
  <c r="C178" i="4"/>
  <c r="D178" i="4"/>
  <c r="F178" i="4"/>
  <c r="G178" i="4"/>
  <c r="I178" i="4"/>
  <c r="J178" i="4"/>
  <c r="C179" i="4"/>
  <c r="D179" i="4"/>
  <c r="F179" i="4"/>
  <c r="G179" i="4"/>
  <c r="I179" i="4"/>
  <c r="J179" i="4"/>
  <c r="C180" i="4"/>
  <c r="D180" i="4"/>
  <c r="F180" i="4"/>
  <c r="G180" i="4"/>
  <c r="I180" i="4"/>
  <c r="J180" i="4"/>
  <c r="C181" i="4"/>
  <c r="D181" i="4"/>
  <c r="F181" i="4"/>
  <c r="G181" i="4"/>
  <c r="I181" i="4"/>
  <c r="J181" i="4"/>
  <c r="C182" i="4"/>
  <c r="D182" i="4"/>
  <c r="F182" i="4"/>
  <c r="G182" i="4"/>
  <c r="I182" i="4"/>
  <c r="J182" i="4"/>
  <c r="C183" i="4"/>
  <c r="D183" i="4"/>
  <c r="F183" i="4"/>
  <c r="G183" i="4"/>
  <c r="I183" i="4"/>
  <c r="J183" i="4"/>
  <c r="C184" i="4"/>
  <c r="D184" i="4"/>
  <c r="F184" i="4"/>
  <c r="G184" i="4"/>
  <c r="I184" i="4"/>
  <c r="J184" i="4"/>
  <c r="C185" i="4"/>
  <c r="D185" i="4"/>
  <c r="F185" i="4"/>
  <c r="G185" i="4"/>
  <c r="I185" i="4"/>
  <c r="J185" i="4"/>
  <c r="C186" i="4"/>
  <c r="D186" i="4"/>
  <c r="F186" i="4"/>
  <c r="G186" i="4"/>
  <c r="I186" i="4"/>
  <c r="J186" i="4"/>
  <c r="C187" i="4"/>
  <c r="D187" i="4"/>
  <c r="F187" i="4"/>
  <c r="G187" i="4"/>
  <c r="I187" i="4"/>
  <c r="J187" i="4"/>
  <c r="C188" i="4"/>
  <c r="D188" i="4"/>
  <c r="F188" i="4"/>
  <c r="G188" i="4"/>
  <c r="I188" i="4"/>
  <c r="J188" i="4"/>
  <c r="C189" i="4"/>
  <c r="D189" i="4"/>
  <c r="F189" i="4"/>
  <c r="G189" i="4"/>
  <c r="I189" i="4"/>
  <c r="J189" i="4"/>
  <c r="C190" i="4"/>
  <c r="D190" i="4"/>
  <c r="F190" i="4"/>
  <c r="G190" i="4"/>
  <c r="I190" i="4"/>
  <c r="J190" i="4"/>
  <c r="C191" i="4"/>
  <c r="D191" i="4"/>
  <c r="F191" i="4"/>
  <c r="G191" i="4"/>
  <c r="I191" i="4"/>
  <c r="J191" i="4"/>
  <c r="C192" i="4"/>
  <c r="D192" i="4"/>
  <c r="F192" i="4"/>
  <c r="G192" i="4"/>
  <c r="I192" i="4"/>
  <c r="J192" i="4"/>
  <c r="C193" i="4"/>
  <c r="D193" i="4"/>
  <c r="F193" i="4"/>
  <c r="G193" i="4"/>
  <c r="I193" i="4"/>
  <c r="J193" i="4"/>
  <c r="C194" i="4"/>
  <c r="D194" i="4"/>
  <c r="F194" i="4"/>
  <c r="G194" i="4"/>
  <c r="I194" i="4"/>
  <c r="J194" i="4"/>
  <c r="C195" i="4"/>
  <c r="D195" i="4"/>
  <c r="F195" i="4"/>
  <c r="G195" i="4"/>
  <c r="I195" i="4"/>
  <c r="J195" i="4"/>
  <c r="C196" i="4"/>
  <c r="D196" i="4"/>
  <c r="F196" i="4"/>
  <c r="G196" i="4"/>
  <c r="I196" i="4"/>
  <c r="J196" i="4"/>
  <c r="C197" i="4"/>
  <c r="D197" i="4"/>
  <c r="F197" i="4"/>
  <c r="G197" i="4"/>
  <c r="I197" i="4"/>
  <c r="J197" i="4"/>
  <c r="C198" i="4"/>
  <c r="D198" i="4"/>
  <c r="F198" i="4"/>
  <c r="G198" i="4"/>
  <c r="I198" i="4"/>
  <c r="J198" i="4"/>
  <c r="C199" i="4"/>
  <c r="D199" i="4"/>
  <c r="F199" i="4"/>
  <c r="G199" i="4"/>
  <c r="I199" i="4"/>
  <c r="J199" i="4"/>
  <c r="C200" i="4"/>
  <c r="D200" i="4"/>
  <c r="F200" i="4"/>
  <c r="G200" i="4"/>
  <c r="I200" i="4"/>
  <c r="J200" i="4"/>
  <c r="C201" i="4"/>
  <c r="D201" i="4"/>
  <c r="F201" i="4"/>
  <c r="G201" i="4"/>
  <c r="I201" i="4"/>
  <c r="J201" i="4"/>
  <c r="C202" i="4"/>
  <c r="D202" i="4"/>
  <c r="F202" i="4"/>
  <c r="G202" i="4"/>
  <c r="I202" i="4"/>
  <c r="J202" i="4"/>
  <c r="C203" i="4"/>
  <c r="D203" i="4"/>
  <c r="F203" i="4"/>
  <c r="G203" i="4"/>
  <c r="I203" i="4"/>
  <c r="J203" i="4"/>
  <c r="C204" i="4"/>
  <c r="D204" i="4"/>
  <c r="F204" i="4"/>
  <c r="G204" i="4"/>
  <c r="I204" i="4"/>
  <c r="J204" i="4"/>
  <c r="C205" i="4"/>
  <c r="D205" i="4"/>
  <c r="F205" i="4"/>
  <c r="G205" i="4"/>
  <c r="I205" i="4"/>
  <c r="J205" i="4"/>
  <c r="C206" i="4"/>
  <c r="D206" i="4"/>
  <c r="F206" i="4"/>
  <c r="G206" i="4"/>
  <c r="I206" i="4"/>
  <c r="J206" i="4"/>
  <c r="C207" i="4"/>
  <c r="D207" i="4"/>
  <c r="F207" i="4"/>
  <c r="G207" i="4"/>
  <c r="I207" i="4"/>
  <c r="J207" i="4"/>
  <c r="C208" i="4"/>
  <c r="D208" i="4"/>
  <c r="F208" i="4"/>
  <c r="G208" i="4"/>
  <c r="I208" i="4"/>
  <c r="J208" i="4"/>
  <c r="C209" i="4"/>
  <c r="D209" i="4"/>
  <c r="F209" i="4"/>
  <c r="G209" i="4"/>
  <c r="I209" i="4"/>
  <c r="J209" i="4"/>
  <c r="C210" i="4"/>
  <c r="D210" i="4"/>
  <c r="F210" i="4"/>
  <c r="G210" i="4"/>
  <c r="I210" i="4"/>
  <c r="J210" i="4"/>
  <c r="C211" i="4"/>
  <c r="D211" i="4"/>
  <c r="F211" i="4"/>
  <c r="G211" i="4"/>
  <c r="I211" i="4"/>
  <c r="J211" i="4"/>
  <c r="C212" i="4"/>
  <c r="D212" i="4"/>
  <c r="F212" i="4"/>
  <c r="G212" i="4"/>
  <c r="I212" i="4"/>
  <c r="J212" i="4"/>
  <c r="C213" i="4"/>
  <c r="D213" i="4"/>
  <c r="F213" i="4"/>
  <c r="G213" i="4"/>
  <c r="I213" i="4"/>
  <c r="J213" i="4"/>
  <c r="C214" i="4"/>
  <c r="D214" i="4"/>
  <c r="F214" i="4"/>
  <c r="G214" i="4"/>
  <c r="I214" i="4"/>
  <c r="J214" i="4"/>
  <c r="C215" i="4"/>
  <c r="D215" i="4"/>
  <c r="F215" i="4"/>
  <c r="G215" i="4"/>
  <c r="I215" i="4"/>
  <c r="J215" i="4"/>
  <c r="C216" i="4"/>
  <c r="D216" i="4"/>
  <c r="F216" i="4"/>
  <c r="G216" i="4"/>
  <c r="I216" i="4"/>
  <c r="J216" i="4"/>
  <c r="C217" i="4"/>
  <c r="D217" i="4"/>
  <c r="F217" i="4"/>
  <c r="G217" i="4"/>
  <c r="I217" i="4"/>
  <c r="J217" i="4"/>
  <c r="C218" i="4"/>
  <c r="D218" i="4"/>
  <c r="F218" i="4"/>
  <c r="G218" i="4"/>
  <c r="I218" i="4"/>
  <c r="J218" i="4"/>
  <c r="C219" i="4"/>
  <c r="D219" i="4"/>
  <c r="F219" i="4"/>
  <c r="G219" i="4"/>
  <c r="I219" i="4"/>
  <c r="J219" i="4"/>
  <c r="C220" i="4"/>
  <c r="D220" i="4"/>
  <c r="F220" i="4"/>
  <c r="G220" i="4"/>
  <c r="I220" i="4"/>
  <c r="J220" i="4"/>
  <c r="C221" i="4"/>
  <c r="D221" i="4"/>
  <c r="F221" i="4"/>
  <c r="G221" i="4"/>
  <c r="I221" i="4"/>
  <c r="J221" i="4"/>
  <c r="C222" i="4"/>
  <c r="D222" i="4"/>
  <c r="F222" i="4"/>
  <c r="G222" i="4"/>
  <c r="I222" i="4"/>
  <c r="J222" i="4"/>
  <c r="C223" i="4"/>
  <c r="D223" i="4"/>
  <c r="F223" i="4"/>
  <c r="G223" i="4"/>
  <c r="I223" i="4"/>
  <c r="J223" i="4"/>
  <c r="C224" i="4"/>
  <c r="D224" i="4"/>
  <c r="F224" i="4"/>
  <c r="G224" i="4"/>
  <c r="I224" i="4"/>
  <c r="J224" i="4"/>
  <c r="C225" i="4"/>
  <c r="D225" i="4"/>
  <c r="F225" i="4"/>
  <c r="G225" i="4"/>
  <c r="I225" i="4"/>
  <c r="J225" i="4"/>
  <c r="C226" i="4"/>
  <c r="D226" i="4"/>
  <c r="F226" i="4"/>
  <c r="G226" i="4"/>
  <c r="I226" i="4"/>
  <c r="J226" i="4"/>
  <c r="C227" i="4"/>
  <c r="D227" i="4"/>
  <c r="F227" i="4"/>
  <c r="G227" i="4"/>
  <c r="I227" i="4"/>
  <c r="J227" i="4"/>
  <c r="C228" i="4"/>
  <c r="D228" i="4"/>
  <c r="F228" i="4"/>
  <c r="G228" i="4"/>
  <c r="I228" i="4"/>
  <c r="J228" i="4"/>
  <c r="C229" i="4"/>
  <c r="D229" i="4"/>
  <c r="F229" i="4"/>
  <c r="G229" i="4"/>
  <c r="I229" i="4"/>
  <c r="J229" i="4"/>
  <c r="C230" i="4"/>
  <c r="D230" i="4"/>
  <c r="F230" i="4"/>
  <c r="G230" i="4"/>
  <c r="I230" i="4"/>
  <c r="J230" i="4"/>
  <c r="C231" i="4"/>
  <c r="D231" i="4"/>
  <c r="F231" i="4"/>
  <c r="G231" i="4"/>
  <c r="I231" i="4"/>
  <c r="J231" i="4"/>
  <c r="C232" i="4"/>
  <c r="D232" i="4"/>
  <c r="F232" i="4"/>
  <c r="G232" i="4"/>
  <c r="I232" i="4"/>
  <c r="J232" i="4"/>
  <c r="C233" i="4"/>
  <c r="D233" i="4"/>
  <c r="F233" i="4"/>
  <c r="G233" i="4"/>
  <c r="I233" i="4"/>
  <c r="J233" i="4"/>
  <c r="C234" i="4"/>
  <c r="D234" i="4"/>
  <c r="F234" i="4"/>
  <c r="G234" i="4"/>
  <c r="I234" i="4"/>
  <c r="J234" i="4"/>
  <c r="C235" i="4"/>
  <c r="D235" i="4"/>
  <c r="F235" i="4"/>
  <c r="G235" i="4"/>
  <c r="I235" i="4"/>
  <c r="J235" i="4"/>
  <c r="C236" i="4"/>
  <c r="D236" i="4"/>
  <c r="F236" i="4"/>
  <c r="G236" i="4"/>
  <c r="I236" i="4"/>
  <c r="J236" i="4"/>
  <c r="C237" i="4"/>
  <c r="D237" i="4"/>
  <c r="F237" i="4"/>
  <c r="G237" i="4"/>
  <c r="I237" i="4"/>
  <c r="J237" i="4"/>
  <c r="C238" i="4"/>
  <c r="D238" i="4"/>
  <c r="F238" i="4"/>
  <c r="G238" i="4"/>
  <c r="I238" i="4"/>
  <c r="J238" i="4"/>
  <c r="C239" i="4"/>
  <c r="D239" i="4"/>
  <c r="F239" i="4"/>
  <c r="G239" i="4"/>
  <c r="I239" i="4"/>
  <c r="J239" i="4"/>
  <c r="C240" i="4"/>
  <c r="D240" i="4"/>
  <c r="F240" i="4"/>
  <c r="G240" i="4"/>
  <c r="I240" i="4"/>
  <c r="J240" i="4"/>
  <c r="C241" i="4"/>
  <c r="D241" i="4"/>
  <c r="F241" i="4"/>
  <c r="G241" i="4"/>
  <c r="I241" i="4"/>
  <c r="J241" i="4"/>
  <c r="C242" i="4"/>
  <c r="D242" i="4"/>
  <c r="F242" i="4"/>
  <c r="G242" i="4"/>
  <c r="I242" i="4"/>
  <c r="J242" i="4"/>
  <c r="C243" i="4"/>
  <c r="D243" i="4"/>
  <c r="F243" i="4"/>
  <c r="G243" i="4"/>
  <c r="I243" i="4"/>
  <c r="J243" i="4"/>
  <c r="C244" i="4"/>
  <c r="D244" i="4"/>
  <c r="F244" i="4"/>
  <c r="G244" i="4"/>
  <c r="I244" i="4"/>
  <c r="J244" i="4"/>
  <c r="C245" i="4"/>
  <c r="D245" i="4"/>
  <c r="F245" i="4"/>
  <c r="G245" i="4"/>
  <c r="I245" i="4"/>
  <c r="J245" i="4"/>
  <c r="C246" i="4"/>
  <c r="D246" i="4"/>
  <c r="F246" i="4"/>
  <c r="G246" i="4"/>
  <c r="I246" i="4"/>
  <c r="J246" i="4"/>
  <c r="C247" i="4"/>
  <c r="D247" i="4"/>
  <c r="F247" i="4"/>
  <c r="G247" i="4"/>
  <c r="I247" i="4"/>
  <c r="J247" i="4"/>
  <c r="C248" i="4"/>
  <c r="D248" i="4"/>
  <c r="F248" i="4"/>
  <c r="G248" i="4"/>
  <c r="I248" i="4"/>
  <c r="J248" i="4"/>
  <c r="C249" i="4"/>
  <c r="D249" i="4"/>
  <c r="F249" i="4"/>
  <c r="G249" i="4"/>
  <c r="I249" i="4"/>
  <c r="J249" i="4"/>
  <c r="C250" i="4"/>
  <c r="D250" i="4"/>
  <c r="F250" i="4"/>
  <c r="G250" i="4"/>
  <c r="I250" i="4"/>
  <c r="J250" i="4"/>
  <c r="C251" i="4"/>
  <c r="D251" i="4"/>
  <c r="F251" i="4"/>
  <c r="G251" i="4"/>
  <c r="I251" i="4"/>
  <c r="J251" i="4"/>
  <c r="C252" i="4"/>
  <c r="D252" i="4"/>
  <c r="F252" i="4"/>
  <c r="G252" i="4"/>
  <c r="I252" i="4"/>
  <c r="J252" i="4"/>
  <c r="C253" i="4"/>
  <c r="D253" i="4"/>
  <c r="F253" i="4"/>
  <c r="G253" i="4"/>
  <c r="I253" i="4"/>
  <c r="J253" i="4"/>
  <c r="C254" i="4"/>
  <c r="D254" i="4"/>
  <c r="F254" i="4"/>
  <c r="G254" i="4"/>
  <c r="I254" i="4"/>
  <c r="J254" i="4"/>
  <c r="C255" i="4"/>
  <c r="D255" i="4"/>
  <c r="F255" i="4"/>
  <c r="G255" i="4"/>
  <c r="I255" i="4"/>
  <c r="J255" i="4"/>
  <c r="C256" i="4"/>
  <c r="D256" i="4"/>
  <c r="F256" i="4"/>
  <c r="G256" i="4"/>
  <c r="I256" i="4"/>
  <c r="J256" i="4"/>
  <c r="C257" i="4"/>
  <c r="D257" i="4"/>
  <c r="F257" i="4"/>
  <c r="G257" i="4"/>
  <c r="I257" i="4"/>
  <c r="J257" i="4"/>
  <c r="C258" i="4"/>
  <c r="D258" i="4"/>
  <c r="F258" i="4"/>
  <c r="G258" i="4"/>
  <c r="I258" i="4"/>
  <c r="J258" i="4"/>
  <c r="C259" i="4"/>
  <c r="D259" i="4"/>
  <c r="F259" i="4"/>
  <c r="G259" i="4"/>
  <c r="I259" i="4"/>
  <c r="J259" i="4"/>
  <c r="C260" i="4"/>
  <c r="D260" i="4"/>
  <c r="F260" i="4"/>
  <c r="G260" i="4"/>
  <c r="I260" i="4"/>
  <c r="J260" i="4"/>
  <c r="C261" i="4"/>
  <c r="D261" i="4"/>
  <c r="F261" i="4"/>
  <c r="G261" i="4"/>
  <c r="I261" i="4"/>
  <c r="J261" i="4"/>
  <c r="C262" i="4"/>
  <c r="D262" i="4"/>
  <c r="F262" i="4"/>
  <c r="G262" i="4"/>
  <c r="I262" i="4"/>
  <c r="J262" i="4"/>
  <c r="C263" i="4"/>
  <c r="D263" i="4"/>
  <c r="F263" i="4"/>
  <c r="G263" i="4"/>
  <c r="I263" i="4"/>
  <c r="J263" i="4"/>
  <c r="C264" i="4"/>
  <c r="D264" i="4"/>
  <c r="F264" i="4"/>
  <c r="G264" i="4"/>
  <c r="I264" i="4"/>
  <c r="J264" i="4"/>
  <c r="C265" i="4"/>
  <c r="D265" i="4"/>
  <c r="F265" i="4"/>
  <c r="G265" i="4"/>
  <c r="I265" i="4"/>
  <c r="J265" i="4"/>
  <c r="C266" i="4"/>
  <c r="D266" i="4"/>
  <c r="F266" i="4"/>
  <c r="G266" i="4"/>
  <c r="I266" i="4"/>
  <c r="J266" i="4"/>
  <c r="C267" i="4"/>
  <c r="D267" i="4"/>
  <c r="F267" i="4"/>
  <c r="G267" i="4"/>
  <c r="I267" i="4"/>
  <c r="J267" i="4"/>
  <c r="C268" i="4"/>
  <c r="D268" i="4"/>
  <c r="F268" i="4"/>
  <c r="G268" i="4"/>
  <c r="I268" i="4"/>
  <c r="J268" i="4"/>
  <c r="C269" i="4"/>
  <c r="D269" i="4"/>
  <c r="F269" i="4"/>
  <c r="G269" i="4"/>
  <c r="I269" i="4"/>
  <c r="J269" i="4"/>
  <c r="C270" i="4"/>
  <c r="D270" i="4"/>
  <c r="F270" i="4"/>
  <c r="G270" i="4"/>
  <c r="I270" i="4"/>
  <c r="J270" i="4"/>
  <c r="C271" i="4"/>
  <c r="D271" i="4"/>
  <c r="F271" i="4"/>
  <c r="G271" i="4"/>
  <c r="I271" i="4"/>
  <c r="J271" i="4"/>
  <c r="C272" i="4"/>
  <c r="D272" i="4"/>
  <c r="F272" i="4"/>
  <c r="G272" i="4"/>
  <c r="I272" i="4"/>
  <c r="J272" i="4"/>
  <c r="C273" i="4"/>
  <c r="D273" i="4"/>
  <c r="F273" i="4"/>
  <c r="G273" i="4"/>
  <c r="I273" i="4"/>
  <c r="J273" i="4"/>
  <c r="C274" i="4"/>
  <c r="D274" i="4"/>
  <c r="F274" i="4"/>
  <c r="G274" i="4"/>
  <c r="I274" i="4"/>
  <c r="J274" i="4"/>
  <c r="C275" i="4"/>
  <c r="D275" i="4"/>
  <c r="F275" i="4"/>
  <c r="G275" i="4"/>
  <c r="I275" i="4"/>
  <c r="J275" i="4"/>
  <c r="C276" i="4"/>
  <c r="D276" i="4"/>
  <c r="F276" i="4"/>
  <c r="G276" i="4"/>
  <c r="I276" i="4"/>
  <c r="J276" i="4"/>
  <c r="C277" i="4"/>
  <c r="D277" i="4"/>
  <c r="F277" i="4"/>
  <c r="G277" i="4"/>
  <c r="I277" i="4"/>
  <c r="J277" i="4"/>
  <c r="C278" i="4"/>
  <c r="D278" i="4"/>
  <c r="F278" i="4"/>
  <c r="G278" i="4"/>
  <c r="I278" i="4"/>
  <c r="J278" i="4"/>
  <c r="C279" i="4"/>
  <c r="D279" i="4"/>
  <c r="F279" i="4"/>
  <c r="G279" i="4"/>
  <c r="I279" i="4"/>
  <c r="J279" i="4"/>
  <c r="C280" i="4"/>
  <c r="D280" i="4"/>
  <c r="F280" i="4"/>
  <c r="G280" i="4"/>
  <c r="I280" i="4"/>
  <c r="J280" i="4"/>
  <c r="C281" i="4"/>
  <c r="D281" i="4"/>
  <c r="F281" i="4"/>
  <c r="G281" i="4"/>
  <c r="I281" i="4"/>
  <c r="J281" i="4"/>
  <c r="C282" i="4"/>
  <c r="D282" i="4"/>
  <c r="F282" i="4"/>
  <c r="G282" i="4"/>
  <c r="I282" i="4"/>
  <c r="J282" i="4"/>
  <c r="C283" i="4"/>
  <c r="D283" i="4"/>
  <c r="F283" i="4"/>
  <c r="G283" i="4"/>
  <c r="I283" i="4"/>
  <c r="J283" i="4"/>
  <c r="C284" i="4"/>
  <c r="D284" i="4"/>
  <c r="F284" i="4"/>
  <c r="G284" i="4"/>
  <c r="I284" i="4"/>
  <c r="J284" i="4"/>
  <c r="C285" i="4"/>
  <c r="D285" i="4"/>
  <c r="F285" i="4"/>
  <c r="G285" i="4"/>
  <c r="I285" i="4"/>
  <c r="J285" i="4"/>
  <c r="C286" i="4"/>
  <c r="D286" i="4"/>
  <c r="F286" i="4"/>
  <c r="G286" i="4"/>
  <c r="I286" i="4"/>
  <c r="J286" i="4"/>
  <c r="C287" i="4"/>
  <c r="D287" i="4"/>
  <c r="F287" i="4"/>
  <c r="G287" i="4"/>
  <c r="I287" i="4"/>
  <c r="J287" i="4"/>
  <c r="C288" i="4"/>
  <c r="D288" i="4"/>
  <c r="F288" i="4"/>
  <c r="G288" i="4"/>
  <c r="I288" i="4"/>
  <c r="J288" i="4"/>
  <c r="C289" i="4"/>
  <c r="D289" i="4"/>
  <c r="F289" i="4"/>
  <c r="G289" i="4"/>
  <c r="I289" i="4"/>
  <c r="J289" i="4"/>
  <c r="C290" i="4"/>
  <c r="D290" i="4"/>
  <c r="F290" i="4"/>
  <c r="G290" i="4"/>
  <c r="I290" i="4"/>
  <c r="J290" i="4"/>
  <c r="C291" i="4"/>
  <c r="D291" i="4"/>
  <c r="F291" i="4"/>
  <c r="G291" i="4"/>
  <c r="I291" i="4"/>
  <c r="J291" i="4"/>
  <c r="C292" i="4"/>
  <c r="D292" i="4"/>
  <c r="F292" i="4"/>
  <c r="G292" i="4"/>
  <c r="I292" i="4"/>
  <c r="J292" i="4"/>
  <c r="C293" i="4"/>
  <c r="D293" i="4"/>
  <c r="F293" i="4"/>
  <c r="G293" i="4"/>
  <c r="I293" i="4"/>
  <c r="J293" i="4"/>
  <c r="C294" i="4"/>
  <c r="D294" i="4"/>
  <c r="F294" i="4"/>
  <c r="G294" i="4"/>
  <c r="I294" i="4"/>
  <c r="J294" i="4"/>
  <c r="C295" i="4"/>
  <c r="D295" i="4"/>
  <c r="F295" i="4"/>
  <c r="G295" i="4"/>
  <c r="I295" i="4"/>
  <c r="J295" i="4"/>
  <c r="J3" i="4"/>
  <c r="D55" i="1" s="1"/>
  <c r="I3" i="4"/>
  <c r="D54" i="1" s="1"/>
  <c r="G3" i="4"/>
  <c r="D37" i="1" s="1"/>
  <c r="F3" i="4"/>
  <c r="D36" i="1" s="1"/>
  <c r="D3" i="4"/>
  <c r="D19" i="1" s="1"/>
  <c r="C3" i="4"/>
  <c r="D18" i="1" s="1"/>
  <c r="E55" i="1" l="1"/>
  <c r="F55" i="1" s="1"/>
  <c r="G55" i="1" s="1"/>
  <c r="H55" i="1" s="1"/>
  <c r="I55" i="1" s="1"/>
  <c r="E37" i="1"/>
  <c r="F37" i="1" s="1"/>
  <c r="G37" i="1" s="1"/>
  <c r="H37" i="1" s="1"/>
  <c r="I37" i="1" s="1"/>
  <c r="E18" i="1"/>
  <c r="E36" i="1"/>
  <c r="F36" i="1" s="1"/>
  <c r="G36" i="1" s="1"/>
  <c r="H36" i="1" s="1"/>
  <c r="I36" i="1" s="1"/>
  <c r="E19" i="1"/>
  <c r="F19" i="1" s="1"/>
  <c r="G19" i="1" s="1"/>
  <c r="H19" i="1" s="1"/>
  <c r="I19" i="1" s="1"/>
  <c r="Z18" i="1"/>
  <c r="Z15" i="1"/>
  <c r="Z12" i="1"/>
  <c r="E54" i="1" l="1"/>
  <c r="F54" i="1" s="1"/>
  <c r="G54" i="1" s="1"/>
  <c r="H54" i="1" s="1"/>
  <c r="I54" i="1" s="1"/>
  <c r="F18" i="1"/>
  <c r="G18" i="1" s="1"/>
  <c r="H18" i="1" s="1"/>
  <c r="I18" i="1" s="1"/>
  <c r="C31" i="1"/>
  <c r="C49" i="1"/>
  <c r="Z10" i="1" l="1"/>
  <c r="Z20" i="1" l="1"/>
  <c r="Z14" i="1"/>
  <c r="Z17" i="1"/>
</calcChain>
</file>

<file path=xl/sharedStrings.xml><?xml version="1.0" encoding="utf-8"?>
<sst xmlns="http://schemas.openxmlformats.org/spreadsheetml/2006/main" count="9409" uniqueCount="689">
  <si>
    <t>CHAUMONT</t>
  </si>
  <si>
    <t>REGION</t>
  </si>
  <si>
    <t>TERRITOIRE</t>
  </si>
  <si>
    <t>AGENCE</t>
  </si>
  <si>
    <t>AUBE HAUTE MARNE</t>
  </si>
  <si>
    <t>BOURBONNE LES BAINS</t>
  </si>
  <si>
    <t>S45</t>
  </si>
  <si>
    <t>S46</t>
  </si>
  <si>
    <t>S47</t>
  </si>
  <si>
    <t>S48</t>
  </si>
  <si>
    <t>S49</t>
  </si>
  <si>
    <t>S50</t>
  </si>
  <si>
    <t>Obj 100%</t>
  </si>
  <si>
    <t>Obj 120%</t>
  </si>
  <si>
    <t>Reste à faire hebdo par ETP pour atteindre l'objectif</t>
  </si>
  <si>
    <t>RANG BAROMETRE :</t>
  </si>
  <si>
    <t>ECART AU 1ER :</t>
  </si>
  <si>
    <t>ATTENDU :</t>
  </si>
  <si>
    <t>PAR ETP</t>
  </si>
  <si>
    <t>REGIONS</t>
  </si>
  <si>
    <t>TERRITOIRES</t>
  </si>
  <si>
    <t>AGENCES</t>
  </si>
  <si>
    <t>ETP Perf moyen annuel</t>
  </si>
  <si>
    <t>Taux PV  sais. (max 9%)</t>
  </si>
  <si>
    <t>Taux PV annuel (max 9%)</t>
  </si>
  <si>
    <t>Nb items &gt; 100% de l'objectif sais.</t>
  </si>
  <si>
    <t>Nb items &gt; 100% de l'objectif annuel</t>
  </si>
  <si>
    <t>Excédents de collecte yc DAV depuis le 01/01 (en K€)</t>
  </si>
  <si>
    <t>Engagements nets Crédit Conso depuis le 01/01 (en K€) avec coefficients</t>
  </si>
  <si>
    <t>Ventes brutes IARD / Prévoyance depuis le 01/01 avec coefficients</t>
  </si>
  <si>
    <t>Nombre brut Mandats Mobilité depuis le 01/01 avec coefficients</t>
  </si>
  <si>
    <t>Ventes brutes Forfaits depuis le 01/01 avec coefficients</t>
  </si>
  <si>
    <t>Complétude DRC Stock et Traitement RPM Risques majeurs</t>
  </si>
  <si>
    <t>EMJ DAV / M-12</t>
  </si>
  <si>
    <t>Exc. hors DAV J-1</t>
  </si>
  <si>
    <t>Exc. yc DAV (M-12)</t>
  </si>
  <si>
    <t>Réal. / ETP</t>
  </si>
  <si>
    <t>Obj / ETP</t>
  </si>
  <si>
    <t>% Réal.</t>
  </si>
  <si>
    <t>Ecart / 120% de l'attendu</t>
  </si>
  <si>
    <t>Taux PV sais.</t>
  </si>
  <si>
    <t>Taux PV</t>
  </si>
  <si>
    <t>RàF pour 100%</t>
  </si>
  <si>
    <t>RàF pour 120%</t>
  </si>
  <si>
    <t>Engag. nets Conso</t>
  </si>
  <si>
    <t>VB Iard Prev</t>
  </si>
  <si>
    <t>Nb Mob</t>
  </si>
  <si>
    <t>VB Forf</t>
  </si>
  <si>
    <t>Obj DRC</t>
  </si>
  <si>
    <t>Taux compl. DRC</t>
  </si>
  <si>
    <t>Obj RPM</t>
  </si>
  <si>
    <t>Taux trait. RPM</t>
  </si>
  <si>
    <t>info</t>
  </si>
  <si>
    <t>63</t>
  </si>
  <si>
    <t>16</t>
  </si>
  <si>
    <t>32</t>
  </si>
  <si>
    <t>CHAUMONT HOTEL DE VILLE</t>
  </si>
  <si>
    <t>CHAUMONT REPUBLIQUE</t>
  </si>
  <si>
    <t>JOINVILLE</t>
  </si>
  <si>
    <t>LANGRES</t>
  </si>
  <si>
    <t>NOGENT</t>
  </si>
  <si>
    <t>SAINT DIZIER CENTRE</t>
  </si>
  <si>
    <t>SAINT DIZIER EUROPE</t>
  </si>
  <si>
    <t>WASSY</t>
  </si>
  <si>
    <t>TROYES</t>
  </si>
  <si>
    <t>ARCIS SUR AUBE</t>
  </si>
  <si>
    <t>BAR SUR AUBE</t>
  </si>
  <si>
    <t>BAR SUR SEINE</t>
  </si>
  <si>
    <t>BRIENNE LE CHATEAU</t>
  </si>
  <si>
    <t>LA CHAPELLE ST LUC</t>
  </si>
  <si>
    <t>NOGENT SUR SEINE</t>
  </si>
  <si>
    <t>ROMILLY SUR SEINE</t>
  </si>
  <si>
    <t>SAINT ANDRE LES VERGERS</t>
  </si>
  <si>
    <t>SAINTE SAVINE</t>
  </si>
  <si>
    <t>SAINT JULIEN LES VILLAS</t>
  </si>
  <si>
    <t>TROYES 1ER MAI</t>
  </si>
  <si>
    <t>TROYES BROSSOLETTE</t>
  </si>
  <si>
    <t>TROYES CHARTREUX</t>
  </si>
  <si>
    <t>TROYES GAMBETTA</t>
  </si>
  <si>
    <t>TROYES ZOLA</t>
  </si>
  <si>
    <t>BAS RHIN</t>
  </si>
  <si>
    <t>HAGUENAU</t>
  </si>
  <si>
    <t>BISCHWILLER</t>
  </si>
  <si>
    <t>BOUXWILLER</t>
  </si>
  <si>
    <t>BRUMATH</t>
  </si>
  <si>
    <t>HAGUENAU HOUBLON</t>
  </si>
  <si>
    <t>HAGUENAU MUSAU</t>
  </si>
  <si>
    <t>HOCHFELDEN</t>
  </si>
  <si>
    <t>HOERDT</t>
  </si>
  <si>
    <t>INGWILLER</t>
  </si>
  <si>
    <t>NIEDERBRONN LES BAINS</t>
  </si>
  <si>
    <t>PFAFFENHOFFEN</t>
  </si>
  <si>
    <t>SARRE UNION</t>
  </si>
  <si>
    <t>SAVERNE</t>
  </si>
  <si>
    <t>SCHWEIGHOUSE SUR MODER</t>
  </si>
  <si>
    <t>SOUFFLENHEIM</t>
  </si>
  <si>
    <t>SOULTZ SOUS FORETS</t>
  </si>
  <si>
    <t>TRUCHTERSHEIM</t>
  </si>
  <si>
    <t>WISSEMBOURG</t>
  </si>
  <si>
    <t>WOERTH</t>
  </si>
  <si>
    <t>SELESTAT</t>
  </si>
  <si>
    <t>BARR</t>
  </si>
  <si>
    <t>BENFELD</t>
  </si>
  <si>
    <t>ERSTEIN</t>
  </si>
  <si>
    <t>FEGERSHEIM</t>
  </si>
  <si>
    <t>ILLKIRCH CENTRE</t>
  </si>
  <si>
    <t>LINGOLSHEIM</t>
  </si>
  <si>
    <t>MARCKOLSHEIM</t>
  </si>
  <si>
    <t>MARLENHEIM</t>
  </si>
  <si>
    <t>MOLSHEIM</t>
  </si>
  <si>
    <t>MUTZIG</t>
  </si>
  <si>
    <t>OBERNAI</t>
  </si>
  <si>
    <t>ROSHEIM</t>
  </si>
  <si>
    <t>SCHIRMECK</t>
  </si>
  <si>
    <t>SELESTAT CENTRE</t>
  </si>
  <si>
    <t>SELESTAT OUEST</t>
  </si>
  <si>
    <t>VILLE</t>
  </si>
  <si>
    <t>WASSELONNE</t>
  </si>
  <si>
    <t>STRASBOURG</t>
  </si>
  <si>
    <t>BISCHHEIM</t>
  </si>
  <si>
    <t>LA WANTZENAU</t>
  </si>
  <si>
    <t>MUNDOLSHEIM</t>
  </si>
  <si>
    <t>OBERHAUSBERGEN</t>
  </si>
  <si>
    <t>REICHSTETT</t>
  </si>
  <si>
    <t>SCHILTIGHEIM CENTRE</t>
  </si>
  <si>
    <t>SCHILTIGHEIM KLEBER</t>
  </si>
  <si>
    <t>STRASBOURG ANVERS</t>
  </si>
  <si>
    <t>STRASBOURG AUSTERLITZ</t>
  </si>
  <si>
    <t>STRASBOURG CRONENBOURG</t>
  </si>
  <si>
    <t>STRASBOURG DANUBE</t>
  </si>
  <si>
    <t>STRASBOURG FRANCS BOURGEOIS</t>
  </si>
  <si>
    <t>STRASBOURG HALLES</t>
  </si>
  <si>
    <t>STRASBOURG KOENIGSHOFFEN</t>
  </si>
  <si>
    <t>STRASBOURG MEINAU</t>
  </si>
  <si>
    <t>STRASBOURG MONTAGNE VERTE</t>
  </si>
  <si>
    <t>STRASBOURG NEUDORF</t>
  </si>
  <si>
    <t>STRASBOURG ROBERTSAU</t>
  </si>
  <si>
    <t>STRASBOURG STOCKFELD</t>
  </si>
  <si>
    <t>STRASBOURG VOSGES</t>
  </si>
  <si>
    <t>HAUT RHIN</t>
  </si>
  <si>
    <t>COLMAR</t>
  </si>
  <si>
    <t>COLMAR MARAICHERS</t>
  </si>
  <si>
    <t>COLMAR REPUBLIQUE</t>
  </si>
  <si>
    <t>COLMAR SAINTE MARIE</t>
  </si>
  <si>
    <t>COLMAR SAINT JOSEPH</t>
  </si>
  <si>
    <t xml:space="preserve"> </t>
  </si>
  <si>
    <t>COLMAR VAUBAN</t>
  </si>
  <si>
    <t>ENSISHEIM</t>
  </si>
  <si>
    <t>GUEBWILLER</t>
  </si>
  <si>
    <t>HORBOURG WIHR</t>
  </si>
  <si>
    <t>INGERSHEIM</t>
  </si>
  <si>
    <t>MUNSTER</t>
  </si>
  <si>
    <t>MUNTZENHEIM</t>
  </si>
  <si>
    <t>NEUF BRISACH</t>
  </si>
  <si>
    <t>ORBEY</t>
  </si>
  <si>
    <t>RIBEAUVILLE</t>
  </si>
  <si>
    <t>ROUFFACH</t>
  </si>
  <si>
    <t>SAINTE MARIE AUX MINES</t>
  </si>
  <si>
    <t>WINTZENHEIM</t>
  </si>
  <si>
    <t>MULHOUSE</t>
  </si>
  <si>
    <t>ALTKIRCH</t>
  </si>
  <si>
    <t>CERNAY</t>
  </si>
  <si>
    <t>DANNEMARIE</t>
  </si>
  <si>
    <t>ILLZACH</t>
  </si>
  <si>
    <t>MASEVAUX</t>
  </si>
  <si>
    <t>MULHOUSE DORNACH</t>
  </si>
  <si>
    <t>MULHOUSE REUNION</t>
  </si>
  <si>
    <t>MULHOUSE ROOSEVELT</t>
  </si>
  <si>
    <t>PFASTATT</t>
  </si>
  <si>
    <t>RIEDISHEIM</t>
  </si>
  <si>
    <t>RIXHEIM</t>
  </si>
  <si>
    <t>SAINT LOUIS</t>
  </si>
  <si>
    <t>THANN</t>
  </si>
  <si>
    <t>WITTELSHEIM</t>
  </si>
  <si>
    <t>WITTENHEIM</t>
  </si>
  <si>
    <t>MARNE ARDENNES</t>
  </si>
  <si>
    <t>CHALONS EN CHAMPAGNE</t>
  </si>
  <si>
    <t>CHALONS ROOSEVELT</t>
  </si>
  <si>
    <t>CHALONS VIVIERS</t>
  </si>
  <si>
    <t>FAGNIERES LECLERC</t>
  </si>
  <si>
    <t>MONTMIRAIL</t>
  </si>
  <si>
    <t>MOURMELON LE GRAND</t>
  </si>
  <si>
    <t>SAINTE MENEHOULD</t>
  </si>
  <si>
    <t>SARRY</t>
  </si>
  <si>
    <t>SEZANNE</t>
  </si>
  <si>
    <t>VERTUS</t>
  </si>
  <si>
    <t>VITRY LE FRANCOIS</t>
  </si>
  <si>
    <t>CHARLEVILLE MEZIERES</t>
  </si>
  <si>
    <t>CARIGNAN</t>
  </si>
  <si>
    <t>CHARLEVILLE JEAN JAURES</t>
  </si>
  <si>
    <t>CHARLEVILLE MOHON</t>
  </si>
  <si>
    <t>CHARLEVILLE NEVERS</t>
  </si>
  <si>
    <t>GIVET</t>
  </si>
  <si>
    <t>MOUZON</t>
  </si>
  <si>
    <t>RETHEL</t>
  </si>
  <si>
    <t>REVIN</t>
  </si>
  <si>
    <t>ROCROI</t>
  </si>
  <si>
    <t>SEDAN</t>
  </si>
  <si>
    <t>VILLERS SEMEUSE CORA</t>
  </si>
  <si>
    <t>VOUZIERS</t>
  </si>
  <si>
    <t>VRIGNE AUX BOIS</t>
  </si>
  <si>
    <t>REIMS</t>
  </si>
  <si>
    <t>AY CHAMPAGNE</t>
  </si>
  <si>
    <t>BETHENY</t>
  </si>
  <si>
    <t>DAMERY</t>
  </si>
  <si>
    <t>DORMANS</t>
  </si>
  <si>
    <t>EPERNAY</t>
  </si>
  <si>
    <t>FISMES</t>
  </si>
  <si>
    <t>PIERRY LECLERC</t>
  </si>
  <si>
    <t>REIMS CENTRE VILLE</t>
  </si>
  <si>
    <t>REIMS CHATILLONS</t>
  </si>
  <si>
    <t>REIMS EUROPE</t>
  </si>
  <si>
    <t>REIMS HIPPODROME</t>
  </si>
  <si>
    <t>REIMS HOTEL DE VILLE</t>
  </si>
  <si>
    <t>REIMS JEAN JAURES</t>
  </si>
  <si>
    <t>REIMS SAINTE ANNE</t>
  </si>
  <si>
    <t>REIMS SAINT MARCEAUX</t>
  </si>
  <si>
    <t>REIMS SAINT REMI</t>
  </si>
  <si>
    <t>REIMS SAINT THOMAS</t>
  </si>
  <si>
    <t>TINQUEUX</t>
  </si>
  <si>
    <t>MEURTHE ET MOSELLE MEUSE</t>
  </si>
  <si>
    <t>NANCY</t>
  </si>
  <si>
    <t>BACCARAT</t>
  </si>
  <si>
    <t>BAYON</t>
  </si>
  <si>
    <t>BLAINVILLE</t>
  </si>
  <si>
    <t>BLAMONT</t>
  </si>
  <si>
    <t>DOMBASLE SUR MEURTHE</t>
  </si>
  <si>
    <t>ESSEY LES NANCY</t>
  </si>
  <si>
    <t>JARVILLE LA MALGRANGE</t>
  </si>
  <si>
    <t>LUNEVILLE CARNOT</t>
  </si>
  <si>
    <t>LUNEVILLE CHATEAU</t>
  </si>
  <si>
    <t>NANCY ARTEM</t>
  </si>
  <si>
    <t>NANCY JEAN JAURES</t>
  </si>
  <si>
    <t>NANCY PLACE DOMBASLE</t>
  </si>
  <si>
    <t>NANCY POINT CENTRAL</t>
  </si>
  <si>
    <t>NANCY SAINT SEBASTIEN</t>
  </si>
  <si>
    <t>SAINT MAX</t>
  </si>
  <si>
    <t>SAINT NICOLAS DE PORT</t>
  </si>
  <si>
    <t>TOMBLAINE</t>
  </si>
  <si>
    <t>VANDOEUVRE LES NANCY</t>
  </si>
  <si>
    <t>PONT A MOUSSON</t>
  </si>
  <si>
    <t>BRIEY</t>
  </si>
  <si>
    <t>CHALIGNY NEUVES MAISONS</t>
  </si>
  <si>
    <t>CHAMPIGNEULLES</t>
  </si>
  <si>
    <t>DIEULOUARD</t>
  </si>
  <si>
    <t>FROUARD</t>
  </si>
  <si>
    <t>JARNY</t>
  </si>
  <si>
    <t>JOEUF</t>
  </si>
  <si>
    <t>LAXOU ARISTIDE BRIAND</t>
  </si>
  <si>
    <t>LAXOU SAPINIERE</t>
  </si>
  <si>
    <t>LUDRES</t>
  </si>
  <si>
    <t>NANCY PLATEAU DE HAYE</t>
  </si>
  <si>
    <t>NANCY TROIS MAISONS</t>
  </si>
  <si>
    <t>PAGNY SUR MOSELLE</t>
  </si>
  <si>
    <t>POMPEY</t>
  </si>
  <si>
    <t>PONT A MOUSSON BREUIL</t>
  </si>
  <si>
    <t>PONT A MOUSSON CENTRALE</t>
  </si>
  <si>
    <t>TOUL</t>
  </si>
  <si>
    <t>VEZELISE</t>
  </si>
  <si>
    <t>VILLERS GENERAL LECLERC</t>
  </si>
  <si>
    <t>VERDUN</t>
  </si>
  <si>
    <t>BAR LE DUC</t>
  </si>
  <si>
    <t>COMMERCY</t>
  </si>
  <si>
    <t>ETAIN</t>
  </si>
  <si>
    <t>LIGNY EN BARROIS</t>
  </si>
  <si>
    <t>LONGUYON</t>
  </si>
  <si>
    <t>LONGWY BAS</t>
  </si>
  <si>
    <t>LONGWY HAUT</t>
  </si>
  <si>
    <t>MONTMEDY</t>
  </si>
  <si>
    <t>REVIGNY SUR ORNAIN</t>
  </si>
  <si>
    <t>STENAY</t>
  </si>
  <si>
    <t>VAUCOULEURS</t>
  </si>
  <si>
    <t>VERDUN CENTRALE</t>
  </si>
  <si>
    <t>VERDUN MAZEL</t>
  </si>
  <si>
    <t>VILLERUPT</t>
  </si>
  <si>
    <t>MOSELLE</t>
  </si>
  <si>
    <t>METZ</t>
  </si>
  <si>
    <t>ARS SUR MOSELLE</t>
  </si>
  <si>
    <t>BOULAY</t>
  </si>
  <si>
    <t>CLOUANGE</t>
  </si>
  <si>
    <t>MAIZIERES LES METZ</t>
  </si>
  <si>
    <t>MARANGE SILVANGE</t>
  </si>
  <si>
    <t>MARLY</t>
  </si>
  <si>
    <t>METZ CATHEDRALE</t>
  </si>
  <si>
    <t>METZ MOZART</t>
  </si>
  <si>
    <t>METZ PLAPPEVILLE</t>
  </si>
  <si>
    <t>METZ POMPIDOU</t>
  </si>
  <si>
    <t>METZ REPUBLIQUE</t>
  </si>
  <si>
    <t>METZ SAINT LIVIER</t>
  </si>
  <si>
    <t>METZ SAINT LOUIS</t>
  </si>
  <si>
    <t>METZ SAINT MAXIMIN</t>
  </si>
  <si>
    <t>METZ SARRE</t>
  </si>
  <si>
    <t>MONTIGNY LES METZ</t>
  </si>
  <si>
    <t>MOULINS LES METZ</t>
  </si>
  <si>
    <t>REMILLY</t>
  </si>
  <si>
    <t>ROMBAS</t>
  </si>
  <si>
    <t>SAINTE MARIE AUX CHENES</t>
  </si>
  <si>
    <t>SAINT JULIEN LES METZ</t>
  </si>
  <si>
    <t>WOIPPY</t>
  </si>
  <si>
    <t>MOSELLE EST</t>
  </si>
  <si>
    <t>BEHREN LES FORBACH</t>
  </si>
  <si>
    <t>BITCHE</t>
  </si>
  <si>
    <t>CHATEAU SALINS</t>
  </si>
  <si>
    <t>CREUTZWALD</t>
  </si>
  <si>
    <t>DIEUZE</t>
  </si>
  <si>
    <t>FAULQUEMONT</t>
  </si>
  <si>
    <t>FORBACH CENTRALE</t>
  </si>
  <si>
    <t>GROSBLIEDERSTROFF</t>
  </si>
  <si>
    <t>HOMBOURG HAUT</t>
  </si>
  <si>
    <t>MERLEBACH</t>
  </si>
  <si>
    <t>MORHANGE</t>
  </si>
  <si>
    <t>NEUNKIRCH</t>
  </si>
  <si>
    <t>PHALSBOURG</t>
  </si>
  <si>
    <t>PUTTELANGE AUX LACS</t>
  </si>
  <si>
    <t>SAINT AVOLD</t>
  </si>
  <si>
    <t>SARREBOURG</t>
  </si>
  <si>
    <t>SARREGUEMINES</t>
  </si>
  <si>
    <t>VALMONT</t>
  </si>
  <si>
    <t>MOSELLE NORD</t>
  </si>
  <si>
    <t>AUDUN LE TICHE</t>
  </si>
  <si>
    <t>BOUSSE</t>
  </si>
  <si>
    <t>BOUZONVILLE</t>
  </si>
  <si>
    <t>CATTENOM</t>
  </si>
  <si>
    <t>FAMECK</t>
  </si>
  <si>
    <t>FLORANGE</t>
  </si>
  <si>
    <t>FONTOY</t>
  </si>
  <si>
    <t>GUENANGE</t>
  </si>
  <si>
    <t>HAGONDANGE</t>
  </si>
  <si>
    <t>HAYANGE</t>
  </si>
  <si>
    <t>HETTANGE GRANDE</t>
  </si>
  <si>
    <t>METZERVISSE</t>
  </si>
  <si>
    <t>NILVANGE</t>
  </si>
  <si>
    <t>SIERCK LES BAINS</t>
  </si>
  <si>
    <t>TERVILLE</t>
  </si>
  <si>
    <t>THIONVILLE CENTRALE</t>
  </si>
  <si>
    <t>THIONVILLE COTE DES ROSES</t>
  </si>
  <si>
    <t>THIONVILLE LA MILLIAIRE</t>
  </si>
  <si>
    <t>UCKANGE</t>
  </si>
  <si>
    <t>YUTZ</t>
  </si>
  <si>
    <t>VOSGES</t>
  </si>
  <si>
    <t>EPINAL</t>
  </si>
  <si>
    <t>CHANTRAINE</t>
  </si>
  <si>
    <t>CHARMES</t>
  </si>
  <si>
    <t>CHATENOIS VOSGES</t>
  </si>
  <si>
    <t>DARNEY</t>
  </si>
  <si>
    <t>ELOYES</t>
  </si>
  <si>
    <t>EPINAL ARISTIDE BRIAND</t>
  </si>
  <si>
    <t>EPINAL AVRINSART</t>
  </si>
  <si>
    <t>EPINAL LEOPOLD BOURG</t>
  </si>
  <si>
    <t>GOLBEY</t>
  </si>
  <si>
    <t>LE VAL D AJOL</t>
  </si>
  <si>
    <t>MIRECOURT</t>
  </si>
  <si>
    <t>NEUFCHATEAU</t>
  </si>
  <si>
    <t>REMIREMONT</t>
  </si>
  <si>
    <t>THAON LES VOSGES</t>
  </si>
  <si>
    <t>VITTEL</t>
  </si>
  <si>
    <t>XERTIGNY</t>
  </si>
  <si>
    <t>SAINT DIE</t>
  </si>
  <si>
    <t>BRUYERES</t>
  </si>
  <si>
    <t>CORNIMONT LA BRESSE</t>
  </si>
  <si>
    <t>FRAIZE</t>
  </si>
  <si>
    <t>GERARDMER</t>
  </si>
  <si>
    <t>GRANGES AUMONTZEY</t>
  </si>
  <si>
    <t>LE THILLOT</t>
  </si>
  <si>
    <t>MOYENMOUTIER</t>
  </si>
  <si>
    <t>RAMBERVILLERS</t>
  </si>
  <si>
    <t>RAON L ETAPE</t>
  </si>
  <si>
    <t>SAINT DIE CATHEDRALE</t>
  </si>
  <si>
    <t>SENONES</t>
  </si>
  <si>
    <t>VAGNEY</t>
  </si>
  <si>
    <t>TOTAL AGENCES</t>
  </si>
  <si>
    <t>0 - 79%</t>
  </si>
  <si>
    <t>80% - 100%</t>
  </si>
  <si>
    <t>101% - 120%</t>
  </si>
  <si>
    <t>largeur</t>
  </si>
  <si>
    <t>part invisible</t>
  </si>
  <si>
    <t>Au 09/20</t>
  </si>
  <si>
    <t>Jauge</t>
  </si>
  <si>
    <t>aiguille IARD</t>
  </si>
  <si>
    <t>aiguille CONSO</t>
  </si>
  <si>
    <t>aiguille BANCA</t>
  </si>
  <si>
    <t>S0 RAF IARD 100%</t>
  </si>
  <si>
    <t>S0 RAF IARD 120%</t>
  </si>
  <si>
    <t>S0 RAF CONSO 100%</t>
  </si>
  <si>
    <t>S0 RAF CONSO 120%</t>
  </si>
  <si>
    <t>S0 RAF FORF 100%</t>
  </si>
  <si>
    <t>S0 RAF FORF 120%</t>
  </si>
  <si>
    <t>S45 RAF IARD 100%</t>
  </si>
  <si>
    <t>S45 RAF IARD 120%</t>
  </si>
  <si>
    <t>S45 RAF CONSO 100%</t>
  </si>
  <si>
    <t>S45 RAF CONSO 120%</t>
  </si>
  <si>
    <t>S45 RAF FORF 100%</t>
  </si>
  <si>
    <t>S45 RAF FORF 120%</t>
  </si>
  <si>
    <t>S46 RAF IARD 100%</t>
  </si>
  <si>
    <t>S46 RAF IARD 120%</t>
  </si>
  <si>
    <t>S46 RAF CONSO 100%</t>
  </si>
  <si>
    <t>S46 RAF CONSO 120%</t>
  </si>
  <si>
    <t>S46 RAF FORF 100%</t>
  </si>
  <si>
    <t>S46 RAF FORF 120%</t>
  </si>
  <si>
    <t>S47 RAF IARD 100%</t>
  </si>
  <si>
    <t>S47 RAF IARD 120%</t>
  </si>
  <si>
    <t>S47 RAF CONSO 100%</t>
  </si>
  <si>
    <t>S47 RAF CONSO 120%</t>
  </si>
  <si>
    <t>S47 RAF FORF 100%</t>
  </si>
  <si>
    <t>S47 RAF FORF 120%</t>
  </si>
  <si>
    <t>S48 RAF IARD 100%</t>
  </si>
  <si>
    <t>S48 RAF IARD 120%</t>
  </si>
  <si>
    <t>S48 RAF CONSO 100%</t>
  </si>
  <si>
    <t>S48 RAF CONSO 120%</t>
  </si>
  <si>
    <t>S48 RAF FORF 100%</t>
  </si>
  <si>
    <t>S48 RAF FORF 120%</t>
  </si>
  <si>
    <t>S49 RAF IARD 100%</t>
  </si>
  <si>
    <t>S49 RAF IARD 120%</t>
  </si>
  <si>
    <t>S49 RAF CONSO 100%</t>
  </si>
  <si>
    <t>S49 RAF CONSO 120%</t>
  </si>
  <si>
    <t>S49 RAF FORF 100%</t>
  </si>
  <si>
    <t>S49 RAF FORF 120%</t>
  </si>
  <si>
    <t>S50 RAF IARD 100%</t>
  </si>
  <si>
    <t>S50 RAF IARD 120%</t>
  </si>
  <si>
    <t>S50 RAF CONSO 100%</t>
  </si>
  <si>
    <t>S50 RAF CONSO 120%</t>
  </si>
  <si>
    <t>S50 RAF FORF 100%</t>
  </si>
  <si>
    <t>S50 RAF FORF 120%</t>
  </si>
  <si>
    <t>EDS</t>
  </si>
  <si>
    <t>ETP_SUIVI</t>
  </si>
  <si>
    <t>contenu de la table BDD_CONQ_UNIV_ETP  (remplacer les . par des , )</t>
  </si>
  <si>
    <t>MOSELLE_EST</t>
  </si>
  <si>
    <t>MOSELLE_NORD</t>
  </si>
  <si>
    <t>SAINT_DIE</t>
  </si>
  <si>
    <t>AUBE_HAUTE_MARNE</t>
  </si>
  <si>
    <t>BANQUE DIGITALE</t>
  </si>
  <si>
    <t>MON_AGENCE</t>
  </si>
  <si>
    <t>MON AGENCE</t>
  </si>
  <si>
    <t>MON_BANQUIER_EN_LIGNE</t>
  </si>
  <si>
    <t>MON BANQUIER EN LIGNE</t>
  </si>
  <si>
    <t>BAS_RHIN</t>
  </si>
  <si>
    <t>HAUT_RHIN</t>
  </si>
  <si>
    <t>MARNE_ARDENNES</t>
  </si>
  <si>
    <t>CHALONS_EN_CHAMPAGNE</t>
  </si>
  <si>
    <t>CHARLEVILLE_MEZIERES</t>
  </si>
  <si>
    <t>MEURTHE_ET_MOSELLE_MEUSE</t>
  </si>
  <si>
    <t>PONT_A_MOUSSON</t>
  </si>
  <si>
    <t>Réalis. / ETP</t>
  </si>
  <si>
    <r>
      <t xml:space="preserve">Reste à faire hebdo </t>
    </r>
    <r>
      <rPr>
        <b/>
        <sz val="11"/>
        <color rgb="FFC00000"/>
        <rFont val="Calibri"/>
        <family val="2"/>
        <scheme val="minor"/>
      </rPr>
      <t>par ETP</t>
    </r>
    <r>
      <rPr>
        <b/>
        <sz val="11"/>
        <color theme="1"/>
        <rFont val="Calibri"/>
        <family val="2"/>
        <scheme val="minor"/>
      </rPr>
      <t xml:space="preserve"> pour atteindre l'objectif</t>
    </r>
  </si>
  <si>
    <r>
      <t xml:space="preserve">Reste à faire hebdo </t>
    </r>
    <r>
      <rPr>
        <b/>
        <sz val="11"/>
        <color rgb="FFC00000"/>
        <rFont val="Calibri"/>
        <family val="2"/>
        <scheme val="minor"/>
      </rPr>
      <t xml:space="preserve">par ETP </t>
    </r>
    <r>
      <rPr>
        <b/>
        <sz val="11"/>
        <color theme="1"/>
        <rFont val="Calibri"/>
        <family val="2"/>
        <scheme val="minor"/>
      </rPr>
      <t>pour atteindre l'objectif (en K€)</t>
    </r>
  </si>
  <si>
    <t>DONNEES DE BASES</t>
  </si>
  <si>
    <t>CALCULS</t>
  </si>
  <si>
    <t>CA UC RESTE A FAIRE</t>
  </si>
  <si>
    <t>NB SEMAINES PASSEES</t>
  </si>
  <si>
    <t>NB SEMAINES RESTANTES</t>
  </si>
  <si>
    <t>Direction</t>
  </si>
  <si>
    <t>eds</t>
  </si>
  <si>
    <t>Territoire</t>
  </si>
  <si>
    <t>Agence</t>
  </si>
  <si>
    <t>ETP perf 
au 30/09</t>
  </si>
  <si>
    <t>Réal / ETP</t>
  </si>
  <si>
    <t>PNB / ETP</t>
  </si>
  <si>
    <t>% Ecart au 1er</t>
  </si>
  <si>
    <t>Rang</t>
  </si>
  <si>
    <t>Top 1</t>
  </si>
  <si>
    <t>Top 10</t>
  </si>
  <si>
    <t>Top 30</t>
  </si>
  <si>
    <t>Top 50</t>
  </si>
  <si>
    <t>Top 100</t>
  </si>
  <si>
    <t>Moyenne</t>
  </si>
  <si>
    <t>Atteinte Top1</t>
  </si>
  <si>
    <t>Atteinte Top10</t>
  </si>
  <si>
    <t>Atteinte Top30</t>
  </si>
  <si>
    <t>Atteinte Top50</t>
  </si>
  <si>
    <t>Atteinte Top100</t>
  </si>
  <si>
    <t>Atteinte Moyenne</t>
  </si>
  <si>
    <t>NOGENT EN BASSIGNY</t>
  </si>
  <si>
    <t>BRIENNE LE CHÂTEAU</t>
  </si>
  <si>
    <t>ROMILLY ORMES</t>
  </si>
  <si>
    <t>TROYES 1er MAI</t>
  </si>
  <si>
    <t>BAS-RHIN</t>
  </si>
  <si>
    <t xml:space="preserve">BOUXWILLER </t>
  </si>
  <si>
    <t xml:space="preserve">BRUMATH </t>
  </si>
  <si>
    <t xml:space="preserve">HAGUENAU HOUBLON </t>
  </si>
  <si>
    <t xml:space="preserve">HOCHFELDEN </t>
  </si>
  <si>
    <t xml:space="preserve">HOERDT </t>
  </si>
  <si>
    <t xml:space="preserve">INGWILLER </t>
  </si>
  <si>
    <t xml:space="preserve">NIEDERBRONN LES BAINS           </t>
  </si>
  <si>
    <t xml:space="preserve">PFAFFENHOFFEN </t>
  </si>
  <si>
    <t xml:space="preserve">SCHWEIGHOUSE SUR MODER </t>
  </si>
  <si>
    <t xml:space="preserve">SOUFFLENHEIM </t>
  </si>
  <si>
    <t xml:space="preserve">SOULTZ SOUS FORETS </t>
  </si>
  <si>
    <t xml:space="preserve">TRUCHTERSHEIM </t>
  </si>
  <si>
    <t xml:space="preserve">WOERTH </t>
  </si>
  <si>
    <t xml:space="preserve">BARR </t>
  </si>
  <si>
    <t xml:space="preserve">BENFELD </t>
  </si>
  <si>
    <t xml:space="preserve">ERSTEIN </t>
  </si>
  <si>
    <t xml:space="preserve">FEGERSHEIM </t>
  </si>
  <si>
    <t xml:space="preserve">ILLKIRCH CENTRE </t>
  </si>
  <si>
    <t xml:space="preserve">MARCKOLSHEIM </t>
  </si>
  <si>
    <t xml:space="preserve">MARLENHEIM </t>
  </si>
  <si>
    <t xml:space="preserve">MUTZIG </t>
  </si>
  <si>
    <t xml:space="preserve">OBERNAI </t>
  </si>
  <si>
    <t xml:space="preserve">ROSHEIM </t>
  </si>
  <si>
    <t xml:space="preserve">SCHIRMECK </t>
  </si>
  <si>
    <t xml:space="preserve">SELESTAT CENTRE </t>
  </si>
  <si>
    <t xml:space="preserve">WASSELONNE </t>
  </si>
  <si>
    <t xml:space="preserve">BISCHHEIM </t>
  </si>
  <si>
    <t xml:space="preserve">LA WANTZENAU </t>
  </si>
  <si>
    <t xml:space="preserve">REICHSTETT </t>
  </si>
  <si>
    <t xml:space="preserve">SCHILTIGHEIM CENTRE </t>
  </si>
  <si>
    <t xml:space="preserve">SCHILTIGHEIM KLEBER </t>
  </si>
  <si>
    <t xml:space="preserve">STRASBOURG AUSTERLITZ </t>
  </si>
  <si>
    <t xml:space="preserve">STRASBOURG FRANCS BOURGEOIS </t>
  </si>
  <si>
    <t xml:space="preserve">STRASBOURG KOENIGSHOFFEN </t>
  </si>
  <si>
    <t xml:space="preserve">STRASBOURG MONTAGNE VERTE </t>
  </si>
  <si>
    <t xml:space="preserve">STRASBOURG STOCKFELD </t>
  </si>
  <si>
    <t>HAUT-RHIN</t>
  </si>
  <si>
    <t xml:space="preserve">COLMAR SAINT JOSEPH </t>
  </si>
  <si>
    <t xml:space="preserve">COLMAR SAINTE MARIE </t>
  </si>
  <si>
    <t xml:space="preserve">COLMAR VAUBAN </t>
  </si>
  <si>
    <t xml:space="preserve">ENSISHEIM </t>
  </si>
  <si>
    <t xml:space="preserve">GUEBWILLER </t>
  </si>
  <si>
    <t xml:space="preserve">HORBOURG WIHR </t>
  </si>
  <si>
    <t xml:space="preserve">INGERSHEIM </t>
  </si>
  <si>
    <t xml:space="preserve">MUNSTER </t>
  </si>
  <si>
    <t xml:space="preserve">NEUF BRISACH </t>
  </si>
  <si>
    <t xml:space="preserve">SAINTE MARIE AUX MINES </t>
  </si>
  <si>
    <t xml:space="preserve">CERNAY </t>
  </si>
  <si>
    <t xml:space="preserve">DANNEMARIE </t>
  </si>
  <si>
    <t xml:space="preserve">ILLZACH </t>
  </si>
  <si>
    <t xml:space="preserve">MULHOUSE DORNACH </t>
  </si>
  <si>
    <t xml:space="preserve">MULHOUSE REUNION </t>
  </si>
  <si>
    <t xml:space="preserve">RIEDISHEIM </t>
  </si>
  <si>
    <t xml:space="preserve">RIXHEIM </t>
  </si>
  <si>
    <t xml:space="preserve">WITTENHEIM </t>
  </si>
  <si>
    <t>MARNE-ARDENNES</t>
  </si>
  <si>
    <t>MOURMELON suippes</t>
  </si>
  <si>
    <t>SEZANNE CHAMP BENOIST</t>
  </si>
  <si>
    <t>SEDAN LA HALLE</t>
  </si>
  <si>
    <t>EPERNAY VERRON</t>
  </si>
  <si>
    <t>BRIEY CENTRALE</t>
  </si>
  <si>
    <t>JOEUF MAIRIE</t>
  </si>
  <si>
    <t>LAXOU LA SAPINIERE</t>
  </si>
  <si>
    <t>TOUL REPUBLIQUE</t>
  </si>
  <si>
    <t>METZ HAUT DE BLEMONT</t>
  </si>
  <si>
    <t>METZ SAINT JULIEN</t>
  </si>
  <si>
    <t>MONTIGNY CENTRALE</t>
  </si>
  <si>
    <t>WOIPPY BONNE FONTAINE</t>
  </si>
  <si>
    <t>SARREGUEMINES CENTRALE</t>
  </si>
  <si>
    <t>UCKANGE JEANNE D ARC</t>
  </si>
  <si>
    <t>CHATENOIS</t>
  </si>
  <si>
    <t>NB VENTES NETTES DE CONTRATS PAR ENTITE</t>
  </si>
  <si>
    <t>NB CEGEE</t>
  </si>
  <si>
    <t>PNB CEGEE</t>
  </si>
  <si>
    <t>Taux Moyen</t>
  </si>
  <si>
    <t>Nb / ETP</t>
  </si>
  <si>
    <t>taux moyen de PNB</t>
  </si>
  <si>
    <t>Code EDS</t>
  </si>
  <si>
    <t>CA UC BAROM</t>
  </si>
  <si>
    <t>RàF</t>
  </si>
  <si>
    <t>IZICARTES BAROM</t>
  </si>
  <si>
    <t>HDG DD BAROM</t>
  </si>
  <si>
    <t>Nb semaines restantes :</t>
  </si>
  <si>
    <t>Semaine en cours :</t>
  </si>
  <si>
    <t>Bien vérifier</t>
  </si>
  <si>
    <t>RàF par ETP par semaine</t>
  </si>
  <si>
    <t>MULTIMEDIA</t>
  </si>
  <si>
    <t>CEGEE</t>
  </si>
  <si>
    <t>PDV</t>
  </si>
  <si>
    <t>SAINT _DIE</t>
  </si>
  <si>
    <t>AIX EN OTHE</t>
  </si>
  <si>
    <t>CHALINDREY</t>
  </si>
  <si>
    <t>DRUSENHEIM</t>
  </si>
  <si>
    <t>FERRETTE</t>
  </si>
  <si>
    <t>CHATEAUVILLAIN</t>
  </si>
  <si>
    <t>HERRLISHEIM</t>
  </si>
  <si>
    <t>VENDENHEIM</t>
  </si>
  <si>
    <t>BRUNSTATT</t>
  </si>
  <si>
    <t>SEPPOIS LE BAS</t>
  </si>
  <si>
    <t>SUIPPES</t>
  </si>
  <si>
    <t>DOCELLES</t>
  </si>
  <si>
    <t>WEITBRUCH</t>
  </si>
  <si>
    <t>ILLKIRCH NORD</t>
  </si>
  <si>
    <t>OSTWALD</t>
  </si>
  <si>
    <t>PULVERSHEIM</t>
  </si>
  <si>
    <t>SAINT MIHIEL</t>
  </si>
  <si>
    <t>KAYSERSBERG</t>
  </si>
  <si>
    <t>WINGEN SUR MODER</t>
  </si>
  <si>
    <t>STRASBOURG ESPLANADE</t>
  </si>
  <si>
    <t>REICHSHOFFEN</t>
  </si>
  <si>
    <t>PIENNES</t>
  </si>
  <si>
    <t>NOMEXY</t>
  </si>
  <si>
    <t>GUNDERSHOFFEN</t>
  </si>
  <si>
    <t>ESPACE MESANGE</t>
  </si>
  <si>
    <t>LAPOUTROIE</t>
  </si>
  <si>
    <t>HUNINGUE</t>
  </si>
  <si>
    <t>DIEMERINGEN</t>
  </si>
  <si>
    <t>STRASBOURG GARE</t>
  </si>
  <si>
    <t>SIERENTZ</t>
  </si>
  <si>
    <t>ECKBOLSHEIM</t>
  </si>
  <si>
    <t>STIRING WENDEL</t>
  </si>
  <si>
    <t>SOULTZMATT</t>
  </si>
  <si>
    <t>SAINT AMARIN</t>
  </si>
  <si>
    <t>VERZY</t>
  </si>
  <si>
    <t>MARMOUTIER</t>
  </si>
  <si>
    <t>LIEPVRE</t>
  </si>
  <si>
    <t>SOULTZ</t>
  </si>
  <si>
    <t>BETSCHDORF</t>
  </si>
  <si>
    <t>SELTZ</t>
  </si>
  <si>
    <t>LAUTERBOURG</t>
  </si>
  <si>
    <t>CRC METZ</t>
  </si>
  <si>
    <t>EXPERTS CREDIT IMMO</t>
  </si>
  <si>
    <t>EXPERTS DIRECT</t>
  </si>
  <si>
    <t>Meilleure perf Conso</t>
  </si>
  <si>
    <t>Meilleure perf IARD</t>
  </si>
  <si>
    <t>Meilleure perf Banca</t>
  </si>
  <si>
    <t>REALISATION DEPUIS LE 04/11</t>
  </si>
  <si>
    <t>DOM Desg Cour Eds Niv7</t>
  </si>
  <si>
    <t>DOM Desg Cour Eds Niv6</t>
  </si>
  <si>
    <t>DOM Idnt Extr Eds Niv5</t>
  </si>
  <si>
    <t>DOM Desg Cour Eds Niv5</t>
  </si>
  <si>
    <t>Nombre D Ouvertures De Services</t>
  </si>
  <si>
    <t>RESTE A FAIRE HEBDO</t>
  </si>
  <si>
    <t>forcé pour 1er envoi, mettre Z en Y ensuite</t>
  </si>
  <si>
    <t xml:space="preserve">S0 PROD IARD </t>
  </si>
  <si>
    <t xml:space="preserve">S0 PROD CONSO </t>
  </si>
  <si>
    <t xml:space="preserve">S0 PROD FORF </t>
  </si>
  <si>
    <t xml:space="preserve">S45 PROD IARD </t>
  </si>
  <si>
    <t xml:space="preserve">S45 PROD CONSO </t>
  </si>
  <si>
    <t xml:space="preserve">S45 PROD FORF </t>
  </si>
  <si>
    <t xml:space="preserve">S46 PROD IARD </t>
  </si>
  <si>
    <t xml:space="preserve">S46 PROD CONSO </t>
  </si>
  <si>
    <t xml:space="preserve">S46 PROD FORF </t>
  </si>
  <si>
    <t xml:space="preserve">S47 PROD IARD </t>
  </si>
  <si>
    <t xml:space="preserve">S47 PROD CONSO </t>
  </si>
  <si>
    <t xml:space="preserve">S47 PROD FORF </t>
  </si>
  <si>
    <t xml:space="preserve">S48 PROD IARD </t>
  </si>
  <si>
    <t xml:space="preserve">S48 PROD CONSO </t>
  </si>
  <si>
    <t xml:space="preserve">S48 PROD FORF </t>
  </si>
  <si>
    <t xml:space="preserve">S49 PROD IARD </t>
  </si>
  <si>
    <t xml:space="preserve">S49 PROD CONSO </t>
  </si>
  <si>
    <t xml:space="preserve">S49 PROD FORF </t>
  </si>
  <si>
    <t xml:space="preserve">S50 PROD IARD </t>
  </si>
  <si>
    <t xml:space="preserve">S50 PROD CONSO </t>
  </si>
  <si>
    <t xml:space="preserve">S50 PROD FORF </t>
  </si>
  <si>
    <t>TAUX D'ATT. SAIS.</t>
  </si>
  <si>
    <t>LEXIQUE FICHE AGENCE "VERS LA PV 2020"</t>
  </si>
  <si>
    <t>Le rôle de la fiche Agence "Vers la Part Variable 2020" est de vous aider à piloter les principaux items de la Part Variable 2020 sur les 2 derniers mois de l'année. Les indicateurs vous permettent d'avoir une vision hebdomadaire et par ETP des performances à réaliser pour atteindre vos objectifs.</t>
  </si>
  <si>
    <t>Elle sera mise à jour chaque lundi et mardi matin pour vous offrir la vision la plus complète de la production de la semaine précédente et du reste à faire.</t>
  </si>
  <si>
    <t>Ce suivi n'a pas vocation à figer vos résultats et les taux de Part Variable, ces derniers le seront lors de la réalisation des arrêtés définitifs début 2021.</t>
  </si>
  <si>
    <r>
      <rPr>
        <sz val="11"/>
        <color rgb="FFC00000"/>
        <rFont val="Calibri"/>
        <family val="2"/>
        <scheme val="minor"/>
      </rPr>
      <t>●</t>
    </r>
    <r>
      <rPr>
        <sz val="11"/>
        <color rgb="FF000000"/>
        <rFont val="Calibri"/>
        <family val="2"/>
        <scheme val="minor"/>
      </rPr>
      <t xml:space="preserve"> </t>
    </r>
    <r>
      <rPr>
        <b/>
        <sz val="11"/>
        <color rgb="FF000000"/>
        <rFont val="Calibri"/>
        <family val="2"/>
        <scheme val="minor"/>
      </rPr>
      <t xml:space="preserve">Taux d'atteinte de l'objectif </t>
    </r>
    <r>
      <rPr>
        <sz val="11"/>
        <color rgb="FF000000"/>
        <rFont val="Calibri"/>
        <family val="2"/>
        <scheme val="minor"/>
      </rPr>
      <t>: réalisation cumulée à fin de semaine précédente / objectif annuel 2020</t>
    </r>
  </si>
  <si>
    <t>L'ETP utilisé pour calculer mon reste à faire et ma production sur les semaines 45 à 50 est trop éloigné de la réalité, comment le modifier ?</t>
  </si>
  <si>
    <t xml:space="preserve">         - la réalisation sur la semaine précédente</t>
  </si>
  <si>
    <t xml:space="preserve">Pour piloter vos objectifs Part Variable en quotidien : </t>
  </si>
  <si>
    <t>Suivi Quotidien Part Variable sur Objectifs</t>
  </si>
  <si>
    <t>Suivi Baromètre</t>
  </si>
  <si>
    <t xml:space="preserve">Pour piloter vos performances au Baromètre tous les lundis : </t>
  </si>
  <si>
    <t xml:space="preserve">Exemple : </t>
  </si>
  <si>
    <t>L'entité selectionnée devra donc réaliser 1,875 K€ de PNB / ETP en CA UC pour atteindre la 50ème place.</t>
  </si>
  <si>
    <t>Il vous suffit d'envoyer un email à la boîte CEGEE-B-CRM-DATA en précisant l'ETP le plus proche de votre situation sur cette période.</t>
  </si>
  <si>
    <t>Mon reste à faire ne correspond pas au reste à faire de la semaine précédente moins ma production de la semaine, comment est-ce possible ?</t>
  </si>
  <si>
    <t>Le reste à faire s'adapte au fil de l'eau à 2 informations : l'objectif annuel, qui dépend de l'ETP moyen annuel, et la réalisation sur la semaine précédente.</t>
  </si>
  <si>
    <t>Lorsque les ETP d'octobre seront intégrés à l'ETP moyen annuel, autour du 20/11, l'objectif annuel va s'ajuster. Le reste à faire sera donc recalculé selon l'objectif annuel.</t>
  </si>
  <si>
    <t>Sur les graphiques liés au baromètre je ne vois pas toujours les mêmes informations : reste à faire pour intégrer le TOP 100, le TOP 50, etc., pourquoi ?</t>
  </si>
  <si>
    <t>Les graphiques s'adaptent à votre classement actuel pour tenir compte du prochain pallier à atteindre.</t>
  </si>
  <si>
    <r>
      <rPr>
        <sz val="11"/>
        <color rgb="FFC00000"/>
        <rFont val="Calibri"/>
        <family val="2"/>
        <scheme val="minor"/>
      </rPr>
      <t>●</t>
    </r>
    <r>
      <rPr>
        <sz val="11"/>
        <color rgb="FF000000"/>
        <rFont val="Calibri"/>
        <family val="2"/>
        <scheme val="minor"/>
      </rPr>
      <t xml:space="preserve"> </t>
    </r>
    <r>
      <rPr>
        <b/>
        <sz val="11"/>
        <color rgb="FF000000"/>
        <rFont val="Calibri"/>
        <family val="2"/>
        <scheme val="minor"/>
      </rPr>
      <t xml:space="preserve">Reste à faire pour atteindre l'objectif de 100% ou 120% </t>
    </r>
    <r>
      <rPr>
        <sz val="11"/>
        <color rgb="FF000000"/>
        <rFont val="Calibri"/>
        <family val="2"/>
        <scheme val="minor"/>
      </rPr>
      <t xml:space="preserve">:  il s'agit d'une </t>
    </r>
    <r>
      <rPr>
        <b/>
        <sz val="11"/>
        <color rgb="FF000000"/>
        <rFont val="Calibri"/>
        <family val="2"/>
        <scheme val="minor"/>
      </rPr>
      <t xml:space="preserve">estimation </t>
    </r>
    <r>
      <rPr>
        <sz val="11"/>
        <color rgb="FF000000"/>
        <rFont val="Calibri"/>
        <family val="2"/>
        <scheme val="minor"/>
      </rPr>
      <t xml:space="preserve">du reste à faire pour atteindre l'objectif </t>
    </r>
  </si>
  <si>
    <t xml:space="preserve">    le pilotage du Challenge "A la Conquête des Univers".</t>
  </si>
  <si>
    <r>
      <rPr>
        <sz val="11"/>
        <color rgb="FFC00000"/>
        <rFont val="Calibri"/>
        <family val="2"/>
        <scheme val="minor"/>
      </rPr>
      <t>●</t>
    </r>
    <r>
      <rPr>
        <sz val="11"/>
        <color rgb="FF000000"/>
        <rFont val="Calibri"/>
        <family val="2"/>
        <scheme val="minor"/>
      </rPr>
      <t xml:space="preserve"> </t>
    </r>
    <r>
      <rPr>
        <b/>
        <sz val="11"/>
        <color rgb="FF000000"/>
        <rFont val="Calibri"/>
        <family val="2"/>
        <scheme val="minor"/>
      </rPr>
      <t xml:space="preserve">Reste à faire pour atteindre le TOP </t>
    </r>
    <r>
      <rPr>
        <sz val="11"/>
        <color rgb="FF000000"/>
        <rFont val="Calibri"/>
        <family val="2"/>
        <scheme val="minor"/>
      </rPr>
      <t>: il s'agit de la performance à réaliser sur les semaines restantes pour atteindre le</t>
    </r>
  </si>
  <si>
    <t xml:space="preserve">    classement précisé. Cette performance intègre pour chaque entité le trend constaté depuis le début de l'année et ce dernier </t>
  </si>
  <si>
    <t xml:space="preserve">    est appliqué aux semaines restantes (jusqu'à la semaine 50).</t>
  </si>
  <si>
    <t xml:space="preserve">L'agence classée 50ème en CA UC a généré 1,65 K€ de PNB / ETP en 44 semaines soit 0,0375 K€ de PNB / ETP / Semaine. En atterrissage, l'entité réalisera 1,875 K€ de PNB / ETP. </t>
  </si>
  <si>
    <t>Avec un PNB sur CA UC de 0,30%, l'objectif sera donc de 250 K€ de CA UC / ETP (0,75 / 0,30%).</t>
  </si>
  <si>
    <t>Pour une entité classée 113ème avec un PNB / ETP à date de 1,13 K€ / ETP en 44 semaines, l'effort sera de 0,75 K€ de PNB / ETP (1,88 - 1,13).</t>
  </si>
  <si>
    <t>Est-ce que les Responsabilités Civiles sont prises en compte dans ma production Innov'2020 ?</t>
  </si>
  <si>
    <t>Non, les Responsabilités Civiles ne sont pas prises en compte dans cet indicateur.</t>
  </si>
  <si>
    <t>Les projections tiennent compte des réalisations passées mais ne présagent pas des réalisations futures.</t>
  </si>
  <si>
    <t>MEILLEURE PERFORMANCE HEBDO EN 2020 :</t>
  </si>
  <si>
    <r>
      <rPr>
        <sz val="11"/>
        <color rgb="FFC00000"/>
        <rFont val="Calibri"/>
        <family val="2"/>
        <scheme val="minor"/>
      </rPr>
      <t>●</t>
    </r>
    <r>
      <rPr>
        <sz val="11"/>
        <color rgb="FF000000"/>
        <rFont val="Calibri"/>
        <family val="2"/>
        <scheme val="minor"/>
      </rPr>
      <t xml:space="preserve"> </t>
    </r>
    <r>
      <rPr>
        <b/>
        <sz val="11"/>
        <color rgb="FF000000"/>
        <rFont val="Calibri"/>
        <family val="2"/>
        <scheme val="minor"/>
      </rPr>
      <t xml:space="preserve">Meilleure performance hebdo </t>
    </r>
    <r>
      <rPr>
        <sz val="11"/>
        <color rgb="FF000000"/>
        <rFont val="Calibri"/>
        <family val="2"/>
        <scheme val="minor"/>
      </rPr>
      <t>:  meilleure production hebdomadaire en 2020 (avant S44) rapportée à l'ETP moyen annuel</t>
    </r>
  </si>
  <si>
    <t xml:space="preserve">    à fin septembre</t>
  </si>
  <si>
    <t xml:space="preserve">    annuel. Ce dernier s'adapte en fonction de : </t>
  </si>
  <si>
    <t xml:space="preserve">         - la mise à jour mensuelle de l'objectif en fonction de l'ETP annuel moyen (ETP d'octobre disponible autour du 20/11)</t>
  </si>
  <si>
    <r>
      <rPr>
        <b/>
        <sz val="11"/>
        <color rgb="FFC00000"/>
        <rFont val="Calibri"/>
        <family val="2"/>
        <scheme val="minor"/>
      </rPr>
      <t>●</t>
    </r>
    <r>
      <rPr>
        <b/>
        <sz val="11"/>
        <color rgb="FF000000"/>
        <rFont val="Calibri"/>
        <family val="2"/>
        <scheme val="minor"/>
      </rPr>
      <t xml:space="preserve"> ETP utilisé dans le calcul du reste à faire et de la production des semaines 45 à 50 : </t>
    </r>
    <r>
      <rPr>
        <sz val="11"/>
        <color rgb="FF000000"/>
        <rFont val="Calibri"/>
        <family val="2"/>
        <scheme val="minor"/>
      </rPr>
      <t>il s'agit de l'ETP remonté par vos DR/DT pour</t>
    </r>
  </si>
  <si>
    <r>
      <rPr>
        <sz val="11"/>
        <color rgb="FFC00000"/>
        <rFont val="Calibri"/>
        <family val="2"/>
        <scheme val="minor"/>
      </rPr>
      <t>●</t>
    </r>
    <r>
      <rPr>
        <sz val="11"/>
        <color rgb="FF000000"/>
        <rFont val="Calibri"/>
        <family val="2"/>
        <scheme val="minor"/>
      </rPr>
      <t xml:space="preserve"> </t>
    </r>
    <r>
      <rPr>
        <b/>
        <sz val="11"/>
        <color rgb="FF000000"/>
        <rFont val="Calibri"/>
        <family val="2"/>
        <scheme val="minor"/>
      </rPr>
      <t xml:space="preserve">Rang Baromètre : </t>
    </r>
    <r>
      <rPr>
        <sz val="11"/>
        <color rgb="FF000000"/>
        <rFont val="Calibri"/>
        <family val="2"/>
        <scheme val="minor"/>
      </rPr>
      <t>rang de l'entité dans le Baromètre BDD le plus récent publié sur la rubrique des commerciaux</t>
    </r>
  </si>
  <si>
    <r>
      <rPr>
        <sz val="11"/>
        <color rgb="FFC00000"/>
        <rFont val="Calibri"/>
        <family val="2"/>
        <scheme val="minor"/>
      </rPr>
      <t>●</t>
    </r>
    <r>
      <rPr>
        <sz val="11"/>
        <color rgb="FF000000"/>
        <rFont val="Calibri"/>
        <family val="2"/>
        <scheme val="minor"/>
      </rPr>
      <t xml:space="preserve"> </t>
    </r>
    <r>
      <rPr>
        <b/>
        <sz val="11"/>
        <color rgb="FF000000"/>
        <rFont val="Calibri"/>
        <family val="2"/>
        <scheme val="minor"/>
      </rPr>
      <t xml:space="preserve">Ecart au 1er : </t>
    </r>
    <r>
      <rPr>
        <sz val="11"/>
        <color rgb="FF000000"/>
        <rFont val="Calibri"/>
        <family val="2"/>
        <scheme val="minor"/>
      </rPr>
      <t>écart au 1er de l'entité dans le Baromètre BDD le plus récent publié sur la rubrique des commerciaux</t>
    </r>
  </si>
  <si>
    <t>Exemple 1 : je suis 128e au classement, la graphique affiche mon reste à faire pour atteindre le Top 100, le Top 50 et le Top 30.</t>
  </si>
  <si>
    <t>Exemple 2 : je suis 76e au classement, la graphique affiche mon reste à faire pour atteindre le Top 50, le Top 30 et le Top 10.</t>
  </si>
  <si>
    <t>VERS LA PART VARIABLE 2020 - SEMAINE 45</t>
  </si>
  <si>
    <t>EMJ au 09/20 &amp; Exc. hors DAV au 03/11/20  -  Saisonnalité attendue : 91%   -  Tx PV max : 1%</t>
  </si>
  <si>
    <t>Au 31/10/20  -  Saisonnalité attendue : 91%   -  Tx PV max : 2%</t>
  </si>
  <si>
    <t>Au 31/10/20  -  Saisonnalité attendue : 91%   -   Tx PV max : 2%</t>
  </si>
  <si>
    <t>Au 01/11/20  -  Saisonnalité attendue : 91%   -   Tx PV max : 1%</t>
  </si>
  <si>
    <t>Au 02/11/20  -  Saisonnalité attendue : 91%   -   Tx PV max : 2%</t>
  </si>
  <si>
    <t>DRC arretés à fin 09/2020  -  RPM arrêtés à fin 09/2020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</si>
</sst>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3">
    <numFmt numFmtId="164" formatCode="#\ ##0.#;\-#\ ##0.#;0"/>
    <numFmt numFmtId="165" formatCode="#,##0.###%"/>
    <numFmt numFmtId="166" formatCode="0;\-0;\ "/>
    <numFmt numFmtId="167" formatCode="#,##0.#%"/>
    <numFmt numFmtId="168" formatCode="#,##0;\-#,##0;\ "/>
    <numFmt numFmtId="169" formatCode="#\ ##0;\ ;\ "/>
    <numFmt numFmtId="170" formatCode="#,##0.0"/>
    <numFmt numFmtId="171" formatCode="#,##0.####%"/>
    <numFmt numFmtId="172" formatCode="#,##0%"/>
    <numFmt numFmtId="173" formatCode="0.0"/>
    <numFmt numFmtId="174" formatCode="#,##0\ &quot;€&quot;"/>
    <numFmt numFmtId="175" formatCode="######;\-######;0"/>
    <numFmt numFmtId="176" formatCode="###,###;\-###,###;0"/>
  </numFmts>
  <fonts count="5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C00000"/>
      <name val="Calibri"/>
      <family val="2"/>
      <scheme val="minor"/>
    </font>
    <font>
      <b/>
      <sz val="12"/>
      <color rgb="FFC00000"/>
      <name val="Calibri"/>
      <family val="2"/>
      <scheme val="minor"/>
    </font>
    <font>
      <b/>
      <sz val="14"/>
      <color rgb="FFC00000"/>
      <name val="Calibri"/>
      <family val="2"/>
      <scheme val="minor"/>
    </font>
    <font>
      <b/>
      <sz val="11"/>
      <color theme="1" tint="0.499984740745262"/>
      <name val="Calibri"/>
      <family val="2"/>
      <scheme val="minor"/>
    </font>
    <font>
      <b/>
      <sz val="12"/>
      <color theme="1" tint="0.34998626667073579"/>
      <name val="Calibri"/>
      <family val="2"/>
      <scheme val="minor"/>
    </font>
    <font>
      <b/>
      <sz val="11"/>
      <color theme="1" tint="0.34998626667073579"/>
      <name val="Calibri"/>
      <family val="2"/>
      <scheme val="minor"/>
    </font>
    <font>
      <sz val="9"/>
      <color rgb="FF333333"/>
      <name val="Arial"/>
      <family val="2"/>
    </font>
    <font>
      <sz val="10"/>
      <color rgb="FF000000"/>
      <name val="Arial"/>
      <family val="2"/>
    </font>
    <font>
      <b/>
      <sz val="9"/>
      <color rgb="FFFFFFFF"/>
      <name val="Arial"/>
      <family val="2"/>
    </font>
    <font>
      <b/>
      <sz val="9"/>
      <color rgb="FFCCFFFF"/>
      <name val="Arial"/>
      <family val="2"/>
    </font>
    <font>
      <b/>
      <sz val="9"/>
      <color rgb="FFFFFFCE"/>
      <name val="Arial"/>
      <family val="2"/>
    </font>
    <font>
      <b/>
      <sz val="9"/>
      <color rgb="FFCEFFCE"/>
      <name val="Arial"/>
      <family val="2"/>
    </font>
    <font>
      <b/>
      <sz val="9"/>
      <color rgb="FFFFC794"/>
      <name val="Arial"/>
      <family val="2"/>
    </font>
    <font>
      <b/>
      <sz val="9"/>
      <color rgb="FF94C7FF"/>
      <name val="Arial"/>
      <family val="2"/>
    </font>
    <font>
      <b/>
      <sz val="9"/>
      <color rgb="FFE2CFF5"/>
      <name val="Arial"/>
      <family val="2"/>
    </font>
    <font>
      <b/>
      <u/>
      <sz val="7"/>
      <color rgb="FF0000FF"/>
      <name val="Arial"/>
      <family val="2"/>
    </font>
    <font>
      <sz val="9"/>
      <color rgb="FF000000"/>
      <name val="Arial"/>
      <family val="2"/>
    </font>
    <font>
      <b/>
      <sz val="9"/>
      <color rgb="FF333333"/>
      <name val="Arial"/>
      <family val="2"/>
    </font>
    <font>
      <b/>
      <sz val="10"/>
      <color rgb="FFFFFFFF"/>
      <name val="Calibri"/>
      <family val="2"/>
      <scheme val="minor"/>
    </font>
    <font>
      <sz val="10"/>
      <color rgb="FF333333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theme="1" tint="0.249977111117893"/>
      <name val="Calibri"/>
      <family val="2"/>
      <scheme val="minor"/>
    </font>
    <font>
      <sz val="10"/>
      <name val="Garamond"/>
      <family val="1"/>
    </font>
    <font>
      <sz val="14"/>
      <color theme="1"/>
      <name val="Calibri"/>
      <family val="2"/>
      <scheme val="minor"/>
    </font>
    <font>
      <b/>
      <i/>
      <sz val="11"/>
      <color rgb="FFC00000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9"/>
      <name val="Calibri"/>
      <family val="2"/>
      <scheme val="minor"/>
    </font>
    <font>
      <sz val="9"/>
      <color rgb="FF333333"/>
      <name val="Arial"/>
      <family val="2"/>
    </font>
    <font>
      <sz val="9"/>
      <color theme="1"/>
      <name val="Arial"/>
      <family val="2"/>
    </font>
    <font>
      <sz val="11"/>
      <color rgb="FFC00000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  <font>
      <i/>
      <u/>
      <sz val="11"/>
      <color theme="10"/>
      <name val="Calibri"/>
      <family val="2"/>
      <scheme val="minor"/>
    </font>
    <font>
      <i/>
      <sz val="11"/>
      <color theme="1" tint="0.249977111117893"/>
      <name val="Calibri"/>
      <family val="2"/>
      <scheme val="minor"/>
    </font>
    <font>
      <i/>
      <sz val="1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sz val="9"/>
      <color rgb="FF333333"/>
      <name val="Arial"/>
    </font>
    <font>
      <b/>
      <sz val="9"/>
      <color rgb="FFFFFFFF"/>
      <name val="Arial"/>
    </font>
    <font>
      <b/>
      <sz val="9"/>
      <color rgb="FFCCFFFF"/>
      <name val="Arial"/>
    </font>
    <font>
      <b/>
      <sz val="9"/>
      <color rgb="FFFFFFCE"/>
      <name val="Arial"/>
    </font>
    <font>
      <b/>
      <sz val="9"/>
      <color rgb="FFCEFFCE"/>
      <name val="Arial"/>
    </font>
    <font>
      <b/>
      <sz val="9"/>
      <color rgb="FFFFC794"/>
      <name val="Arial"/>
    </font>
    <font>
      <b/>
      <sz val="9"/>
      <color rgb="FF94C7FF"/>
      <name val="Arial"/>
    </font>
    <font>
      <b/>
      <sz val="9"/>
      <color rgb="FFE2CFF5"/>
      <name val="Arial"/>
    </font>
    <font>
      <b/>
      <u/>
      <sz val="7"/>
      <color rgb="FF0000FF"/>
      <name val="Arial"/>
    </font>
    <font>
      <sz val="9"/>
      <color rgb="FF000000"/>
      <name val="Arial"/>
    </font>
    <font>
      <b/>
      <sz val="9"/>
      <color rgb="FF333333"/>
      <name val="Arial"/>
    </font>
  </fonts>
  <fills count="24">
    <fill>
      <patternFill patternType="none"/>
    </fill>
    <fill>
      <patternFill patternType="gray125"/>
    </fill>
    <fill>
      <patternFill patternType="solid">
        <fgColor theme="1" tint="0.3499862666707357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808080"/>
        <bgColor rgb="FFFFFFFF"/>
      </patternFill>
    </fill>
    <fill>
      <patternFill patternType="solid">
        <fgColor rgb="FFDFDFDF"/>
        <bgColor rgb="FFFFFFFF"/>
      </patternFill>
    </fill>
    <fill>
      <patternFill patternType="solid">
        <fgColor rgb="FFFBE0E0"/>
        <bgColor rgb="FFFFFFFF"/>
      </patternFill>
    </fill>
    <fill>
      <patternFill patternType="solid">
        <fgColor rgb="FF00FF00"/>
        <bgColor rgb="FFFFFFFF"/>
      </patternFill>
    </fill>
    <fill>
      <patternFill patternType="solid">
        <fgColor rgb="FFCCFFCC"/>
        <bgColor rgb="FFFFFFFF"/>
      </patternFill>
    </fill>
    <fill>
      <patternFill patternType="solid">
        <fgColor theme="8" tint="-0.249977111117893"/>
        <bgColor rgb="FFFFFFFF"/>
      </patternFill>
    </fill>
    <fill>
      <patternFill patternType="solid">
        <fgColor theme="9" tint="-0.249977111117893"/>
        <bgColor rgb="FFFFFFFF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7F7F7"/>
        <bgColor rgb="FFFFFFFF"/>
      </patternFill>
    </fill>
    <fill>
      <patternFill patternType="solid">
        <fgColor rgb="FFC00000"/>
        <bgColor indexed="64"/>
      </patternFill>
    </fill>
  </fills>
  <borders count="6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theme="0" tint="-0.499984740745262"/>
      </left>
      <right/>
      <top style="hair">
        <color theme="0" tint="-0.499984740745262"/>
      </top>
      <bottom/>
      <diagonal/>
    </border>
    <border>
      <left/>
      <right/>
      <top style="hair">
        <color theme="0" tint="-0.499984740745262"/>
      </top>
      <bottom/>
      <diagonal/>
    </border>
    <border>
      <left/>
      <right style="hair">
        <color theme="0" tint="-0.499984740745262"/>
      </right>
      <top style="hair">
        <color theme="0" tint="-0.499984740745262"/>
      </top>
      <bottom/>
      <diagonal/>
    </border>
    <border>
      <left style="hair">
        <color theme="0" tint="-0.499984740745262"/>
      </left>
      <right/>
      <top/>
      <bottom/>
      <diagonal/>
    </border>
    <border>
      <left/>
      <right style="hair">
        <color theme="0" tint="-0.499984740745262"/>
      </right>
      <top/>
      <bottom/>
      <diagonal/>
    </border>
    <border>
      <left style="hair">
        <color theme="0" tint="-0.499984740745262"/>
      </left>
      <right/>
      <top/>
      <bottom style="hair">
        <color theme="0" tint="-0.499984740745262"/>
      </bottom>
      <diagonal/>
    </border>
    <border>
      <left/>
      <right/>
      <top/>
      <bottom style="hair">
        <color theme="0" tint="-0.499984740745262"/>
      </bottom>
      <diagonal/>
    </border>
    <border>
      <left/>
      <right style="hair">
        <color theme="0" tint="-0.499984740745262"/>
      </right>
      <top/>
      <bottom style="hair">
        <color theme="0" tint="-0.499984740745262"/>
      </bottom>
      <diagonal/>
    </border>
    <border>
      <left style="thin">
        <color theme="0" tint="-0.499984740745262"/>
      </left>
      <right/>
      <top style="thin">
        <color theme="0" tint="-0.499984740745262"/>
      </top>
      <bottom/>
      <diagonal/>
    </border>
    <border>
      <left/>
      <right/>
      <top style="thin">
        <color theme="0" tint="-0.499984740745262"/>
      </top>
      <bottom/>
      <diagonal/>
    </border>
    <border>
      <left/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/>
      <top/>
      <bottom/>
      <diagonal/>
    </border>
    <border>
      <left/>
      <right style="thin">
        <color theme="0" tint="-0.499984740745262"/>
      </right>
      <top/>
      <bottom/>
      <diagonal/>
    </border>
    <border>
      <left style="thin">
        <color theme="0" tint="-0.499984740745262"/>
      </left>
      <right/>
      <top/>
      <bottom style="thin">
        <color theme="0" tint="-0.499984740745262"/>
      </bottom>
      <diagonal/>
    </border>
    <border>
      <left/>
      <right/>
      <top/>
      <bottom style="thin">
        <color theme="0" tint="-0.499984740745262"/>
      </bottom>
      <diagonal/>
    </border>
    <border>
      <left/>
      <right style="thin">
        <color theme="0" tint="-0.499984740745262"/>
      </right>
      <top/>
      <bottom style="thin">
        <color theme="0" tint="-0.499984740745262"/>
      </bottom>
      <diagonal/>
    </border>
    <border>
      <left style="hair">
        <color theme="0" tint="-0.249977111117893"/>
      </left>
      <right/>
      <top style="hair">
        <color theme="0" tint="-0.249977111117893"/>
      </top>
      <bottom/>
      <diagonal/>
    </border>
    <border>
      <left/>
      <right/>
      <top style="hair">
        <color theme="0" tint="-0.249977111117893"/>
      </top>
      <bottom/>
      <diagonal/>
    </border>
    <border>
      <left/>
      <right style="hair">
        <color theme="0" tint="-0.249977111117893"/>
      </right>
      <top style="hair">
        <color theme="0" tint="-0.249977111117893"/>
      </top>
      <bottom/>
      <diagonal/>
    </border>
    <border>
      <left style="hair">
        <color theme="0" tint="-0.249977111117893"/>
      </left>
      <right/>
      <top/>
      <bottom/>
      <diagonal/>
    </border>
    <border>
      <left/>
      <right style="hair">
        <color theme="0" tint="-0.249977111117893"/>
      </right>
      <top/>
      <bottom/>
      <diagonal/>
    </border>
    <border>
      <left style="hair">
        <color theme="0" tint="-0.249977111117893"/>
      </left>
      <right/>
      <top/>
      <bottom style="hair">
        <color theme="0" tint="-0.249977111117893"/>
      </bottom>
      <diagonal/>
    </border>
    <border>
      <left/>
      <right/>
      <top/>
      <bottom style="hair">
        <color theme="0" tint="-0.249977111117893"/>
      </bottom>
      <diagonal/>
    </border>
    <border>
      <left/>
      <right style="hair">
        <color theme="0" tint="-0.249977111117893"/>
      </right>
      <top/>
      <bottom style="hair">
        <color theme="0" tint="-0.249977111117893"/>
      </bottom>
      <diagonal/>
    </border>
    <border>
      <left style="thin">
        <color rgb="FFDDDDDD"/>
      </left>
      <right style="thin">
        <color rgb="FFDDDDDD"/>
      </right>
      <top style="thin">
        <color rgb="FFDDDDDD"/>
      </top>
      <bottom/>
      <diagonal/>
    </border>
    <border>
      <left/>
      <right/>
      <top style="thin">
        <color rgb="FFDDDDDD"/>
      </top>
      <bottom style="thin">
        <color rgb="FFDDDDDD"/>
      </bottom>
      <diagonal/>
    </border>
    <border>
      <left style="thin">
        <color rgb="FFDDDDDD"/>
      </left>
      <right style="thin">
        <color rgb="FFDDDDDD"/>
      </right>
      <top/>
      <bottom style="thin">
        <color rgb="FFDDDDDD"/>
      </bottom>
      <diagonal/>
    </border>
    <border>
      <left style="thin">
        <color rgb="FFDDDDDD"/>
      </left>
      <right style="thin">
        <color rgb="FFDDDDDD"/>
      </right>
      <top style="thin">
        <color rgb="FFDDDDDD"/>
      </top>
      <bottom style="thin">
        <color rgb="FFDDDDDD"/>
      </bottom>
      <diagonal/>
    </border>
    <border>
      <left style="thin">
        <color rgb="FFDDDDDD"/>
      </left>
      <right style="thin">
        <color rgb="FFDDDDDD"/>
      </right>
      <top style="thin">
        <color rgb="FFCAC9D9"/>
      </top>
      <bottom style="thin">
        <color rgb="FFDDDDDD"/>
      </bottom>
      <diagonal/>
    </border>
    <border>
      <left style="slantDashDot">
        <color rgb="FFFF0000"/>
      </left>
      <right/>
      <top style="slantDashDot">
        <color rgb="FFFF0000"/>
      </top>
      <bottom style="hair">
        <color rgb="FFFF0000"/>
      </bottom>
      <diagonal/>
    </border>
    <border>
      <left style="hair">
        <color rgb="FFFF0000"/>
      </left>
      <right style="slantDashDot">
        <color rgb="FFFF0000"/>
      </right>
      <top style="slantDashDot">
        <color rgb="FFFF0000"/>
      </top>
      <bottom style="hair">
        <color rgb="FFFF0000"/>
      </bottom>
      <diagonal/>
    </border>
    <border>
      <left style="slantDashDot">
        <color rgb="FFFF0000"/>
      </left>
      <right/>
      <top style="hair">
        <color rgb="FFFF0000"/>
      </top>
      <bottom style="hair">
        <color rgb="FFFF0000"/>
      </bottom>
      <diagonal/>
    </border>
    <border>
      <left style="hair">
        <color rgb="FFFF0000"/>
      </left>
      <right style="slantDashDot">
        <color rgb="FFFF0000"/>
      </right>
      <top style="hair">
        <color rgb="FFFF0000"/>
      </top>
      <bottom style="hair">
        <color rgb="FFFF0000"/>
      </bottom>
      <diagonal/>
    </border>
    <border>
      <left style="slantDashDot">
        <color rgb="FFFF0000"/>
      </left>
      <right/>
      <top style="hair">
        <color rgb="FFFF0000"/>
      </top>
      <bottom style="slantDashDot">
        <color rgb="FFFF0000"/>
      </bottom>
      <diagonal/>
    </border>
    <border>
      <left style="hair">
        <color rgb="FFFF0000"/>
      </left>
      <right style="slantDashDot">
        <color rgb="FFFF0000"/>
      </right>
      <top style="hair">
        <color rgb="FFFF0000"/>
      </top>
      <bottom style="slantDashDot">
        <color rgb="FFFF0000"/>
      </bottom>
      <diagonal/>
    </border>
    <border>
      <left style="thin">
        <color theme="4"/>
      </left>
      <right style="thin">
        <color theme="4"/>
      </right>
      <top style="thin">
        <color theme="4"/>
      </top>
      <bottom/>
      <diagonal/>
    </border>
    <border>
      <left style="medium">
        <color theme="1" tint="0.499984740745262"/>
      </left>
      <right/>
      <top style="medium">
        <color theme="1" tint="0.499984740745262"/>
      </top>
      <bottom style="medium">
        <color theme="1" tint="0.499984740745262"/>
      </bottom>
      <diagonal/>
    </border>
    <border>
      <left style="medium">
        <color theme="1" tint="0.499984740745262"/>
      </left>
      <right style="medium">
        <color theme="1" tint="0.499984740745262"/>
      </right>
      <top style="medium">
        <color theme="1" tint="0.499984740745262"/>
      </top>
      <bottom style="medium">
        <color theme="1" tint="0.499984740745262"/>
      </bottom>
      <diagonal/>
    </border>
    <border>
      <left style="medium">
        <color theme="1" tint="0.499984740745262"/>
      </left>
      <right style="thin">
        <color theme="0" tint="-0.24994659260841701"/>
      </right>
      <top style="medium">
        <color theme="1" tint="0.499984740745262"/>
      </top>
      <bottom style="medium">
        <color theme="1" tint="0.499984740745262"/>
      </bottom>
      <diagonal/>
    </border>
    <border>
      <left/>
      <right/>
      <top style="medium">
        <color theme="1" tint="0.499984740745262"/>
      </top>
      <bottom style="medium">
        <color theme="1" tint="0.499984740745262"/>
      </bottom>
      <diagonal/>
    </border>
    <border>
      <left style="thin">
        <color theme="0" tint="-0.24994659260841701"/>
      </left>
      <right style="medium">
        <color theme="1" tint="0.499984740745262"/>
      </right>
      <top style="medium">
        <color theme="1" tint="0.499984740745262"/>
      </top>
      <bottom style="medium">
        <color theme="1" tint="0.499984740745262"/>
      </bottom>
      <diagonal/>
    </border>
    <border>
      <left style="medium">
        <color theme="1" tint="0.499984740745262"/>
      </left>
      <right style="medium">
        <color theme="1" tint="0.499984740745262"/>
      </right>
      <top style="medium">
        <color theme="1" tint="0.499984740745262"/>
      </top>
      <bottom style="thin">
        <color theme="0" tint="-0.24994659260841701"/>
      </bottom>
      <diagonal/>
    </border>
    <border>
      <left style="medium">
        <color theme="1" tint="0.499984740745262"/>
      </left>
      <right style="thin">
        <color theme="0" tint="-0.24994659260841701"/>
      </right>
      <top style="medium">
        <color theme="1" tint="0.499984740745262"/>
      </top>
      <bottom style="thin">
        <color theme="0" tint="-0.24994659260841701"/>
      </bottom>
      <diagonal/>
    </border>
    <border>
      <left/>
      <right/>
      <top style="medium">
        <color theme="1" tint="0.499984740745262"/>
      </top>
      <bottom style="thin">
        <color theme="0" tint="-0.24994659260841701"/>
      </bottom>
      <diagonal/>
    </border>
    <border>
      <left style="thin">
        <color theme="0" tint="-0.24994659260841701"/>
      </left>
      <right style="medium">
        <color theme="1" tint="0.499984740745262"/>
      </right>
      <top style="medium">
        <color theme="1" tint="0.499984740745262"/>
      </top>
      <bottom style="thin">
        <color theme="0" tint="-0.24994659260841701"/>
      </bottom>
      <diagonal/>
    </border>
    <border>
      <left style="medium">
        <color theme="1" tint="0.499984740745262"/>
      </left>
      <right style="medium">
        <color theme="1" tint="0.499984740745262"/>
      </right>
      <top/>
      <bottom style="thin">
        <color theme="0" tint="-0.24994659260841701"/>
      </bottom>
      <diagonal/>
    </border>
    <border>
      <left style="medium">
        <color theme="1" tint="0.499984740745262"/>
      </left>
      <right style="thin">
        <color theme="0" tint="-0.24994659260841701"/>
      </right>
      <top/>
      <bottom style="thin">
        <color theme="0" tint="-0.24994659260841701"/>
      </bottom>
      <diagonal/>
    </border>
    <border>
      <left/>
      <right/>
      <top/>
      <bottom style="thin">
        <color theme="0" tint="-0.24994659260841701"/>
      </bottom>
      <diagonal/>
    </border>
    <border>
      <left style="thin">
        <color theme="0" tint="-0.24994659260841701"/>
      </left>
      <right style="medium">
        <color theme="1" tint="0.499984740745262"/>
      </right>
      <top/>
      <bottom style="thin">
        <color theme="0" tint="-0.24994659260841701"/>
      </bottom>
      <diagonal/>
    </border>
    <border>
      <left style="medium">
        <color theme="1" tint="0.499984740745262"/>
      </left>
      <right style="medium">
        <color theme="1" tint="0.499984740745262"/>
      </right>
      <top style="thin">
        <color theme="0" tint="-0.24994659260841701"/>
      </top>
      <bottom style="thin">
        <color theme="0" tint="-0.24994659260841701"/>
      </bottom>
      <diagonal/>
    </border>
    <border>
      <left style="medium">
        <color theme="1" tint="0.499984740745262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/>
      <right/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0" tint="-0.24994659260841701"/>
      </left>
      <right style="medium">
        <color theme="1" tint="0.499984740745262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hair">
        <color theme="1" tint="0.34998626667073579"/>
      </left>
      <right style="hair">
        <color theme="1" tint="0.34998626667073579"/>
      </right>
      <top style="hair">
        <color theme="1" tint="0.34998626667073579"/>
      </top>
      <bottom/>
      <diagonal/>
    </border>
    <border>
      <left style="hair">
        <color theme="1" tint="0.34998626667073579"/>
      </left>
      <right style="hair">
        <color theme="1" tint="0.34998626667073579"/>
      </right>
      <top/>
      <bottom style="hair">
        <color theme="1" tint="0.34998626667073579"/>
      </bottom>
      <diagonal/>
    </border>
    <border>
      <left style="hair">
        <color theme="1" tint="0.34998626667073579"/>
      </left>
      <right style="hair">
        <color theme="1" tint="0.34998626667073579"/>
      </right>
      <top/>
      <bottom/>
      <diagonal/>
    </border>
    <border>
      <left/>
      <right/>
      <top/>
      <bottom style="hair">
        <color theme="1" tint="0.34998626667073579"/>
      </bottom>
      <diagonal/>
    </border>
  </borders>
  <cellStyleXfs count="6">
    <xf numFmtId="0" fontId="0" fillId="0" borderId="0"/>
    <xf numFmtId="9" fontId="1" fillId="0" borderId="0" applyFont="0" applyFill="0" applyBorder="0" applyAlignment="0" applyProtection="0"/>
    <xf numFmtId="0" fontId="3" fillId="0" borderId="0" applyNumberFormat="0" applyFill="0" applyBorder="0" applyAlignment="0" applyProtection="0"/>
    <xf numFmtId="0" fontId="12" fillId="0" borderId="0"/>
    <xf numFmtId="0" fontId="31" fillId="0" borderId="0"/>
    <xf numFmtId="0" fontId="42" fillId="0" borderId="0" applyNumberFormat="0" applyFill="0" applyBorder="0" applyAlignment="0" applyProtection="0"/>
  </cellStyleXfs>
  <cellXfs count="352">
    <xf numFmtId="0" fontId="0" fillId="0" borderId="0" xfId="0"/>
    <xf numFmtId="0" fontId="0" fillId="0" borderId="0" xfId="0" applyBorder="1"/>
    <xf numFmtId="0" fontId="0" fillId="2" borderId="0" xfId="0" applyFill="1" applyAlignment="1">
      <alignment vertical="center"/>
    </xf>
    <xf numFmtId="0" fontId="4" fillId="2" borderId="0" xfId="0" applyFont="1" applyFill="1" applyAlignment="1">
      <alignment vertical="center"/>
    </xf>
    <xf numFmtId="0" fontId="0" fillId="0" borderId="0" xfId="0" applyAlignment="1">
      <alignment vertical="center"/>
    </xf>
    <xf numFmtId="0" fontId="0" fillId="0" borderId="0" xfId="0" applyBorder="1" applyAlignment="1">
      <alignment horizontal="center"/>
    </xf>
    <xf numFmtId="9" fontId="5" fillId="0" borderId="0" xfId="0" applyNumberFormat="1" applyFont="1" applyBorder="1" applyAlignment="1">
      <alignment horizontal="center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0" xfId="0" applyBorder="1" applyAlignment="1">
      <alignment vertical="center"/>
    </xf>
    <xf numFmtId="0" fontId="5" fillId="0" borderId="0" xfId="2" applyFont="1" applyBorder="1" applyAlignment="1">
      <alignment horizontal="left" vertical="center"/>
    </xf>
    <xf numFmtId="0" fontId="5" fillId="0" borderId="0" xfId="0" applyFont="1" applyBorder="1" applyAlignment="1">
      <alignment vertical="top" wrapText="1"/>
    </xf>
    <xf numFmtId="0" fontId="5" fillId="0" borderId="0" xfId="0" applyFont="1" applyBorder="1" applyAlignment="1">
      <alignment horizontal="center" vertical="top" wrapText="1"/>
    </xf>
    <xf numFmtId="1" fontId="8" fillId="0" borderId="0" xfId="0" applyNumberFormat="1" applyFont="1" applyBorder="1" applyAlignment="1">
      <alignment horizontal="left" vertical="center"/>
    </xf>
    <xf numFmtId="9" fontId="8" fillId="0" borderId="0" xfId="1" applyFont="1" applyBorder="1" applyAlignment="1">
      <alignment horizontal="left" vertical="center"/>
    </xf>
    <xf numFmtId="0" fontId="0" fillId="0" borderId="0" xfId="0" applyBorder="1" applyAlignment="1">
      <alignment horizontal="center" vertical="center"/>
    </xf>
    <xf numFmtId="0" fontId="10" fillId="0" borderId="0" xfId="0" applyFont="1" applyBorder="1" applyAlignment="1">
      <alignment horizontal="center"/>
    </xf>
    <xf numFmtId="9" fontId="10" fillId="0" borderId="0" xfId="0" applyNumberFormat="1" applyFont="1" applyBorder="1" applyAlignment="1">
      <alignment vertical="center" wrapText="1"/>
    </xf>
    <xf numFmtId="0" fontId="10" fillId="0" borderId="0" xfId="0" applyFont="1" applyBorder="1" applyAlignment="1">
      <alignment vertical="center" wrapText="1"/>
    </xf>
    <xf numFmtId="0" fontId="10" fillId="0" borderId="5" xfId="0" applyFont="1" applyBorder="1" applyAlignment="1">
      <alignment horizontal="center" vertical="center" wrapText="1"/>
    </xf>
    <xf numFmtId="0" fontId="0" fillId="0" borderId="13" xfId="0" applyBorder="1"/>
    <xf numFmtId="0" fontId="0" fillId="0" borderId="14" xfId="0" applyBorder="1"/>
    <xf numFmtId="0" fontId="0" fillId="0" borderId="15" xfId="0" applyBorder="1"/>
    <xf numFmtId="0" fontId="0" fillId="0" borderId="16" xfId="0" applyBorder="1"/>
    <xf numFmtId="0" fontId="0" fillId="0" borderId="17" xfId="0" applyBorder="1"/>
    <xf numFmtId="0" fontId="0" fillId="0" borderId="13" xfId="0" applyBorder="1" applyAlignment="1">
      <alignment vertical="center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0" fillId="0" borderId="14" xfId="0" applyBorder="1" applyAlignment="1">
      <alignment vertical="center"/>
    </xf>
    <xf numFmtId="0" fontId="0" fillId="0" borderId="7" xfId="0" applyBorder="1" applyAlignment="1">
      <alignment vertical="center"/>
    </xf>
    <xf numFmtId="0" fontId="0" fillId="0" borderId="9" xfId="0" applyBorder="1" applyAlignment="1">
      <alignment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5" fillId="0" borderId="9" xfId="0" applyFont="1" applyBorder="1" applyAlignment="1">
      <alignment vertical="center" wrapText="1"/>
    </xf>
    <xf numFmtId="0" fontId="7" fillId="0" borderId="13" xfId="0" applyFont="1" applyFill="1" applyBorder="1" applyAlignment="1">
      <alignment horizontal="center"/>
    </xf>
    <xf numFmtId="0" fontId="7" fillId="0" borderId="0" xfId="0" applyFont="1" applyFill="1" applyBorder="1" applyAlignment="1">
      <alignment horizontal="center"/>
    </xf>
    <xf numFmtId="0" fontId="7" fillId="0" borderId="14" xfId="0" applyFont="1" applyFill="1" applyBorder="1" applyAlignment="1">
      <alignment horizontal="center"/>
    </xf>
    <xf numFmtId="0" fontId="9" fillId="0" borderId="0" xfId="0" applyFont="1" applyBorder="1" applyAlignment="1">
      <alignment vertical="top" wrapText="1"/>
    </xf>
    <xf numFmtId="0" fontId="11" fillId="5" borderId="0" xfId="0" applyFont="1" applyFill="1" applyAlignment="1">
      <alignment horizontal="left"/>
    </xf>
    <xf numFmtId="0" fontId="13" fillId="5" borderId="0" xfId="0" applyFont="1" applyFill="1" applyAlignment="1">
      <alignment horizontal="center" vertical="center"/>
    </xf>
    <xf numFmtId="0" fontId="13" fillId="5" borderId="0" xfId="0" applyFont="1" applyFill="1" applyAlignment="1">
      <alignment horizontal="center" vertical="center" wrapText="1"/>
    </xf>
    <xf numFmtId="0" fontId="14" fillId="5" borderId="0" xfId="0" applyFont="1" applyFill="1" applyAlignment="1">
      <alignment horizontal="center" vertical="center" wrapText="1"/>
    </xf>
    <xf numFmtId="0" fontId="15" fillId="5" borderId="0" xfId="0" applyFont="1" applyFill="1" applyAlignment="1">
      <alignment horizontal="center" vertical="center" wrapText="1"/>
    </xf>
    <xf numFmtId="0" fontId="16" fillId="5" borderId="0" xfId="0" applyFont="1" applyFill="1" applyAlignment="1">
      <alignment horizontal="center" vertical="center" wrapText="1"/>
    </xf>
    <xf numFmtId="0" fontId="18" fillId="5" borderId="0" xfId="0" applyFont="1" applyFill="1" applyAlignment="1">
      <alignment horizontal="center" vertical="center" wrapText="1"/>
    </xf>
    <xf numFmtId="49" fontId="13" fillId="6" borderId="0" xfId="0" applyNumberFormat="1" applyFont="1" applyFill="1" applyAlignment="1">
      <alignment horizontal="center" vertical="center"/>
    </xf>
    <xf numFmtId="0" fontId="20" fillId="6" borderId="28" xfId="0" applyFont="1" applyFill="1" applyBorder="1" applyAlignment="1">
      <alignment horizontal="center" vertical="center" wrapText="1"/>
    </xf>
    <xf numFmtId="0" fontId="20" fillId="6" borderId="0" xfId="0" applyFont="1" applyFill="1" applyAlignment="1">
      <alignment horizontal="center" vertical="center" wrapText="1"/>
    </xf>
    <xf numFmtId="164" fontId="11" fillId="5" borderId="29" xfId="0" applyNumberFormat="1" applyFont="1" applyFill="1" applyBorder="1" applyAlignment="1">
      <alignment horizontal="center" vertical="center"/>
    </xf>
    <xf numFmtId="0" fontId="11" fillId="5" borderId="0" xfId="0" applyFont="1" applyFill="1" applyAlignment="1">
      <alignment horizontal="center"/>
    </xf>
    <xf numFmtId="165" fontId="11" fillId="5" borderId="29" xfId="0" applyNumberFormat="1" applyFont="1" applyFill="1" applyBorder="1" applyAlignment="1">
      <alignment horizontal="center" vertical="center"/>
    </xf>
    <xf numFmtId="0" fontId="11" fillId="5" borderId="0" xfId="0" applyFont="1" applyFill="1" applyAlignment="1">
      <alignment horizontal="center" vertical="center"/>
    </xf>
    <xf numFmtId="166" fontId="11" fillId="5" borderId="29" xfId="0" applyNumberFormat="1" applyFont="1" applyFill="1" applyBorder="1" applyAlignment="1">
      <alignment horizontal="center" vertical="center"/>
    </xf>
    <xf numFmtId="3" fontId="11" fillId="5" borderId="29" xfId="0" applyNumberFormat="1" applyFont="1" applyFill="1" applyBorder="1" applyAlignment="1">
      <alignment horizontal="center" vertical="center"/>
    </xf>
    <xf numFmtId="164" fontId="11" fillId="7" borderId="29" xfId="0" applyNumberFormat="1" applyFont="1" applyFill="1" applyBorder="1" applyAlignment="1">
      <alignment horizontal="center" vertical="center"/>
    </xf>
    <xf numFmtId="167" fontId="21" fillId="8" borderId="29" xfId="0" applyNumberFormat="1" applyFont="1" applyFill="1" applyBorder="1" applyAlignment="1">
      <alignment horizontal="center" vertical="center"/>
    </xf>
    <xf numFmtId="3" fontId="21" fillId="8" borderId="29" xfId="0" applyNumberFormat="1" applyFont="1" applyFill="1" applyBorder="1" applyAlignment="1">
      <alignment horizontal="center" vertical="center"/>
    </xf>
    <xf numFmtId="168" fontId="11" fillId="5" borderId="29" xfId="0" applyNumberFormat="1" applyFont="1" applyFill="1" applyBorder="1" applyAlignment="1">
      <alignment horizontal="center" vertical="center"/>
    </xf>
    <xf numFmtId="169" fontId="11" fillId="5" borderId="29" xfId="0" applyNumberFormat="1" applyFont="1" applyFill="1" applyBorder="1" applyAlignment="1">
      <alignment horizontal="center" vertical="center"/>
    </xf>
    <xf numFmtId="3" fontId="11" fillId="7" borderId="29" xfId="0" applyNumberFormat="1" applyFont="1" applyFill="1" applyBorder="1" applyAlignment="1">
      <alignment horizontal="center" vertical="center"/>
    </xf>
    <xf numFmtId="167" fontId="21" fillId="9" borderId="29" xfId="0" applyNumberFormat="1" applyFont="1" applyFill="1" applyBorder="1" applyAlignment="1">
      <alignment horizontal="center" vertical="center"/>
    </xf>
    <xf numFmtId="3" fontId="21" fillId="9" borderId="29" xfId="0" applyNumberFormat="1" applyFont="1" applyFill="1" applyBorder="1" applyAlignment="1">
      <alignment horizontal="center" vertical="center"/>
    </xf>
    <xf numFmtId="170" fontId="11" fillId="5" borderId="29" xfId="0" applyNumberFormat="1" applyFont="1" applyFill="1" applyBorder="1" applyAlignment="1">
      <alignment horizontal="center" vertical="center"/>
    </xf>
    <xf numFmtId="49" fontId="11" fillId="7" borderId="29" xfId="0" applyNumberFormat="1" applyFont="1" applyFill="1" applyBorder="1" applyAlignment="1">
      <alignment horizontal="center" vertical="center"/>
    </xf>
    <xf numFmtId="167" fontId="21" fillId="10" borderId="29" xfId="0" applyNumberFormat="1" applyFont="1" applyFill="1" applyBorder="1" applyAlignment="1">
      <alignment horizontal="center" vertical="center"/>
    </xf>
    <xf numFmtId="3" fontId="21" fillId="10" borderId="29" xfId="0" applyNumberFormat="1" applyFont="1" applyFill="1" applyBorder="1" applyAlignment="1">
      <alignment horizontal="center" vertical="center"/>
    </xf>
    <xf numFmtId="0" fontId="11" fillId="5" borderId="29" xfId="0" applyFont="1" applyFill="1" applyBorder="1" applyAlignment="1">
      <alignment horizontal="center" vertical="center"/>
    </xf>
    <xf numFmtId="167" fontId="11" fillId="7" borderId="29" xfId="0" applyNumberFormat="1" applyFont="1" applyFill="1" applyBorder="1" applyAlignment="1">
      <alignment horizontal="center" vertical="center"/>
    </xf>
    <xf numFmtId="171" fontId="11" fillId="5" borderId="29" xfId="0" applyNumberFormat="1" applyFont="1" applyFill="1" applyBorder="1" applyAlignment="1">
      <alignment horizontal="center" vertical="center"/>
    </xf>
    <xf numFmtId="172" fontId="11" fillId="7" borderId="29" xfId="0" applyNumberFormat="1" applyFont="1" applyFill="1" applyBorder="1" applyAlignment="1">
      <alignment horizontal="center" vertical="center"/>
    </xf>
    <xf numFmtId="167" fontId="11" fillId="5" borderId="29" xfId="0" applyNumberFormat="1" applyFont="1" applyFill="1" applyBorder="1" applyAlignment="1">
      <alignment horizontal="center" vertical="center"/>
    </xf>
    <xf numFmtId="0" fontId="22" fillId="5" borderId="30" xfId="0" applyFont="1" applyFill="1" applyBorder="1" applyAlignment="1">
      <alignment horizontal="center" vertical="center"/>
    </xf>
    <xf numFmtId="49" fontId="22" fillId="5" borderId="30" xfId="0" applyNumberFormat="1" applyFont="1" applyFill="1" applyBorder="1" applyAlignment="1">
      <alignment horizontal="center" vertical="center"/>
    </xf>
    <xf numFmtId="164" fontId="22" fillId="5" borderId="30" xfId="0" applyNumberFormat="1" applyFont="1" applyFill="1" applyBorder="1" applyAlignment="1">
      <alignment horizontal="center" vertical="center"/>
    </xf>
    <xf numFmtId="0" fontId="22" fillId="5" borderId="0" xfId="0" applyFont="1" applyFill="1" applyAlignment="1">
      <alignment horizontal="center"/>
    </xf>
    <xf numFmtId="0" fontId="22" fillId="5" borderId="0" xfId="0" applyFont="1" applyFill="1" applyAlignment="1">
      <alignment horizontal="center" vertical="center"/>
    </xf>
    <xf numFmtId="3" fontId="22" fillId="5" borderId="30" xfId="0" applyNumberFormat="1" applyFont="1" applyFill="1" applyBorder="1" applyAlignment="1">
      <alignment horizontal="center" vertical="center"/>
    </xf>
    <xf numFmtId="0" fontId="22" fillId="7" borderId="30" xfId="0" applyFont="1" applyFill="1" applyBorder="1" applyAlignment="1">
      <alignment horizontal="center" vertical="center"/>
    </xf>
    <xf numFmtId="169" fontId="22" fillId="5" borderId="30" xfId="0" applyNumberFormat="1" applyFont="1" applyFill="1" applyBorder="1" applyAlignment="1">
      <alignment horizontal="center" vertical="center"/>
    </xf>
    <xf numFmtId="168" fontId="22" fillId="5" borderId="29" xfId="0" applyNumberFormat="1" applyFont="1" applyFill="1" applyBorder="1" applyAlignment="1">
      <alignment horizontal="center" vertical="center"/>
    </xf>
    <xf numFmtId="170" fontId="22" fillId="5" borderId="29" xfId="0" applyNumberFormat="1" applyFont="1" applyFill="1" applyBorder="1" applyAlignment="1">
      <alignment horizontal="center" vertical="center"/>
    </xf>
    <xf numFmtId="0" fontId="22" fillId="7" borderId="29" xfId="0" applyFont="1" applyFill="1" applyBorder="1" applyAlignment="1">
      <alignment horizontal="center" vertical="center"/>
    </xf>
    <xf numFmtId="0" fontId="22" fillId="5" borderId="29" xfId="0" applyFont="1" applyFill="1" applyBorder="1" applyAlignment="1">
      <alignment horizontal="center" vertical="center"/>
    </xf>
    <xf numFmtId="169" fontId="22" fillId="5" borderId="29" xfId="0" applyNumberFormat="1" applyFont="1" applyFill="1" applyBorder="1" applyAlignment="1">
      <alignment horizontal="center" vertical="center"/>
    </xf>
    <xf numFmtId="164" fontId="22" fillId="5" borderId="29" xfId="0" applyNumberFormat="1" applyFont="1" applyFill="1" applyBorder="1" applyAlignment="1">
      <alignment horizontal="center" vertical="center"/>
    </xf>
    <xf numFmtId="49" fontId="22" fillId="5" borderId="29" xfId="0" applyNumberFormat="1" applyFont="1" applyFill="1" applyBorder="1" applyAlignment="1">
      <alignment horizontal="center" vertical="center"/>
    </xf>
    <xf numFmtId="0" fontId="4" fillId="0" borderId="31" xfId="0" applyFont="1" applyBorder="1"/>
    <xf numFmtId="0" fontId="4" fillId="0" borderId="32" xfId="0" applyFont="1" applyBorder="1" applyAlignment="1">
      <alignment horizontal="center"/>
    </xf>
    <xf numFmtId="0" fontId="0" fillId="0" borderId="33" xfId="0" applyBorder="1"/>
    <xf numFmtId="1" fontId="0" fillId="0" borderId="34" xfId="0" applyNumberFormat="1" applyBorder="1" applyAlignment="1">
      <alignment horizontal="center"/>
    </xf>
    <xf numFmtId="1" fontId="4" fillId="0" borderId="34" xfId="0" applyNumberFormat="1" applyFont="1" applyBorder="1" applyAlignment="1">
      <alignment horizontal="center"/>
    </xf>
    <xf numFmtId="0" fontId="4" fillId="0" borderId="33" xfId="0" applyFont="1" applyBorder="1"/>
    <xf numFmtId="0" fontId="0" fillId="0" borderId="35" xfId="0" applyBorder="1"/>
    <xf numFmtId="1" fontId="0" fillId="0" borderId="36" xfId="0" applyNumberFormat="1" applyBorder="1" applyAlignment="1">
      <alignment horizontal="center"/>
    </xf>
    <xf numFmtId="49" fontId="11" fillId="5" borderId="29" xfId="0" applyNumberFormat="1" applyFont="1" applyFill="1" applyBorder="1" applyAlignment="1">
      <alignment horizontal="center" vertical="center"/>
    </xf>
    <xf numFmtId="173" fontId="4" fillId="0" borderId="34" xfId="1" applyNumberFormat="1" applyFont="1" applyBorder="1" applyAlignment="1">
      <alignment horizontal="center"/>
    </xf>
    <xf numFmtId="173" fontId="0" fillId="0" borderId="34" xfId="0" applyNumberFormat="1" applyBorder="1" applyAlignment="1">
      <alignment horizontal="center"/>
    </xf>
    <xf numFmtId="173" fontId="0" fillId="0" borderId="36" xfId="0" applyNumberFormat="1" applyBorder="1" applyAlignment="1">
      <alignment horizontal="center"/>
    </xf>
    <xf numFmtId="2" fontId="0" fillId="0" borderId="0" xfId="0" applyNumberFormat="1"/>
    <xf numFmtId="0" fontId="25" fillId="0" borderId="0" xfId="0" applyFont="1"/>
    <xf numFmtId="49" fontId="26" fillId="5" borderId="29" xfId="0" applyNumberFormat="1" applyFont="1" applyFill="1" applyBorder="1" applyAlignment="1">
      <alignment horizontal="center" vertical="center"/>
    </xf>
    <xf numFmtId="2" fontId="26" fillId="5" borderId="29" xfId="0" applyNumberFormat="1" applyFont="1" applyFill="1" applyBorder="1" applyAlignment="1">
      <alignment horizontal="center" vertical="center"/>
    </xf>
    <xf numFmtId="49" fontId="23" fillId="6" borderId="29" xfId="0" applyNumberFormat="1" applyFont="1" applyFill="1" applyBorder="1" applyAlignment="1">
      <alignment horizontal="center" vertical="center" wrapText="1"/>
    </xf>
    <xf numFmtId="2" fontId="23" fillId="13" borderId="29" xfId="0" applyNumberFormat="1" applyFont="1" applyFill="1" applyBorder="1" applyAlignment="1">
      <alignment horizontal="center" vertical="center" wrapText="1"/>
    </xf>
    <xf numFmtId="2" fontId="23" fillId="11" borderId="29" xfId="0" applyNumberFormat="1" applyFont="1" applyFill="1" applyBorder="1" applyAlignment="1">
      <alignment horizontal="center" vertical="center" wrapText="1"/>
    </xf>
    <xf numFmtId="2" fontId="23" fillId="12" borderId="29" xfId="0" applyNumberFormat="1" applyFont="1" applyFill="1" applyBorder="1" applyAlignment="1">
      <alignment horizontal="center" vertical="center" wrapText="1"/>
    </xf>
    <xf numFmtId="0" fontId="25" fillId="0" borderId="0" xfId="0" applyFont="1" applyAlignment="1"/>
    <xf numFmtId="2" fontId="25" fillId="0" borderId="0" xfId="0" applyNumberFormat="1" applyFont="1" applyAlignment="1">
      <alignment horizontal="center" wrapText="1"/>
    </xf>
    <xf numFmtId="0" fontId="25" fillId="0" borderId="0" xfId="0" applyFont="1" applyAlignment="1">
      <alignment horizontal="center" wrapText="1"/>
    </xf>
    <xf numFmtId="2" fontId="26" fillId="0" borderId="0" xfId="0" applyNumberFormat="1" applyFont="1" applyAlignment="1">
      <alignment horizontal="center"/>
    </xf>
    <xf numFmtId="2" fontId="25" fillId="0" borderId="0" xfId="0" applyNumberFormat="1" applyFont="1" applyAlignment="1">
      <alignment horizontal="center"/>
    </xf>
    <xf numFmtId="0" fontId="25" fillId="0" borderId="0" xfId="0" applyFont="1" applyAlignment="1">
      <alignment horizontal="center"/>
    </xf>
    <xf numFmtId="0" fontId="24" fillId="5" borderId="0" xfId="0" applyFont="1" applyFill="1" applyAlignment="1">
      <alignment horizontal="center"/>
    </xf>
    <xf numFmtId="2" fontId="24" fillId="5" borderId="0" xfId="0" applyNumberFormat="1" applyFont="1" applyFill="1" applyAlignment="1">
      <alignment horizontal="center"/>
    </xf>
    <xf numFmtId="173" fontId="0" fillId="0" borderId="1" xfId="0" applyNumberFormat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28" fillId="0" borderId="0" xfId="0" applyFont="1"/>
    <xf numFmtId="0" fontId="0" fillId="15" borderId="0" xfId="0" applyFill="1"/>
    <xf numFmtId="0" fontId="25" fillId="15" borderId="37" xfId="0" applyFont="1" applyFill="1" applyBorder="1"/>
    <xf numFmtId="0" fontId="30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right" vertical="center"/>
    </xf>
    <xf numFmtId="1" fontId="29" fillId="4" borderId="38" xfId="4" applyNumberFormat="1" applyFont="1" applyFill="1" applyBorder="1" applyAlignment="1" applyProtection="1">
      <alignment horizontal="center" vertical="center" wrapText="1"/>
    </xf>
    <xf numFmtId="1" fontId="29" fillId="4" borderId="39" xfId="4" applyNumberFormat="1" applyFont="1" applyFill="1" applyBorder="1" applyAlignment="1" applyProtection="1">
      <alignment horizontal="center" vertical="center" wrapText="1"/>
    </xf>
    <xf numFmtId="3" fontId="29" fillId="4" borderId="40" xfId="0" applyNumberFormat="1" applyFont="1" applyFill="1" applyBorder="1" applyAlignment="1">
      <alignment horizontal="center" vertical="center" wrapText="1"/>
    </xf>
    <xf numFmtId="3" fontId="29" fillId="4" borderId="41" xfId="0" applyNumberFormat="1" applyFont="1" applyFill="1" applyBorder="1" applyAlignment="1">
      <alignment horizontal="center" vertical="center" wrapText="1"/>
    </xf>
    <xf numFmtId="1" fontId="29" fillId="4" borderId="42" xfId="0" applyNumberFormat="1" applyFont="1" applyFill="1" applyBorder="1" applyAlignment="1">
      <alignment horizontal="center" vertical="center" wrapText="1"/>
    </xf>
    <xf numFmtId="3" fontId="29" fillId="4" borderId="0" xfId="0" applyNumberFormat="1" applyFont="1" applyFill="1" applyBorder="1" applyAlignment="1">
      <alignment horizontal="center" vertical="center" wrapText="1"/>
    </xf>
    <xf numFmtId="0" fontId="32" fillId="3" borderId="43" xfId="0" applyFont="1" applyFill="1" applyBorder="1" applyAlignment="1">
      <alignment horizontal="center"/>
    </xf>
    <xf numFmtId="0" fontId="32" fillId="4" borderId="43" xfId="0" applyFont="1" applyFill="1" applyBorder="1"/>
    <xf numFmtId="173" fontId="32" fillId="0" borderId="43" xfId="0" applyNumberFormat="1" applyFont="1" applyFill="1" applyBorder="1" applyAlignment="1">
      <alignment horizontal="center" vertical="center"/>
    </xf>
    <xf numFmtId="2" fontId="0" fillId="3" borderId="44" xfId="0" applyNumberFormat="1" applyFill="1" applyBorder="1" applyAlignment="1">
      <alignment vertical="center"/>
    </xf>
    <xf numFmtId="2" fontId="0" fillId="3" borderId="45" xfId="0" applyNumberFormat="1" applyFill="1" applyBorder="1" applyAlignment="1">
      <alignment vertical="center"/>
    </xf>
    <xf numFmtId="9" fontId="0" fillId="3" borderId="45" xfId="1" applyFont="1" applyFill="1" applyBorder="1" applyAlignment="1">
      <alignment vertical="center"/>
    </xf>
    <xf numFmtId="0" fontId="0" fillId="3" borderId="46" xfId="0" applyFill="1" applyBorder="1" applyAlignment="1">
      <alignment horizontal="center" vertical="center"/>
    </xf>
    <xf numFmtId="3" fontId="0" fillId="0" borderId="0" xfId="0" applyNumberFormat="1"/>
    <xf numFmtId="0" fontId="32" fillId="3" borderId="47" xfId="0" applyFont="1" applyFill="1" applyBorder="1" applyAlignment="1">
      <alignment horizontal="center"/>
    </xf>
    <xf numFmtId="0" fontId="32" fillId="4" borderId="47" xfId="0" applyFont="1" applyFill="1" applyBorder="1"/>
    <xf numFmtId="173" fontId="32" fillId="0" borderId="47" xfId="0" applyNumberFormat="1" applyFont="1" applyFill="1" applyBorder="1" applyAlignment="1">
      <alignment horizontal="center"/>
    </xf>
    <xf numFmtId="2" fontId="0" fillId="3" borderId="48" xfId="0" applyNumberFormat="1" applyFill="1" applyBorder="1"/>
    <xf numFmtId="2" fontId="0" fillId="3" borderId="49" xfId="0" applyNumberFormat="1" applyFill="1" applyBorder="1"/>
    <xf numFmtId="9" fontId="0" fillId="3" borderId="49" xfId="1" applyFont="1" applyFill="1" applyBorder="1"/>
    <xf numFmtId="0" fontId="0" fillId="3" borderId="50" xfId="0" applyFill="1" applyBorder="1" applyAlignment="1">
      <alignment horizontal="center" vertical="center"/>
    </xf>
    <xf numFmtId="10" fontId="0" fillId="0" borderId="0" xfId="1" applyNumberFormat="1" applyFont="1"/>
    <xf numFmtId="0" fontId="32" fillId="3" borderId="51" xfId="0" applyFont="1" applyFill="1" applyBorder="1" applyAlignment="1">
      <alignment horizontal="center"/>
    </xf>
    <xf numFmtId="0" fontId="32" fillId="4" borderId="51" xfId="0" applyFont="1" applyFill="1" applyBorder="1"/>
    <xf numFmtId="173" fontId="32" fillId="0" borderId="51" xfId="0" applyNumberFormat="1" applyFont="1" applyFill="1" applyBorder="1" applyAlignment="1">
      <alignment horizontal="center"/>
    </xf>
    <xf numFmtId="2" fontId="0" fillId="3" borderId="52" xfId="0" applyNumberFormat="1" applyFill="1" applyBorder="1"/>
    <xf numFmtId="2" fontId="0" fillId="3" borderId="53" xfId="0" applyNumberFormat="1" applyFill="1" applyBorder="1"/>
    <xf numFmtId="9" fontId="0" fillId="3" borderId="53" xfId="1" applyFont="1" applyFill="1" applyBorder="1"/>
    <xf numFmtId="0" fontId="0" fillId="3" borderId="54" xfId="0" applyFill="1" applyBorder="1" applyAlignment="1">
      <alignment horizontal="center" vertical="center"/>
    </xf>
    <xf numFmtId="9" fontId="0" fillId="0" borderId="0" xfId="1" applyFont="1"/>
    <xf numFmtId="4" fontId="0" fillId="0" borderId="0" xfId="0" applyNumberFormat="1"/>
    <xf numFmtId="0" fontId="28" fillId="16" borderId="0" xfId="0" applyFont="1" applyFill="1"/>
    <xf numFmtId="0" fontId="0" fillId="16" borderId="0" xfId="0" applyFill="1"/>
    <xf numFmtId="1" fontId="8" fillId="0" borderId="6" xfId="0" applyNumberFormat="1" applyFont="1" applyBorder="1" applyAlignment="1">
      <alignment horizontal="center" vertical="center"/>
    </xf>
    <xf numFmtId="9" fontId="8" fillId="0" borderId="6" xfId="1" applyFont="1" applyBorder="1" applyAlignment="1">
      <alignment horizontal="center" vertical="center"/>
    </xf>
    <xf numFmtId="3" fontId="0" fillId="0" borderId="34" xfId="0" applyNumberFormat="1" applyBorder="1" applyAlignment="1">
      <alignment horizontal="center"/>
    </xf>
    <xf numFmtId="174" fontId="0" fillId="0" borderId="34" xfId="0" applyNumberFormat="1" applyBorder="1" applyAlignment="1">
      <alignment horizontal="center"/>
    </xf>
    <xf numFmtId="170" fontId="0" fillId="0" borderId="34" xfId="0" applyNumberFormat="1" applyBorder="1" applyAlignment="1">
      <alignment horizontal="center"/>
    </xf>
    <xf numFmtId="0" fontId="4" fillId="2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33" fillId="0" borderId="0" xfId="0" applyFont="1" applyAlignment="1">
      <alignment horizontal="center" vertical="center"/>
    </xf>
    <xf numFmtId="0" fontId="27" fillId="4" borderId="55" xfId="0" applyFont="1" applyFill="1" applyBorder="1" applyAlignment="1">
      <alignment horizontal="center" vertical="center"/>
    </xf>
    <xf numFmtId="0" fontId="25" fillId="4" borderId="0" xfId="0" applyFont="1" applyFill="1" applyBorder="1"/>
    <xf numFmtId="0" fontId="25" fillId="4" borderId="0" xfId="0" applyFont="1" applyFill="1"/>
    <xf numFmtId="0" fontId="35" fillId="0" borderId="0" xfId="0" applyFont="1"/>
    <xf numFmtId="0" fontId="25" fillId="0" borderId="0" xfId="0" applyFont="1" applyBorder="1"/>
    <xf numFmtId="0" fontId="4" fillId="18" borderId="0" xfId="0" applyNumberFormat="1" applyFont="1" applyFill="1" applyAlignment="1">
      <alignment horizontal="center" vertical="center"/>
    </xf>
    <xf numFmtId="0" fontId="36" fillId="5" borderId="0" xfId="0" applyFont="1" applyFill="1" applyAlignment="1">
      <alignment horizontal="center"/>
    </xf>
    <xf numFmtId="49" fontId="36" fillId="22" borderId="29" xfId="0" applyNumberFormat="1" applyFont="1" applyFill="1" applyBorder="1" applyAlignment="1">
      <alignment horizontal="center"/>
    </xf>
    <xf numFmtId="0" fontId="36" fillId="22" borderId="29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36" fillId="5" borderId="29" xfId="0" applyFont="1" applyFill="1" applyBorder="1" applyAlignment="1">
      <alignment horizontal="center"/>
    </xf>
    <xf numFmtId="2" fontId="11" fillId="5" borderId="0" xfId="0" applyNumberFormat="1" applyFont="1" applyFill="1" applyAlignment="1">
      <alignment horizontal="center"/>
    </xf>
    <xf numFmtId="2" fontId="37" fillId="0" borderId="0" xfId="0" applyNumberFormat="1" applyFont="1" applyAlignment="1">
      <alignment horizontal="center"/>
    </xf>
    <xf numFmtId="1" fontId="11" fillId="5" borderId="0" xfId="0" applyNumberFormat="1" applyFont="1" applyFill="1" applyAlignment="1">
      <alignment horizontal="center"/>
    </xf>
    <xf numFmtId="1" fontId="37" fillId="0" borderId="0" xfId="0" applyNumberFormat="1" applyFont="1" applyAlignment="1">
      <alignment horizontal="center"/>
    </xf>
    <xf numFmtId="173" fontId="10" fillId="0" borderId="6" xfId="0" applyNumberFormat="1" applyFont="1" applyBorder="1" applyAlignment="1">
      <alignment horizontal="center" vertical="center" wrapText="1"/>
    </xf>
    <xf numFmtId="173" fontId="10" fillId="0" borderId="5" xfId="0" applyNumberFormat="1" applyFont="1" applyBorder="1" applyAlignment="1">
      <alignment horizontal="center" vertical="center"/>
    </xf>
    <xf numFmtId="170" fontId="0" fillId="0" borderId="1" xfId="0" applyNumberFormat="1" applyBorder="1" applyAlignment="1">
      <alignment horizontal="center" vertical="center"/>
    </xf>
    <xf numFmtId="0" fontId="4" fillId="23" borderId="0" xfId="0" applyFont="1" applyFill="1" applyAlignment="1">
      <alignment horizontal="center" vertical="center"/>
    </xf>
    <xf numFmtId="0" fontId="38" fillId="0" borderId="0" xfId="0" applyFont="1" applyAlignment="1">
      <alignment vertical="center"/>
    </xf>
    <xf numFmtId="9" fontId="10" fillId="0" borderId="57" xfId="0" applyNumberFormat="1" applyFont="1" applyBorder="1" applyAlignment="1">
      <alignment vertical="center" wrapText="1"/>
    </xf>
    <xf numFmtId="0" fontId="10" fillId="0" borderId="59" xfId="0" applyFont="1" applyBorder="1" applyAlignment="1">
      <alignment vertical="center" wrapText="1"/>
    </xf>
    <xf numFmtId="9" fontId="10" fillId="0" borderId="58" xfId="0" applyNumberFormat="1" applyFont="1" applyBorder="1" applyAlignment="1">
      <alignment horizontal="center" vertical="center" wrapText="1"/>
    </xf>
    <xf numFmtId="1" fontId="0" fillId="19" borderId="0" xfId="0" applyNumberFormat="1" applyFill="1" applyAlignment="1">
      <alignment horizontal="center" vertical="center"/>
    </xf>
    <xf numFmtId="0" fontId="7" fillId="0" borderId="11" xfId="0" applyFont="1" applyFill="1" applyBorder="1" applyAlignment="1">
      <alignment vertical="center"/>
    </xf>
    <xf numFmtId="0" fontId="0" fillId="0" borderId="0" xfId="0" applyFill="1"/>
    <xf numFmtId="0" fontId="7" fillId="0" borderId="0" xfId="0" applyFont="1" applyFill="1" applyBorder="1" applyAlignment="1">
      <alignment vertical="center"/>
    </xf>
    <xf numFmtId="0" fontId="0" fillId="0" borderId="0" xfId="0" applyFill="1" applyBorder="1"/>
    <xf numFmtId="0" fontId="7" fillId="0" borderId="0" xfId="0" applyFont="1" applyFill="1" applyBorder="1" applyAlignment="1">
      <alignment horizontal="center" vertical="center"/>
    </xf>
    <xf numFmtId="0" fontId="45" fillId="0" borderId="0" xfId="0" applyFont="1" applyBorder="1" applyAlignment="1">
      <alignment horizontal="left"/>
    </xf>
    <xf numFmtId="0" fontId="0" fillId="0" borderId="0" xfId="0" applyFill="1" applyAlignment="1">
      <alignment vertical="center"/>
    </xf>
    <xf numFmtId="0" fontId="40" fillId="0" borderId="0" xfId="0" quotePrefix="1" applyFont="1" applyBorder="1"/>
    <xf numFmtId="0" fontId="40" fillId="0" borderId="0" xfId="0" quotePrefix="1" applyFont="1" applyBorder="1" applyAlignment="1">
      <alignment horizontal="left" wrapText="1"/>
    </xf>
    <xf numFmtId="0" fontId="40" fillId="0" borderId="0" xfId="0" quotePrefix="1" applyFont="1" applyBorder="1" applyAlignment="1">
      <alignment horizontal="left"/>
    </xf>
    <xf numFmtId="0" fontId="40" fillId="0" borderId="0" xfId="0" quotePrefix="1" applyFont="1" applyBorder="1" applyAlignment="1"/>
    <xf numFmtId="0" fontId="41" fillId="0" borderId="0" xfId="0" quotePrefix="1" applyFont="1" applyBorder="1"/>
    <xf numFmtId="0" fontId="46" fillId="0" borderId="0" xfId="0" applyFont="1" applyBorder="1"/>
    <xf numFmtId="0" fontId="39" fillId="0" borderId="0" xfId="0" applyFont="1" applyBorder="1"/>
    <xf numFmtId="0" fontId="47" fillId="5" borderId="0" xfId="0" applyFont="1" applyFill="1" applyAlignment="1">
      <alignment horizontal="left"/>
    </xf>
    <xf numFmtId="0" fontId="48" fillId="5" borderId="0" xfId="0" applyFont="1" applyFill="1" applyAlignment="1">
      <alignment horizontal="center" vertical="center"/>
    </xf>
    <xf numFmtId="0" fontId="48" fillId="5" borderId="0" xfId="0" applyFont="1" applyFill="1" applyAlignment="1">
      <alignment horizontal="center" vertical="center" wrapText="1"/>
    </xf>
    <xf numFmtId="0" fontId="49" fillId="5" borderId="0" xfId="0" applyFont="1" applyFill="1" applyAlignment="1">
      <alignment horizontal="center" vertical="center" wrapText="1"/>
    </xf>
    <xf numFmtId="0" fontId="50" fillId="5" borderId="0" xfId="0" applyFont="1" applyFill="1" applyAlignment="1">
      <alignment horizontal="center" vertical="center" wrapText="1"/>
    </xf>
    <xf numFmtId="0" fontId="51" fillId="5" borderId="0" xfId="0" applyFont="1" applyFill="1" applyAlignment="1">
      <alignment horizontal="center" vertical="center" wrapText="1"/>
    </xf>
    <xf numFmtId="0" fontId="53" fillId="5" borderId="0" xfId="0" applyFont="1" applyFill="1" applyAlignment="1">
      <alignment horizontal="center" vertical="center" wrapText="1"/>
    </xf>
    <xf numFmtId="0" fontId="55" fillId="6" borderId="28" xfId="0" applyFont="1" applyFill="1" applyBorder="1" applyAlignment="1">
      <alignment horizontal="center" vertical="center" wrapText="1"/>
    </xf>
    <xf numFmtId="0" fontId="55" fillId="6" borderId="0" xfId="0" applyFont="1" applyFill="1" applyAlignment="1">
      <alignment horizontal="center" vertical="center" wrapText="1"/>
    </xf>
    <xf numFmtId="49" fontId="47" fillId="5" borderId="29" xfId="0" applyNumberFormat="1" applyFont="1" applyFill="1" applyBorder="1" applyAlignment="1">
      <alignment horizontal="center" vertical="center"/>
    </xf>
    <xf numFmtId="164" fontId="47" fillId="5" borderId="29" xfId="0" applyNumberFormat="1" applyFont="1" applyFill="1" applyBorder="1" applyAlignment="1">
      <alignment horizontal="center" vertical="center"/>
    </xf>
    <xf numFmtId="0" fontId="47" fillId="5" borderId="0" xfId="0" applyFont="1" applyFill="1" applyAlignment="1">
      <alignment horizontal="center"/>
    </xf>
    <xf numFmtId="165" fontId="47" fillId="5" borderId="29" xfId="0" applyNumberFormat="1" applyFont="1" applyFill="1" applyBorder="1" applyAlignment="1">
      <alignment horizontal="center" vertical="center"/>
    </xf>
    <xf numFmtId="0" fontId="47" fillId="5" borderId="0" xfId="0" applyFont="1" applyFill="1" applyAlignment="1">
      <alignment horizontal="center" vertical="center"/>
    </xf>
    <xf numFmtId="166" fontId="47" fillId="5" borderId="29" xfId="0" applyNumberFormat="1" applyFont="1" applyFill="1" applyBorder="1" applyAlignment="1">
      <alignment horizontal="center" vertical="center"/>
    </xf>
    <xf numFmtId="3" fontId="47" fillId="5" borderId="29" xfId="0" applyNumberFormat="1" applyFont="1" applyFill="1" applyBorder="1" applyAlignment="1">
      <alignment horizontal="center" vertical="center"/>
    </xf>
    <xf numFmtId="164" fontId="47" fillId="7" borderId="29" xfId="0" applyNumberFormat="1" applyFont="1" applyFill="1" applyBorder="1" applyAlignment="1">
      <alignment horizontal="center" vertical="center"/>
    </xf>
    <xf numFmtId="167" fontId="56" fillId="8" borderId="29" xfId="0" applyNumberFormat="1" applyFont="1" applyFill="1" applyBorder="1" applyAlignment="1">
      <alignment horizontal="center" vertical="center"/>
    </xf>
    <xf numFmtId="3" fontId="56" fillId="8" borderId="29" xfId="0" applyNumberFormat="1" applyFont="1" applyFill="1" applyBorder="1" applyAlignment="1">
      <alignment horizontal="center" vertical="center"/>
    </xf>
    <xf numFmtId="168" fontId="47" fillId="5" borderId="29" xfId="0" applyNumberFormat="1" applyFont="1" applyFill="1" applyBorder="1" applyAlignment="1">
      <alignment horizontal="center" vertical="center"/>
    </xf>
    <xf numFmtId="169" fontId="47" fillId="5" borderId="29" xfId="0" applyNumberFormat="1" applyFont="1" applyFill="1" applyBorder="1" applyAlignment="1">
      <alignment horizontal="center" vertical="center"/>
    </xf>
    <xf numFmtId="3" fontId="47" fillId="7" borderId="29" xfId="0" applyNumberFormat="1" applyFont="1" applyFill="1" applyBorder="1" applyAlignment="1">
      <alignment horizontal="center" vertical="center"/>
    </xf>
    <xf numFmtId="167" fontId="56" fillId="9" borderId="29" xfId="0" applyNumberFormat="1" applyFont="1" applyFill="1" applyBorder="1" applyAlignment="1">
      <alignment horizontal="center" vertical="center"/>
    </xf>
    <xf numFmtId="3" fontId="56" fillId="9" borderId="29" xfId="0" applyNumberFormat="1" applyFont="1" applyFill="1" applyBorder="1" applyAlignment="1">
      <alignment horizontal="center" vertical="center"/>
    </xf>
    <xf numFmtId="170" fontId="47" fillId="5" borderId="29" xfId="0" applyNumberFormat="1" applyFont="1" applyFill="1" applyBorder="1" applyAlignment="1">
      <alignment horizontal="center" vertical="center"/>
    </xf>
    <xf numFmtId="49" fontId="47" fillId="7" borderId="29" xfId="0" applyNumberFormat="1" applyFont="1" applyFill="1" applyBorder="1" applyAlignment="1">
      <alignment horizontal="center" vertical="center"/>
    </xf>
    <xf numFmtId="167" fontId="56" fillId="10" borderId="29" xfId="0" applyNumberFormat="1" applyFont="1" applyFill="1" applyBorder="1" applyAlignment="1">
      <alignment horizontal="center" vertical="center"/>
    </xf>
    <xf numFmtId="3" fontId="56" fillId="10" borderId="29" xfId="0" applyNumberFormat="1" applyFont="1" applyFill="1" applyBorder="1" applyAlignment="1">
      <alignment horizontal="center" vertical="center"/>
    </xf>
    <xf numFmtId="0" fontId="47" fillId="5" borderId="29" xfId="0" applyFont="1" applyFill="1" applyBorder="1" applyAlignment="1">
      <alignment horizontal="center" vertical="center"/>
    </xf>
    <xf numFmtId="167" fontId="47" fillId="7" borderId="29" xfId="0" applyNumberFormat="1" applyFont="1" applyFill="1" applyBorder="1" applyAlignment="1">
      <alignment horizontal="center" vertical="center"/>
    </xf>
    <xf numFmtId="171" fontId="47" fillId="5" borderId="29" xfId="0" applyNumberFormat="1" applyFont="1" applyFill="1" applyBorder="1" applyAlignment="1">
      <alignment horizontal="center" vertical="center"/>
    </xf>
    <xf numFmtId="172" fontId="47" fillId="7" borderId="29" xfId="0" applyNumberFormat="1" applyFont="1" applyFill="1" applyBorder="1" applyAlignment="1">
      <alignment horizontal="center" vertical="center"/>
    </xf>
    <xf numFmtId="167" fontId="47" fillId="5" borderId="29" xfId="0" applyNumberFormat="1" applyFont="1" applyFill="1" applyBorder="1" applyAlignment="1">
      <alignment horizontal="center" vertical="center"/>
    </xf>
    <xf numFmtId="0" fontId="57" fillId="5" borderId="30" xfId="0" applyFont="1" applyFill="1" applyBorder="1" applyAlignment="1">
      <alignment horizontal="center" vertical="center"/>
    </xf>
    <xf numFmtId="49" fontId="57" fillId="5" borderId="30" xfId="0" applyNumberFormat="1" applyFont="1" applyFill="1" applyBorder="1" applyAlignment="1">
      <alignment horizontal="center" vertical="center"/>
    </xf>
    <xf numFmtId="164" fontId="57" fillId="5" borderId="30" xfId="0" applyNumberFormat="1" applyFont="1" applyFill="1" applyBorder="1" applyAlignment="1">
      <alignment horizontal="center" vertical="center"/>
    </xf>
    <xf numFmtId="0" fontId="57" fillId="5" borderId="0" xfId="0" applyFont="1" applyFill="1" applyAlignment="1">
      <alignment horizontal="center"/>
    </xf>
    <xf numFmtId="0" fontId="57" fillId="5" borderId="0" xfId="0" applyFont="1" applyFill="1" applyAlignment="1">
      <alignment horizontal="center" vertical="center"/>
    </xf>
    <xf numFmtId="3" fontId="57" fillId="5" borderId="30" xfId="0" applyNumberFormat="1" applyFont="1" applyFill="1" applyBorder="1" applyAlignment="1">
      <alignment horizontal="center" vertical="center"/>
    </xf>
    <xf numFmtId="0" fontId="57" fillId="7" borderId="30" xfId="0" applyFont="1" applyFill="1" applyBorder="1" applyAlignment="1">
      <alignment horizontal="center" vertical="center"/>
    </xf>
    <xf numFmtId="169" fontId="57" fillId="5" borderId="30" xfId="0" applyNumberFormat="1" applyFont="1" applyFill="1" applyBorder="1" applyAlignment="1">
      <alignment horizontal="center" vertical="center"/>
    </xf>
    <xf numFmtId="168" fontId="57" fillId="5" borderId="29" xfId="0" applyNumberFormat="1" applyFont="1" applyFill="1" applyBorder="1" applyAlignment="1">
      <alignment horizontal="center" vertical="center"/>
    </xf>
    <xf numFmtId="170" fontId="57" fillId="5" borderId="29" xfId="0" applyNumberFormat="1" applyFont="1" applyFill="1" applyBorder="1" applyAlignment="1">
      <alignment horizontal="center" vertical="center"/>
    </xf>
    <xf numFmtId="0" fontId="57" fillId="7" borderId="29" xfId="0" applyFont="1" applyFill="1" applyBorder="1" applyAlignment="1">
      <alignment horizontal="center" vertical="center"/>
    </xf>
    <xf numFmtId="0" fontId="57" fillId="5" borderId="29" xfId="0" applyFont="1" applyFill="1" applyBorder="1" applyAlignment="1">
      <alignment horizontal="center" vertical="center"/>
    </xf>
    <xf numFmtId="169" fontId="57" fillId="5" borderId="29" xfId="0" applyNumberFormat="1" applyFont="1" applyFill="1" applyBorder="1" applyAlignment="1">
      <alignment horizontal="center" vertical="center"/>
    </xf>
    <xf numFmtId="164" fontId="57" fillId="5" borderId="29" xfId="0" applyNumberFormat="1" applyFont="1" applyFill="1" applyBorder="1" applyAlignment="1">
      <alignment horizontal="center" vertical="center"/>
    </xf>
    <xf numFmtId="49" fontId="57" fillId="5" borderId="29" xfId="0" applyNumberFormat="1" applyFont="1" applyFill="1" applyBorder="1" applyAlignment="1">
      <alignment horizontal="center" vertical="center"/>
    </xf>
    <xf numFmtId="49" fontId="48" fillId="6" borderId="0" xfId="0" applyNumberFormat="1" applyFont="1" applyFill="1" applyAlignment="1">
      <alignment horizontal="center" vertical="center"/>
    </xf>
    <xf numFmtId="49" fontId="48" fillId="6" borderId="0" xfId="0" applyNumberFormat="1" applyFont="1" applyFill="1" applyAlignment="1">
      <alignment horizontal="center" vertical="center"/>
    </xf>
    <xf numFmtId="49" fontId="47" fillId="22" borderId="29" xfId="0" applyNumberFormat="1" applyFont="1" applyFill="1" applyBorder="1" applyAlignment="1">
      <alignment horizontal="left"/>
    </xf>
    <xf numFmtId="49" fontId="47" fillId="5" borderId="29" xfId="0" applyNumberFormat="1" applyFont="1" applyFill="1" applyBorder="1" applyAlignment="1">
      <alignment horizontal="left"/>
    </xf>
    <xf numFmtId="175" fontId="47" fillId="5" borderId="29" xfId="0" applyNumberFormat="1" applyFont="1" applyFill="1" applyBorder="1" applyAlignment="1">
      <alignment horizontal="right"/>
    </xf>
    <xf numFmtId="176" fontId="47" fillId="5" borderId="29" xfId="0" applyNumberFormat="1" applyFont="1" applyFill="1" applyBorder="1" applyAlignment="1">
      <alignment horizontal="right"/>
    </xf>
    <xf numFmtId="0" fontId="4" fillId="0" borderId="0" xfId="0" applyFont="1" applyBorder="1" applyAlignment="1">
      <alignment horizontal="left" vertical="center" wrapText="1"/>
    </xf>
    <xf numFmtId="0" fontId="39" fillId="0" borderId="0" xfId="0" applyFont="1" applyBorder="1" applyAlignment="1">
      <alignment horizontal="left" vertical="center" wrapText="1"/>
    </xf>
    <xf numFmtId="0" fontId="40" fillId="0" borderId="0" xfId="0" quotePrefix="1" applyFont="1" applyBorder="1" applyAlignment="1">
      <alignment horizontal="left" vertical="center" wrapText="1"/>
    </xf>
    <xf numFmtId="0" fontId="0" fillId="0" borderId="0" xfId="0" applyBorder="1" applyAlignment="1">
      <alignment horizontal="left" vertical="center" wrapText="1"/>
    </xf>
    <xf numFmtId="0" fontId="7" fillId="4" borderId="0" xfId="0" applyFont="1" applyFill="1" applyBorder="1" applyAlignment="1">
      <alignment horizontal="center" vertical="center"/>
    </xf>
    <xf numFmtId="0" fontId="29" fillId="0" borderId="0" xfId="0" applyFont="1" applyBorder="1" applyAlignment="1">
      <alignment horizontal="left" vertical="center" wrapText="1"/>
    </xf>
    <xf numFmtId="0" fontId="44" fillId="0" borderId="0" xfId="0" applyFont="1" applyBorder="1" applyAlignment="1">
      <alignment horizontal="center"/>
    </xf>
    <xf numFmtId="0" fontId="43" fillId="0" borderId="0" xfId="5" applyFont="1" applyBorder="1" applyAlignment="1">
      <alignment horizontal="center"/>
    </xf>
    <xf numFmtId="0" fontId="5" fillId="0" borderId="18" xfId="0" applyFont="1" applyBorder="1" applyAlignment="1">
      <alignment horizontal="center" vertical="top" wrapText="1"/>
    </xf>
    <xf numFmtId="0" fontId="5" fillId="0" borderId="19" xfId="0" applyFont="1" applyBorder="1" applyAlignment="1">
      <alignment horizontal="center" vertical="top" wrapText="1"/>
    </xf>
    <xf numFmtId="0" fontId="5" fillId="0" borderId="20" xfId="0" applyFont="1" applyBorder="1" applyAlignment="1">
      <alignment horizontal="center" vertical="top" wrapText="1"/>
    </xf>
    <xf numFmtId="0" fontId="5" fillId="0" borderId="21" xfId="0" applyFont="1" applyBorder="1" applyAlignment="1">
      <alignment horizontal="center" vertical="top" wrapText="1"/>
    </xf>
    <xf numFmtId="0" fontId="5" fillId="0" borderId="0" xfId="0" applyFont="1" applyBorder="1" applyAlignment="1">
      <alignment horizontal="center" vertical="top" wrapText="1"/>
    </xf>
    <xf numFmtId="0" fontId="5" fillId="0" borderId="22" xfId="0" applyFont="1" applyBorder="1" applyAlignment="1">
      <alignment horizontal="center" vertical="top" wrapText="1"/>
    </xf>
    <xf numFmtId="173" fontId="6" fillId="0" borderId="0" xfId="0" applyNumberFormat="1" applyFont="1" applyFill="1" applyBorder="1" applyAlignment="1">
      <alignment horizontal="center"/>
    </xf>
    <xf numFmtId="0" fontId="6" fillId="0" borderId="0" xfId="0" applyFont="1" applyFill="1" applyBorder="1" applyAlignment="1">
      <alignment horizontal="center"/>
    </xf>
    <xf numFmtId="0" fontId="9" fillId="0" borderId="21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9" fillId="0" borderId="22" xfId="0" applyFont="1" applyBorder="1" applyAlignment="1">
      <alignment horizontal="center" vertical="center"/>
    </xf>
    <xf numFmtId="0" fontId="9" fillId="0" borderId="23" xfId="0" applyFont="1" applyBorder="1" applyAlignment="1">
      <alignment horizontal="center" vertical="center"/>
    </xf>
    <xf numFmtId="0" fontId="9" fillId="0" borderId="24" xfId="0" applyFont="1" applyBorder="1" applyAlignment="1">
      <alignment horizontal="center" vertical="center"/>
    </xf>
    <xf numFmtId="0" fontId="9" fillId="0" borderId="25" xfId="0" applyFont="1" applyBorder="1" applyAlignment="1">
      <alignment horizontal="center" vertical="center"/>
    </xf>
    <xf numFmtId="0" fontId="9" fillId="0" borderId="21" xfId="0" applyFont="1" applyBorder="1" applyAlignment="1">
      <alignment horizontal="center" vertical="top" wrapText="1"/>
    </xf>
    <xf numFmtId="0" fontId="9" fillId="0" borderId="0" xfId="0" applyFont="1" applyBorder="1" applyAlignment="1">
      <alignment horizontal="center" vertical="top" wrapText="1"/>
    </xf>
    <xf numFmtId="0" fontId="9" fillId="0" borderId="22" xfId="0" applyFont="1" applyBorder="1" applyAlignment="1">
      <alignment horizontal="center" vertical="top" wrapText="1"/>
    </xf>
    <xf numFmtId="0" fontId="9" fillId="0" borderId="23" xfId="0" applyFont="1" applyBorder="1" applyAlignment="1">
      <alignment horizontal="center" vertical="top" wrapText="1"/>
    </xf>
    <xf numFmtId="0" fontId="9" fillId="0" borderId="24" xfId="0" applyFont="1" applyBorder="1" applyAlignment="1">
      <alignment horizontal="center" vertical="top" wrapText="1"/>
    </xf>
    <xf numFmtId="0" fontId="9" fillId="0" borderId="25" xfId="0" applyFont="1" applyBorder="1" applyAlignment="1">
      <alignment horizontal="center" vertical="top" wrapText="1"/>
    </xf>
    <xf numFmtId="0" fontId="5" fillId="0" borderId="6" xfId="0" applyFont="1" applyBorder="1" applyAlignment="1">
      <alignment horizontal="center" vertical="center" wrapText="1"/>
    </xf>
    <xf numFmtId="173" fontId="10" fillId="0" borderId="6" xfId="0" applyNumberFormat="1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1" fontId="8" fillId="0" borderId="0" xfId="0" applyNumberFormat="1" applyFont="1" applyBorder="1" applyAlignment="1">
      <alignment horizontal="center" vertical="center"/>
    </xf>
    <xf numFmtId="1" fontId="8" fillId="0" borderId="6" xfId="0" applyNumberFormat="1" applyFont="1" applyBorder="1" applyAlignment="1">
      <alignment horizontal="center" vertical="center"/>
    </xf>
    <xf numFmtId="0" fontId="5" fillId="0" borderId="0" xfId="2" applyFont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 wrapText="1"/>
    </xf>
    <xf numFmtId="0" fontId="5" fillId="0" borderId="5" xfId="2" applyFont="1" applyBorder="1" applyAlignment="1">
      <alignment horizontal="right" vertical="center"/>
    </xf>
    <xf numFmtId="0" fontId="5" fillId="0" borderId="0" xfId="2" applyFont="1" applyBorder="1" applyAlignment="1">
      <alignment horizontal="right" vertical="center"/>
    </xf>
    <xf numFmtId="9" fontId="8" fillId="0" borderId="0" xfId="1" applyFont="1" applyBorder="1" applyAlignment="1">
      <alignment horizontal="center" vertical="center"/>
    </xf>
    <xf numFmtId="9" fontId="8" fillId="0" borderId="6" xfId="1" applyFont="1" applyBorder="1" applyAlignment="1">
      <alignment horizontal="center" vertical="center"/>
    </xf>
    <xf numFmtId="0" fontId="5" fillId="0" borderId="56" xfId="0" applyFont="1" applyBorder="1" applyAlignment="1">
      <alignment horizontal="center" vertical="center" wrapText="1"/>
    </xf>
    <xf numFmtId="0" fontId="5" fillId="0" borderId="58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7" fillId="4" borderId="10" xfId="0" applyFont="1" applyFill="1" applyBorder="1" applyAlignment="1">
      <alignment horizontal="center" vertical="center"/>
    </xf>
    <xf numFmtId="0" fontId="7" fillId="4" borderId="11" xfId="0" applyFont="1" applyFill="1" applyBorder="1" applyAlignment="1">
      <alignment horizontal="center" vertical="center"/>
    </xf>
    <xf numFmtId="0" fontId="7" fillId="4" borderId="12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top" wrapText="1"/>
    </xf>
    <xf numFmtId="0" fontId="0" fillId="15" borderId="0" xfId="0" applyFill="1" applyAlignment="1">
      <alignment horizontal="center"/>
    </xf>
    <xf numFmtId="0" fontId="4" fillId="14" borderId="0" xfId="0" applyFont="1" applyFill="1" applyAlignment="1">
      <alignment horizontal="center"/>
    </xf>
    <xf numFmtId="0" fontId="0" fillId="17" borderId="0" xfId="0" applyFill="1" applyAlignment="1">
      <alignment horizontal="center"/>
    </xf>
    <xf numFmtId="49" fontId="19" fillId="6" borderId="29" xfId="0" applyNumberFormat="1" applyFont="1" applyFill="1" applyBorder="1" applyAlignment="1">
      <alignment horizontal="center" vertical="center" wrapText="1"/>
    </xf>
    <xf numFmtId="49" fontId="18" fillId="6" borderId="29" xfId="0" applyNumberFormat="1" applyFont="1" applyFill="1" applyBorder="1" applyAlignment="1">
      <alignment horizontal="center" vertical="center" wrapText="1"/>
    </xf>
    <xf numFmtId="49" fontId="17" fillId="6" borderId="29" xfId="0" applyNumberFormat="1" applyFont="1" applyFill="1" applyBorder="1" applyAlignment="1">
      <alignment horizontal="center" vertical="center" wrapText="1"/>
    </xf>
    <xf numFmtId="49" fontId="16" fillId="6" borderId="29" xfId="0" applyNumberFormat="1" applyFont="1" applyFill="1" applyBorder="1" applyAlignment="1">
      <alignment horizontal="center" vertical="center" wrapText="1"/>
    </xf>
    <xf numFmtId="49" fontId="15" fillId="6" borderId="29" xfId="0" applyNumberFormat="1" applyFont="1" applyFill="1" applyBorder="1" applyAlignment="1">
      <alignment horizontal="center" vertical="center" wrapText="1"/>
    </xf>
    <xf numFmtId="49" fontId="14" fillId="6" borderId="29" xfId="0" applyNumberFormat="1" applyFont="1" applyFill="1" applyBorder="1" applyAlignment="1">
      <alignment horizontal="center" vertical="center" wrapText="1"/>
    </xf>
    <xf numFmtId="49" fontId="18" fillId="6" borderId="27" xfId="0" applyNumberFormat="1" applyFont="1" applyFill="1" applyBorder="1" applyAlignment="1">
      <alignment horizontal="center" vertical="center" wrapText="1"/>
    </xf>
    <xf numFmtId="49" fontId="19" fillId="6" borderId="27" xfId="0" applyNumberFormat="1" applyFont="1" applyFill="1" applyBorder="1" applyAlignment="1">
      <alignment horizontal="center" vertical="center" wrapText="1"/>
    </xf>
    <xf numFmtId="49" fontId="14" fillId="6" borderId="27" xfId="0" applyNumberFormat="1" applyFont="1" applyFill="1" applyBorder="1" applyAlignment="1">
      <alignment horizontal="center" vertical="center" wrapText="1"/>
    </xf>
    <xf numFmtId="49" fontId="15" fillId="6" borderId="27" xfId="0" applyNumberFormat="1" applyFont="1" applyFill="1" applyBorder="1" applyAlignment="1">
      <alignment horizontal="center" vertical="center" wrapText="1"/>
    </xf>
    <xf numFmtId="49" fontId="16" fillId="6" borderId="27" xfId="0" applyNumberFormat="1" applyFont="1" applyFill="1" applyBorder="1" applyAlignment="1">
      <alignment horizontal="center" vertical="center" wrapText="1"/>
    </xf>
    <xf numFmtId="49" fontId="17" fillId="6" borderId="27" xfId="0" applyNumberFormat="1" applyFont="1" applyFill="1" applyBorder="1" applyAlignment="1">
      <alignment horizontal="center" vertical="center" wrapText="1"/>
    </xf>
    <xf numFmtId="49" fontId="13" fillId="6" borderId="0" xfId="0" applyNumberFormat="1" applyFont="1" applyFill="1" applyAlignment="1">
      <alignment horizontal="center" wrapText="1"/>
    </xf>
    <xf numFmtId="49" fontId="13" fillId="6" borderId="26" xfId="0" applyNumberFormat="1" applyFont="1" applyFill="1" applyBorder="1" applyAlignment="1">
      <alignment horizontal="center" wrapText="1"/>
    </xf>
    <xf numFmtId="49" fontId="13" fillId="6" borderId="0" xfId="0" applyNumberFormat="1" applyFont="1" applyFill="1" applyAlignment="1">
      <alignment horizontal="center" vertical="center"/>
    </xf>
    <xf numFmtId="49" fontId="13" fillId="6" borderId="29" xfId="0" applyNumberFormat="1" applyFont="1" applyFill="1" applyBorder="1" applyAlignment="1">
      <alignment horizontal="center" vertical="center"/>
    </xf>
    <xf numFmtId="49" fontId="13" fillId="6" borderId="0" xfId="0" applyNumberFormat="1" applyFont="1" applyFill="1" applyAlignment="1">
      <alignment horizontal="center" vertical="center" wrapText="1"/>
    </xf>
    <xf numFmtId="49" fontId="54" fillId="6" borderId="29" xfId="0" applyNumberFormat="1" applyFont="1" applyFill="1" applyBorder="1" applyAlignment="1">
      <alignment horizontal="center" vertical="center" wrapText="1"/>
    </xf>
    <xf numFmtId="49" fontId="50" fillId="6" borderId="29" xfId="0" applyNumberFormat="1" applyFont="1" applyFill="1" applyBorder="1" applyAlignment="1">
      <alignment horizontal="center" vertical="center" wrapText="1"/>
    </xf>
    <xf numFmtId="49" fontId="51" fillId="6" borderId="29" xfId="0" applyNumberFormat="1" applyFont="1" applyFill="1" applyBorder="1" applyAlignment="1">
      <alignment horizontal="center" vertical="center" wrapText="1"/>
    </xf>
    <xf numFmtId="49" fontId="52" fillId="6" borderId="29" xfId="0" applyNumberFormat="1" applyFont="1" applyFill="1" applyBorder="1" applyAlignment="1">
      <alignment horizontal="center" vertical="center" wrapText="1"/>
    </xf>
    <xf numFmtId="49" fontId="53" fillId="6" borderId="27" xfId="0" applyNumberFormat="1" applyFont="1" applyFill="1" applyBorder="1" applyAlignment="1">
      <alignment horizontal="center" vertical="center" wrapText="1"/>
    </xf>
    <xf numFmtId="49" fontId="54" fillId="6" borderId="27" xfId="0" applyNumberFormat="1" applyFont="1" applyFill="1" applyBorder="1" applyAlignment="1">
      <alignment horizontal="center" vertical="center" wrapText="1"/>
    </xf>
    <xf numFmtId="49" fontId="53" fillId="6" borderId="29" xfId="0" applyNumberFormat="1" applyFont="1" applyFill="1" applyBorder="1" applyAlignment="1">
      <alignment horizontal="center" vertical="center" wrapText="1"/>
    </xf>
    <xf numFmtId="49" fontId="49" fillId="6" borderId="29" xfId="0" applyNumberFormat="1" applyFont="1" applyFill="1" applyBorder="1" applyAlignment="1">
      <alignment horizontal="center" vertical="center" wrapText="1"/>
    </xf>
    <xf numFmtId="49" fontId="48" fillId="6" borderId="0" xfId="0" applyNumberFormat="1" applyFont="1" applyFill="1" applyAlignment="1">
      <alignment horizontal="center" vertical="center"/>
    </xf>
    <xf numFmtId="49" fontId="48" fillId="6" borderId="29" xfId="0" applyNumberFormat="1" applyFont="1" applyFill="1" applyBorder="1" applyAlignment="1">
      <alignment horizontal="center" vertical="center"/>
    </xf>
    <xf numFmtId="49" fontId="48" fillId="6" borderId="0" xfId="0" applyNumberFormat="1" applyFont="1" applyFill="1" applyAlignment="1">
      <alignment horizontal="center" vertical="center" wrapText="1"/>
    </xf>
    <xf numFmtId="49" fontId="48" fillId="6" borderId="0" xfId="0" applyNumberFormat="1" applyFont="1" applyFill="1" applyAlignment="1">
      <alignment horizontal="center" wrapText="1"/>
    </xf>
    <xf numFmtId="49" fontId="48" fillId="6" borderId="26" xfId="0" applyNumberFormat="1" applyFont="1" applyFill="1" applyBorder="1" applyAlignment="1">
      <alignment horizontal="center" wrapText="1"/>
    </xf>
    <xf numFmtId="49" fontId="49" fillId="6" borderId="27" xfId="0" applyNumberFormat="1" applyFont="1" applyFill="1" applyBorder="1" applyAlignment="1">
      <alignment horizontal="center" vertical="center" wrapText="1"/>
    </xf>
    <xf numFmtId="49" fontId="50" fillId="6" borderId="27" xfId="0" applyNumberFormat="1" applyFont="1" applyFill="1" applyBorder="1" applyAlignment="1">
      <alignment horizontal="center" vertical="center" wrapText="1"/>
    </xf>
    <xf numFmtId="49" fontId="51" fillId="6" borderId="27" xfId="0" applyNumberFormat="1" applyFont="1" applyFill="1" applyBorder="1" applyAlignment="1">
      <alignment horizontal="center" vertical="center" wrapText="1"/>
    </xf>
    <xf numFmtId="49" fontId="52" fillId="6" borderId="27" xfId="0" applyNumberFormat="1" applyFont="1" applyFill="1" applyBorder="1" applyAlignment="1">
      <alignment horizontal="center" vertical="center" wrapText="1"/>
    </xf>
    <xf numFmtId="0" fontId="28" fillId="21" borderId="0" xfId="0" applyFont="1" applyFill="1" applyAlignment="1">
      <alignment horizontal="center"/>
    </xf>
    <xf numFmtId="0" fontId="34" fillId="21" borderId="0" xfId="0" applyFont="1" applyFill="1" applyAlignment="1">
      <alignment horizontal="center"/>
    </xf>
  </cellXfs>
  <cellStyles count="6">
    <cellStyle name="Lien hypertexte" xfId="5" builtinId="8"/>
    <cellStyle name="Normal" xfId="0" builtinId="0"/>
    <cellStyle name="Normal 4" xfId="3"/>
    <cellStyle name="Normal_FCP DOUBL'O" xfId="4"/>
    <cellStyle name="Pourcentage" xfId="1" builtinId="5"/>
    <cellStyle name="Texte explicatif" xfId="2" builtinId="53"/>
  </cellStyles>
  <dxfs count="6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</dxf>
    <dxf>
      <border outline="0">
        <top style="thin">
          <color auto="1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</dxf>
    <dxf>
      <border outline="0"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fill>
        <patternFill patternType="solid">
          <fgColor indexed="64"/>
          <bgColor theme="0" tint="-0.14999847407452621"/>
        </patternFill>
      </fill>
      <alignment horizontal="center" vertical="center" textRotation="0" wrapText="0" indent="0" justifyLastLine="0" shrinkToFit="0" readingOrder="0"/>
    </dxf>
    <dxf>
      <font>
        <color theme="0"/>
      </font>
    </dxf>
  </dxfs>
  <tableStyles count="0" defaultTableStyle="TableStyleMedium2" defaultPivotStyle="PivotStyleLight16"/>
  <colors>
    <mruColors>
      <color rgb="FFFF9966"/>
      <color rgb="FF74B349"/>
      <color rgb="FF4B7430"/>
      <color rgb="FF669900"/>
      <color rgb="FF009900"/>
      <color rgb="FF00CC00"/>
      <color rgb="FFF4B184"/>
      <color rgb="FFEE864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4037069044392215"/>
          <c:y val="0.15321842722081294"/>
          <c:w val="0.40965338258762118"/>
          <c:h val="0.87907456562436448"/>
        </c:manualLayout>
      </c:layout>
      <c:doughnutChart>
        <c:varyColors val="0"/>
        <c:ser>
          <c:idx val="0"/>
          <c:order val="0"/>
          <c:spPr>
            <a:solidFill>
              <a:schemeClr val="accent1"/>
            </a:solidFill>
            <a:ln w="19050">
              <a:noFill/>
            </a:ln>
            <a:effectLst/>
          </c:spPr>
          <c:dPt>
            <c:idx val="0"/>
            <c:bubble3D val="0"/>
            <c:spPr>
              <a:gradFill flip="none" rotWithShape="1">
                <a:gsLst>
                  <a:gs pos="0">
                    <a:srgbClr val="C00000"/>
                  </a:gs>
                  <a:gs pos="77000">
                    <a:srgbClr val="EE8640"/>
                  </a:gs>
                  <a:gs pos="97000">
                    <a:schemeClr val="accent2">
                      <a:lumMod val="40000"/>
                      <a:lumOff val="60000"/>
                    </a:schemeClr>
                  </a:gs>
                </a:gsLst>
                <a:lin ang="18900000" scaled="0"/>
                <a:tileRect/>
              </a:gra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5811-4467-B2F6-D088596AAE1F}"/>
              </c:ext>
            </c:extLst>
          </c:dPt>
          <c:dPt>
            <c:idx val="1"/>
            <c:bubble3D val="0"/>
            <c:spPr>
              <a:gradFill>
                <a:gsLst>
                  <a:gs pos="0">
                    <a:schemeClr val="bg1"/>
                  </a:gs>
                  <a:gs pos="17000">
                    <a:schemeClr val="accent2">
                      <a:lumMod val="0"/>
                      <a:lumOff val="100000"/>
                    </a:schemeClr>
                  </a:gs>
                  <a:gs pos="100000">
                    <a:srgbClr val="F4B184"/>
                  </a:gs>
                </a:gsLst>
                <a:path path="circle">
                  <a:fillToRect l="100000" t="100000"/>
                </a:path>
              </a:gra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5811-4467-B2F6-D088596AAE1F}"/>
              </c:ext>
            </c:extLst>
          </c:dPt>
          <c:dPt>
            <c:idx val="2"/>
            <c:bubble3D val="0"/>
            <c:spPr>
              <a:gradFill>
                <a:gsLst>
                  <a:gs pos="50000">
                    <a:srgbClr val="74B349"/>
                  </a:gs>
                  <a:gs pos="0">
                    <a:srgbClr val="4B7430"/>
                  </a:gs>
                  <a:gs pos="100000">
                    <a:schemeClr val="accent6">
                      <a:lumMod val="60000"/>
                      <a:lumOff val="40000"/>
                    </a:schemeClr>
                  </a:gs>
                </a:gsLst>
                <a:path path="circle">
                  <a:fillToRect l="100000" t="100000"/>
                </a:path>
              </a:gra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5811-4467-B2F6-D088596AAE1F}"/>
              </c:ext>
            </c:extLst>
          </c:dPt>
          <c:dPt>
            <c:idx val="3"/>
            <c:bubble3D val="0"/>
            <c:spPr>
              <a:noFill/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7-5811-4467-B2F6-D088596AAE1F}"/>
              </c:ext>
            </c:extLst>
          </c:dPt>
          <c:dLbls>
            <c:dLbl>
              <c:idx val="0"/>
              <c:layout>
                <c:manualLayout>
                  <c:x val="-0.15748031496062992"/>
                  <c:y val="-5.9405909718609332E-2"/>
                </c:manualLayout>
              </c:layout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5811-4467-B2F6-D088596AAE1F}"/>
                </c:ext>
              </c:extLst>
            </c:dLbl>
            <c:dLbl>
              <c:idx val="1"/>
              <c:layout>
                <c:manualLayout>
                  <c:x val="0.16535433070866132"/>
                  <c:y val="-9.2409192895614542E-2"/>
                </c:manualLayout>
              </c:layout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36401554136441605"/>
                      <c:h val="0.16481839618596389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3-5811-4467-B2F6-D088596AAE1F}"/>
                </c:ext>
              </c:extLst>
            </c:dLbl>
            <c:dLbl>
              <c:idx val="2"/>
              <c:layout>
                <c:manualLayout>
                  <c:x val="0.22309711286089234"/>
                  <c:y val="6.6006566354010364E-3"/>
                </c:manualLayout>
              </c:layout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34595779858226378"/>
                      <c:h val="0.16481839618596389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5-5811-4467-B2F6-D088596AAE1F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fr-FR"/>
              </a:p>
            </c:txPr>
            <c:showLegendKey val="0"/>
            <c:showVal val="0"/>
            <c:showCatName val="1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/>
            </c:extLst>
          </c:dLbls>
          <c:cat>
            <c:strRef>
              <c:f>'Fiche Agence'!$X$7:$X$9</c:f>
              <c:strCache>
                <c:ptCount val="3"/>
                <c:pt idx="0">
                  <c:v>0 - 79%</c:v>
                </c:pt>
                <c:pt idx="1">
                  <c:v>80% - 100%</c:v>
                </c:pt>
                <c:pt idx="2">
                  <c:v>101% - 120%</c:v>
                </c:pt>
              </c:strCache>
            </c:strRef>
          </c:cat>
          <c:val>
            <c:numRef>
              <c:f>'Fiche Agence'!$Z$7:$Z$10</c:f>
              <c:numCache>
                <c:formatCode>0</c:formatCode>
                <c:ptCount val="4"/>
                <c:pt idx="0">
                  <c:v>80</c:v>
                </c:pt>
                <c:pt idx="1">
                  <c:v>20</c:v>
                </c:pt>
                <c:pt idx="2">
                  <c:v>20</c:v>
                </c:pt>
                <c:pt idx="3">
                  <c:v>120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5811-4467-B2F6-D088596AAE1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firstSliceAng val="270"/>
        <c:holeSize val="60"/>
      </c:doughnutChart>
      <c:pieChart>
        <c:varyColors val="1"/>
        <c:ser>
          <c:idx val="1"/>
          <c:order val="1"/>
          <c:spPr>
            <a:noFill/>
            <a:ln>
              <a:solidFill>
                <a:schemeClr val="tx1">
                  <a:lumMod val="65000"/>
                  <a:lumOff val="35000"/>
                </a:schemeClr>
              </a:solidFill>
            </a:ln>
          </c:spPr>
          <c:dPt>
            <c:idx val="0"/>
            <c:bubble3D val="0"/>
            <c:spPr>
              <a:noFill/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D-E0DE-4606-B9B9-156D8A3705F5}"/>
              </c:ext>
            </c:extLst>
          </c:dPt>
          <c:dPt>
            <c:idx val="1"/>
            <c:bubble3D val="0"/>
            <c:spPr>
              <a:noFill/>
              <a:ln w="19050">
                <a:solidFill>
                  <a:schemeClr val="tx1">
                    <a:lumMod val="65000"/>
                    <a:lumOff val="3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8-E0DE-4606-B9B9-156D8A3705F5}"/>
              </c:ext>
            </c:extLst>
          </c:dPt>
          <c:dPt>
            <c:idx val="2"/>
            <c:bubble3D val="0"/>
            <c:explosion val="2"/>
            <c:spPr>
              <a:noFill/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E-E0DE-4606-B9B9-156D8A3705F5}"/>
              </c:ext>
            </c:extLst>
          </c:dPt>
          <c:val>
            <c:numRef>
              <c:f>'Fiche Agence'!$Z$12:$Z$14</c:f>
              <c:numCache>
                <c:formatCode>0</c:formatCode>
                <c:ptCount val="3"/>
                <c:pt idx="0" formatCode="0.0">
                  <c:v>94.3</c:v>
                </c:pt>
                <c:pt idx="1">
                  <c:v>1</c:v>
                </c:pt>
                <c:pt idx="2">
                  <c:v>144.69999999999999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E0DE-4606-B9B9-156D8A3705F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270"/>
      </c:pieChart>
      <c:spPr>
        <a:noFill/>
        <a:ln>
          <a:noFill/>
        </a:ln>
        <a:effectLst/>
      </c:spPr>
    </c:plotArea>
    <c:plotVisOnly val="0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1"/>
          <c:order val="0"/>
          <c:spPr>
            <a:solidFill>
              <a:schemeClr val="tx1">
                <a:lumMod val="50000"/>
                <a:lumOff val="50000"/>
              </a:schemeClr>
            </a:soli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dPt>
            <c:idx val="0"/>
            <c:invertIfNegative val="0"/>
            <c:bubble3D val="0"/>
            <c:spPr>
              <a:gradFill flip="none" rotWithShape="1">
                <a:gsLst>
                  <a:gs pos="0">
                    <a:schemeClr val="accent6">
                      <a:lumMod val="5000"/>
                      <a:lumOff val="95000"/>
                    </a:schemeClr>
                  </a:gs>
                  <a:gs pos="74000">
                    <a:schemeClr val="accent6">
                      <a:lumMod val="45000"/>
                      <a:lumOff val="55000"/>
                    </a:schemeClr>
                  </a:gs>
                  <a:gs pos="83000">
                    <a:schemeClr val="accent6">
                      <a:lumMod val="45000"/>
                      <a:lumOff val="55000"/>
                    </a:schemeClr>
                  </a:gs>
                  <a:gs pos="100000">
                    <a:schemeClr val="accent6">
                      <a:lumMod val="30000"/>
                      <a:lumOff val="70000"/>
                    </a:schemeClr>
                  </a:gs>
                </a:gsLst>
                <a:lin ang="5400000" scaled="1"/>
                <a:tileRect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1-1CF7-4EDA-B190-10D6C3959F6A}"/>
              </c:ext>
            </c:extLst>
          </c:dPt>
          <c:dPt>
            <c:idx val="1"/>
            <c:invertIfNegative val="0"/>
            <c:bubble3D val="0"/>
            <c:spPr>
              <a:gradFill flip="none" rotWithShape="1">
                <a:gsLst>
                  <a:gs pos="0">
                    <a:schemeClr val="accent6">
                      <a:lumMod val="0"/>
                      <a:lumOff val="100000"/>
                    </a:schemeClr>
                  </a:gs>
                  <a:gs pos="35000">
                    <a:schemeClr val="accent6">
                      <a:lumMod val="0"/>
                      <a:lumOff val="100000"/>
                    </a:schemeClr>
                  </a:gs>
                  <a:gs pos="100000">
                    <a:schemeClr val="accent6">
                      <a:lumMod val="100000"/>
                    </a:schemeClr>
                  </a:gs>
                </a:gsLst>
                <a:path path="circle">
                  <a:fillToRect l="50000" t="-80000" r="50000" b="180000"/>
                </a:path>
                <a:tileRect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3-1CF7-4EDA-B190-10D6C3959F6A}"/>
              </c:ext>
            </c:extLst>
          </c:dPt>
          <c:dPt>
            <c:idx val="2"/>
            <c:invertIfNegative val="0"/>
            <c:bubble3D val="0"/>
            <c:spPr>
              <a:gradFill flip="none" rotWithShape="1">
                <a:gsLst>
                  <a:gs pos="0">
                    <a:schemeClr val="accent6">
                      <a:lumMod val="67000"/>
                    </a:schemeClr>
                  </a:gs>
                  <a:gs pos="48000">
                    <a:schemeClr val="accent6">
                      <a:lumMod val="97000"/>
                      <a:lumOff val="3000"/>
                    </a:schemeClr>
                  </a:gs>
                  <a:gs pos="100000">
                    <a:schemeClr val="accent6">
                      <a:lumMod val="60000"/>
                      <a:lumOff val="40000"/>
                    </a:schemeClr>
                  </a:gs>
                </a:gsLst>
                <a:lin ang="16200000" scaled="1"/>
                <a:tileRect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5-1CF7-4EDA-B190-10D6C3959F6A}"/>
              </c:ext>
            </c:extLst>
          </c:dPt>
          <c:dLbls>
            <c:numFmt formatCode="#,##0\ \K&quot;€&quot;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fr-F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trendline>
            <c:spPr>
              <a:ln w="19050" cap="rnd">
                <a:solidFill>
                  <a:schemeClr val="accent2"/>
                </a:solidFill>
                <a:tailEnd type="stealth" w="lg" len="lg"/>
              </a:ln>
              <a:effectLst/>
            </c:spPr>
            <c:trendlineType val="poly"/>
            <c:order val="2"/>
            <c:dispRSqr val="0"/>
            <c:dispEq val="0"/>
          </c:trendline>
          <c:cat>
            <c:strRef>
              <c:f>'Fiche Agence'!$X$24:$X$26</c:f>
              <c:strCache>
                <c:ptCount val="3"/>
                <c:pt idx="0">
                  <c:v>TOP 100</c:v>
                </c:pt>
                <c:pt idx="1">
                  <c:v>TOP 50</c:v>
                </c:pt>
                <c:pt idx="2">
                  <c:v>TOP 30</c:v>
                </c:pt>
              </c:strCache>
            </c:strRef>
          </c:cat>
          <c:val>
            <c:numRef>
              <c:f>'Fiche Agence'!$Z$24:$Z$26</c:f>
              <c:numCache>
                <c:formatCode>#,##0</c:formatCode>
                <c:ptCount val="3"/>
                <c:pt idx="0">
                  <c:v>56.121237691174031</c:v>
                </c:pt>
                <c:pt idx="1">
                  <c:v>76.926422465778856</c:v>
                </c:pt>
                <c:pt idx="2">
                  <c:v>90.074206501028016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1CF7-4EDA-B190-10D6C3959F6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-24"/>
        <c:axId val="608023080"/>
        <c:axId val="608028000"/>
        <c:extLst/>
      </c:barChart>
      <c:catAx>
        <c:axId val="60802308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rgbClr val="C00000"/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608028000"/>
        <c:crosses val="autoZero"/>
        <c:auto val="1"/>
        <c:lblAlgn val="ctr"/>
        <c:lblOffset val="100"/>
        <c:noMultiLvlLbl val="0"/>
      </c:catAx>
      <c:valAx>
        <c:axId val="608028000"/>
        <c:scaling>
          <c:orientation val="minMax"/>
        </c:scaling>
        <c:delete val="1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crossAx val="608023080"/>
        <c:crosses val="autoZero"/>
        <c:crossBetween val="between"/>
      </c:valAx>
      <c:spPr>
        <a:noFill/>
        <a:ln>
          <a:noFill/>
        </a:ln>
        <a:effectLst/>
      </c:spPr>
    </c:plotArea>
    <c:plotVisOnly val="0"/>
    <c:dispBlanksAs val="zero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8.4918695060430871E-2"/>
          <c:y val="8.1623209270339919E-2"/>
          <c:w val="0.83016260987913826"/>
          <c:h val="0.769587671331323"/>
        </c:manualLayout>
      </c:layout>
      <c:barChart>
        <c:barDir val="col"/>
        <c:grouping val="clustered"/>
        <c:varyColors val="0"/>
        <c:ser>
          <c:idx val="1"/>
          <c:order val="1"/>
          <c:spPr>
            <a:gradFill rotWithShape="1">
              <a:gsLst>
                <a:gs pos="0">
                  <a:schemeClr val="accent2">
                    <a:satMod val="103000"/>
                    <a:lumMod val="102000"/>
                    <a:tint val="94000"/>
                  </a:schemeClr>
                </a:gs>
                <a:gs pos="50000">
                  <a:schemeClr val="accent2">
                    <a:satMod val="110000"/>
                    <a:lumMod val="100000"/>
                    <a:shade val="100000"/>
                  </a:schemeClr>
                </a:gs>
                <a:gs pos="100000">
                  <a:schemeClr val="accent2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dPt>
            <c:idx val="0"/>
            <c:invertIfNegative val="0"/>
            <c:bubble3D val="0"/>
            <c:spPr>
              <a:gradFill flip="none" rotWithShape="1">
                <a:gsLst>
                  <a:gs pos="0">
                    <a:schemeClr val="accent6">
                      <a:lumMod val="5000"/>
                      <a:lumOff val="95000"/>
                    </a:schemeClr>
                  </a:gs>
                  <a:gs pos="74000">
                    <a:schemeClr val="accent6">
                      <a:lumMod val="45000"/>
                      <a:lumOff val="55000"/>
                    </a:schemeClr>
                  </a:gs>
                  <a:gs pos="83000">
                    <a:schemeClr val="accent6">
                      <a:lumMod val="45000"/>
                      <a:lumOff val="55000"/>
                    </a:schemeClr>
                  </a:gs>
                  <a:gs pos="100000">
                    <a:schemeClr val="accent6">
                      <a:lumMod val="30000"/>
                      <a:lumOff val="70000"/>
                    </a:schemeClr>
                  </a:gs>
                </a:gsLst>
                <a:lin ang="5400000" scaled="1"/>
                <a:tileRect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1-07D0-42A8-B981-51E9171B0782}"/>
              </c:ext>
            </c:extLst>
          </c:dPt>
          <c:dPt>
            <c:idx val="1"/>
            <c:invertIfNegative val="0"/>
            <c:bubble3D val="0"/>
            <c:spPr>
              <a:gradFill flip="none" rotWithShape="1">
                <a:gsLst>
                  <a:gs pos="0">
                    <a:schemeClr val="accent6">
                      <a:lumMod val="0"/>
                      <a:lumOff val="100000"/>
                    </a:schemeClr>
                  </a:gs>
                  <a:gs pos="35000">
                    <a:schemeClr val="accent6">
                      <a:lumMod val="0"/>
                      <a:lumOff val="100000"/>
                    </a:schemeClr>
                  </a:gs>
                  <a:gs pos="100000">
                    <a:schemeClr val="accent6">
                      <a:lumMod val="100000"/>
                    </a:schemeClr>
                  </a:gs>
                </a:gsLst>
                <a:path path="circle">
                  <a:fillToRect l="50000" t="-80000" r="50000" b="180000"/>
                </a:path>
                <a:tileRect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3-07D0-42A8-B981-51E9171B0782}"/>
              </c:ext>
            </c:extLst>
          </c:dPt>
          <c:dPt>
            <c:idx val="2"/>
            <c:invertIfNegative val="0"/>
            <c:bubble3D val="0"/>
            <c:spPr>
              <a:gradFill flip="none" rotWithShape="1">
                <a:gsLst>
                  <a:gs pos="0">
                    <a:schemeClr val="accent6">
                      <a:lumMod val="67000"/>
                    </a:schemeClr>
                  </a:gs>
                  <a:gs pos="48000">
                    <a:schemeClr val="accent6">
                      <a:lumMod val="97000"/>
                      <a:lumOff val="3000"/>
                    </a:schemeClr>
                  </a:gs>
                  <a:gs pos="100000">
                    <a:schemeClr val="accent6">
                      <a:lumMod val="60000"/>
                      <a:lumOff val="40000"/>
                    </a:schemeClr>
                  </a:gs>
                </a:gsLst>
                <a:lin ang="16200000" scaled="1"/>
                <a:tileRect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5-07D0-42A8-B981-51E9171B0782}"/>
              </c:ext>
            </c:extLst>
          </c:dPt>
          <c:dLbls>
            <c:dLbl>
              <c:idx val="2"/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07D0-42A8-B981-51E9171B0782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fr-FR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trendline>
            <c:spPr>
              <a:ln w="19050" cap="rnd">
                <a:solidFill>
                  <a:schemeClr val="accent2"/>
                </a:solidFill>
                <a:tailEnd type="stealth" w="lg" len="lg"/>
              </a:ln>
              <a:effectLst/>
            </c:spPr>
            <c:trendlineType val="poly"/>
            <c:order val="2"/>
            <c:dispRSqr val="0"/>
            <c:dispEq val="0"/>
          </c:trendline>
          <c:cat>
            <c:strRef>
              <c:f>'Fiche Agence'!$X$34:$X$36</c:f>
              <c:strCache>
                <c:ptCount val="3"/>
                <c:pt idx="0">
                  <c:v>TOP 100</c:v>
                </c:pt>
                <c:pt idx="1">
                  <c:v>TOP 50</c:v>
                </c:pt>
                <c:pt idx="2">
                  <c:v>TOP 30</c:v>
                </c:pt>
              </c:strCache>
            </c:strRef>
          </c:cat>
          <c:val>
            <c:numRef>
              <c:f>'Fiche Agence'!$Z$34:$Z$36</c:f>
              <c:numCache>
                <c:formatCode>#\ ##0.0</c:formatCode>
                <c:ptCount val="3"/>
                <c:pt idx="0">
                  <c:v>0.65104654425894215</c:v>
                </c:pt>
                <c:pt idx="1">
                  <c:v>1.5306476984236379</c:v>
                </c:pt>
                <c:pt idx="2">
                  <c:v>2.0950085640536429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07D0-42A8-B981-51E9171B078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-24"/>
        <c:axId val="608023080"/>
        <c:axId val="608028000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spPr>
                  <a:gradFill rotWithShape="1">
                    <a:gsLst>
                      <a:gs pos="0">
                        <a:schemeClr val="accent1">
                          <a:satMod val="103000"/>
                          <a:lumMod val="102000"/>
                          <a:tint val="94000"/>
                        </a:schemeClr>
                      </a:gs>
                      <a:gs pos="50000">
                        <a:schemeClr val="accent1">
                          <a:satMod val="110000"/>
                          <a:lumMod val="100000"/>
                          <a:shade val="100000"/>
                        </a:schemeClr>
                      </a:gs>
                      <a:gs pos="100000">
                        <a:schemeClr val="accent1">
                          <a:lumMod val="99000"/>
                          <a:satMod val="120000"/>
                          <a:shade val="78000"/>
                        </a:schemeClr>
                      </a:gs>
                    </a:gsLst>
                    <a:lin ang="5400000" scaled="0"/>
                  </a:gradFill>
                  <a:ln>
                    <a:noFill/>
                  </a:ln>
                  <a:effectLst>
                    <a:outerShdw blurRad="57150" dist="19050" dir="5400000" algn="ctr" rotWithShape="0">
                      <a:srgbClr val="000000">
                        <a:alpha val="63000"/>
                      </a:srgbClr>
                    </a:outerShdw>
                  </a:effectLst>
                </c:spPr>
                <c:invertIfNegative val="0"/>
                <c:dLbls>
                  <c:dLbl>
                    <c:idx val="1"/>
                    <c:tx>
                      <c:rich>
                        <a:bodyPr/>
                        <a:lstStyle/>
                        <a:p>
                          <a:fld id="{CCE86B7C-49E7-4B24-A2DC-CEF9F58AFA53}" type="SERIESNAME">
                            <a:rPr lang="en-US"/>
                            <a:pPr/>
                            <a:t>[NOM DE SÉRIE]</a:t>
                          </a:fld>
                          <a:r>
                            <a:rPr lang="en-US" baseline="0"/>
                            <a:t> </a:t>
                          </a:r>
                          <a:fld id="{E3F52103-1EB4-4540-9179-13955960E5F2}" type="VALUE">
                            <a:rPr lang="en-US" baseline="0"/>
                            <a:pPr/>
                            <a:t>[VALEUR]</a:t>
                          </a:fld>
                          <a:endParaRPr lang="en-US" baseline="0"/>
                        </a:p>
                      </c:rich>
                    </c:tx>
                    <c:dLblPos val="outEnd"/>
                    <c:showLegendKey val="0"/>
                    <c:showVal val="1"/>
                    <c:showCatName val="0"/>
                    <c:showSerName val="1"/>
                    <c:showPercent val="0"/>
                    <c:showBubbleSize val="0"/>
                    <c:extLst>
                      <c:ext uri="{CE6537A1-D6FC-4f65-9D91-7224C49458BB}">
                        <c15:dlblFieldTable/>
                        <c15:showDataLabelsRange val="0"/>
                      </c:ext>
                      <c:ext xmlns:c16="http://schemas.microsoft.com/office/drawing/2014/chart" uri="{C3380CC4-5D6E-409C-BE32-E72D297353CC}">
                        <c16:uniqueId val="{00000007-07D0-42A8-B981-51E9171B0782}"/>
                      </c:ext>
                    </c:extLst>
                  </c:dLbl>
                  <c:spPr>
                    <a:noFill/>
                    <a:ln>
                      <a:noFill/>
                    </a:ln>
                    <a:effectLst/>
                  </c:spPr>
                  <c:txPr>
                    <a:bodyPr rot="0" spcFirstLastPara="1" vertOverflow="ellipsis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sz="900" b="0" i="0" u="none" strike="noStrike" kern="1200" baseline="0">
                          <a:solidFill>
                            <a:schemeClr val="tx1">
                              <a:lumMod val="75000"/>
                              <a:lumOff val="25000"/>
                            </a:schemeClr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endParaRPr lang="fr-FR"/>
                    </a:p>
                  </c:txPr>
                  <c:dLblPos val="outEnd"/>
                  <c:showLegendKey val="0"/>
                  <c:showVal val="1"/>
                  <c:showCatName val="0"/>
                  <c:showSerName val="1"/>
                  <c:showPercent val="0"/>
                  <c:showBubbleSize val="0"/>
                  <c:showLeaderLines val="0"/>
                  <c:extLst>
                    <c:ext uri="{CE6537A1-D6FC-4f65-9D91-7224C49458BB}">
                      <c15:showLeaderLines val="1"/>
                      <c15:leaderLines>
                        <c:spPr>
                          <a:ln w="9525" cap="flat" cmpd="sng" algn="ctr">
                            <a:solidFill>
                              <a:schemeClr val="tx1">
                                <a:lumMod val="35000"/>
                                <a:lumOff val="65000"/>
                              </a:schemeClr>
                            </a:solidFill>
                            <a:round/>
                          </a:ln>
                          <a:effectLst/>
                        </c:spPr>
                      </c15:leaderLines>
                    </c:ext>
                  </c:extLst>
                </c:dLbls>
                <c:trendline>
                  <c:spPr>
                    <a:ln w="19050" cap="rnd">
                      <a:solidFill>
                        <a:schemeClr val="accent1"/>
                      </a:solidFill>
                    </a:ln>
                    <a:effectLst/>
                  </c:spPr>
                  <c:trendlineType val="linear"/>
                  <c:dispRSqr val="0"/>
                  <c:dispEq val="0"/>
                </c:trendline>
                <c:trendline>
                  <c:spPr>
                    <a:ln w="19050" cap="rnd">
                      <a:solidFill>
                        <a:schemeClr val="accent1"/>
                      </a:solidFill>
                    </a:ln>
                    <a:effectLst/>
                  </c:spPr>
                  <c:trendlineType val="linear"/>
                  <c:dispRSqr val="0"/>
                  <c:dispEq val="0"/>
                </c:trendline>
                <c:cat>
                  <c:strRef>
                    <c:extLst>
                      <c:ext uri="{02D57815-91ED-43cb-92C2-25804820EDAC}">
                        <c15:formulaRef>
                          <c15:sqref>'Fiche Agence'!$X$34:$X$36</c15:sqref>
                        </c15:formulaRef>
                      </c:ext>
                    </c:extLst>
                    <c:strCache>
                      <c:ptCount val="3"/>
                      <c:pt idx="0">
                        <c:v>TOP 100</c:v>
                      </c:pt>
                      <c:pt idx="1">
                        <c:v>TOP 50</c:v>
                      </c:pt>
                      <c:pt idx="2">
                        <c:v>TOP 30</c:v>
                      </c:pt>
                    </c:strCache>
                  </c:strRef>
                </c:cat>
                <c:val>
                  <c:numLit>
                    <c:formatCode>General</c:formatCode>
                    <c:ptCount val="3"/>
                  </c:numLit>
                </c:val>
                <c:extLst>
                  <c:ext xmlns:c16="http://schemas.microsoft.com/office/drawing/2014/chart" uri="{C3380CC4-5D6E-409C-BE32-E72D297353CC}">
                    <c16:uniqueId val="{00000008-07D0-42A8-B981-51E9171B0782}"/>
                  </c:ext>
                </c:extLst>
              </c15:ser>
            </c15:filteredBarSeries>
          </c:ext>
        </c:extLst>
      </c:barChart>
      <c:catAx>
        <c:axId val="60802308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rgbClr val="C00000"/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608028000"/>
        <c:crosses val="autoZero"/>
        <c:auto val="1"/>
        <c:lblAlgn val="ctr"/>
        <c:lblOffset val="100"/>
        <c:noMultiLvlLbl val="0"/>
      </c:catAx>
      <c:valAx>
        <c:axId val="608028000"/>
        <c:scaling>
          <c:orientation val="minMax"/>
        </c:scaling>
        <c:delete val="1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numFmt formatCode="#\ ##0.0" sourceLinked="1"/>
        <c:majorTickMark val="none"/>
        <c:minorTickMark val="none"/>
        <c:tickLblPos val="nextTo"/>
        <c:crossAx val="608023080"/>
        <c:crosses val="autoZero"/>
        <c:crossBetween val="between"/>
      </c:valAx>
      <c:spPr>
        <a:noFill/>
        <a:ln>
          <a:noFill/>
        </a:ln>
        <a:effectLst/>
      </c:spPr>
    </c:plotArea>
    <c:plotVisOnly val="0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7.2667198276377756E-2"/>
          <c:y val="9.3541238003804941E-2"/>
          <c:w val="0.85466560344724452"/>
          <c:h val="0.75683696455577498"/>
        </c:manualLayout>
      </c:layout>
      <c:barChart>
        <c:barDir val="col"/>
        <c:grouping val="clustered"/>
        <c:varyColors val="0"/>
        <c:ser>
          <c:idx val="1"/>
          <c:order val="1"/>
          <c:spPr>
            <a:gradFill rotWithShape="1">
              <a:gsLst>
                <a:gs pos="0">
                  <a:schemeClr val="accent2">
                    <a:satMod val="103000"/>
                    <a:lumMod val="102000"/>
                    <a:tint val="94000"/>
                  </a:schemeClr>
                </a:gs>
                <a:gs pos="50000">
                  <a:schemeClr val="accent2">
                    <a:satMod val="110000"/>
                    <a:lumMod val="100000"/>
                    <a:shade val="100000"/>
                  </a:schemeClr>
                </a:gs>
                <a:gs pos="100000">
                  <a:schemeClr val="accent2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dPt>
            <c:idx val="0"/>
            <c:invertIfNegative val="0"/>
            <c:bubble3D val="0"/>
            <c:spPr>
              <a:gradFill flip="none" rotWithShape="1">
                <a:gsLst>
                  <a:gs pos="0">
                    <a:schemeClr val="accent6">
                      <a:lumMod val="5000"/>
                      <a:lumOff val="95000"/>
                    </a:schemeClr>
                  </a:gs>
                  <a:gs pos="74000">
                    <a:schemeClr val="accent6">
                      <a:lumMod val="45000"/>
                      <a:lumOff val="55000"/>
                    </a:schemeClr>
                  </a:gs>
                  <a:gs pos="83000">
                    <a:schemeClr val="accent6">
                      <a:lumMod val="45000"/>
                      <a:lumOff val="55000"/>
                    </a:schemeClr>
                  </a:gs>
                  <a:gs pos="100000">
                    <a:schemeClr val="accent6">
                      <a:lumMod val="30000"/>
                      <a:lumOff val="70000"/>
                    </a:schemeClr>
                  </a:gs>
                </a:gsLst>
                <a:lin ang="5400000" scaled="1"/>
                <a:tileRect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1-AACC-4870-BABF-CBC0315184E9}"/>
              </c:ext>
            </c:extLst>
          </c:dPt>
          <c:dPt>
            <c:idx val="1"/>
            <c:invertIfNegative val="0"/>
            <c:bubble3D val="0"/>
            <c:spPr>
              <a:gradFill flip="none" rotWithShape="1">
                <a:gsLst>
                  <a:gs pos="0">
                    <a:schemeClr val="accent6">
                      <a:lumMod val="0"/>
                      <a:lumOff val="100000"/>
                    </a:schemeClr>
                  </a:gs>
                  <a:gs pos="35000">
                    <a:schemeClr val="accent6">
                      <a:lumMod val="0"/>
                      <a:lumOff val="100000"/>
                    </a:schemeClr>
                  </a:gs>
                  <a:gs pos="100000">
                    <a:schemeClr val="accent6">
                      <a:lumMod val="100000"/>
                    </a:schemeClr>
                  </a:gs>
                </a:gsLst>
                <a:path path="circle">
                  <a:fillToRect l="50000" t="-80000" r="50000" b="180000"/>
                </a:path>
                <a:tileRect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3-AACC-4870-BABF-CBC0315184E9}"/>
              </c:ext>
            </c:extLst>
          </c:dPt>
          <c:dPt>
            <c:idx val="2"/>
            <c:invertIfNegative val="0"/>
            <c:bubble3D val="0"/>
            <c:spPr>
              <a:gradFill flip="none" rotWithShape="1">
                <a:gsLst>
                  <a:gs pos="0">
                    <a:schemeClr val="accent6">
                      <a:lumMod val="67000"/>
                    </a:schemeClr>
                  </a:gs>
                  <a:gs pos="48000">
                    <a:schemeClr val="accent6">
                      <a:lumMod val="97000"/>
                      <a:lumOff val="3000"/>
                    </a:schemeClr>
                  </a:gs>
                  <a:gs pos="100000">
                    <a:schemeClr val="accent6">
                      <a:lumMod val="60000"/>
                      <a:lumOff val="40000"/>
                    </a:schemeClr>
                  </a:gs>
                </a:gsLst>
                <a:lin ang="16200000" scaled="1"/>
                <a:tileRect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5-AACC-4870-BABF-CBC0315184E9}"/>
              </c:ext>
            </c:extLst>
          </c:dPt>
          <c:dLbls>
            <c:dLbl>
              <c:idx val="2"/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AACC-4870-BABF-CBC0315184E9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fr-FR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trendline>
            <c:spPr>
              <a:ln w="19050" cap="rnd">
                <a:solidFill>
                  <a:schemeClr val="accent2"/>
                </a:solidFill>
                <a:tailEnd type="stealth" w="lg" len="lg"/>
              </a:ln>
              <a:effectLst/>
            </c:spPr>
            <c:trendlineType val="poly"/>
            <c:order val="2"/>
            <c:dispRSqr val="0"/>
            <c:dispEq val="0"/>
          </c:trendline>
          <c:cat>
            <c:strRef>
              <c:f>'Fiche Agence'!$X$29:$X$31</c:f>
              <c:strCache>
                <c:ptCount val="3"/>
                <c:pt idx="0">
                  <c:v>TOP 100</c:v>
                </c:pt>
                <c:pt idx="1">
                  <c:v>TOP 50</c:v>
                </c:pt>
                <c:pt idx="2">
                  <c:v>TOP 30</c:v>
                </c:pt>
              </c:strCache>
            </c:strRef>
          </c:cat>
          <c:val>
            <c:numRef>
              <c:f>'Fiche Agence'!$Z$29:$Z$31</c:f>
              <c:numCache>
                <c:formatCode>#\ ##0.0</c:formatCode>
                <c:ptCount val="3"/>
                <c:pt idx="0">
                  <c:v>0.84910450967669415</c:v>
                </c:pt>
                <c:pt idx="1">
                  <c:v>1.2656209808813699</c:v>
                </c:pt>
                <c:pt idx="2">
                  <c:v>1.502308963259859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AACC-4870-BABF-CBC0315184E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-24"/>
        <c:axId val="608023080"/>
        <c:axId val="608028000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spPr>
                  <a:gradFill rotWithShape="1">
                    <a:gsLst>
                      <a:gs pos="0">
                        <a:schemeClr val="accent1">
                          <a:satMod val="103000"/>
                          <a:lumMod val="102000"/>
                          <a:tint val="94000"/>
                        </a:schemeClr>
                      </a:gs>
                      <a:gs pos="50000">
                        <a:schemeClr val="accent1">
                          <a:satMod val="110000"/>
                          <a:lumMod val="100000"/>
                          <a:shade val="100000"/>
                        </a:schemeClr>
                      </a:gs>
                      <a:gs pos="100000">
                        <a:schemeClr val="accent1">
                          <a:lumMod val="99000"/>
                          <a:satMod val="120000"/>
                          <a:shade val="78000"/>
                        </a:schemeClr>
                      </a:gs>
                    </a:gsLst>
                    <a:lin ang="5400000" scaled="0"/>
                  </a:gradFill>
                  <a:ln>
                    <a:noFill/>
                  </a:ln>
                  <a:effectLst>
                    <a:outerShdw blurRad="57150" dist="19050" dir="5400000" algn="ctr" rotWithShape="0">
                      <a:srgbClr val="000000">
                        <a:alpha val="63000"/>
                      </a:srgbClr>
                    </a:outerShdw>
                  </a:effectLst>
                </c:spPr>
                <c:invertIfNegative val="0"/>
                <c:dLbls>
                  <c:dLbl>
                    <c:idx val="1"/>
                    <c:tx>
                      <c:rich>
                        <a:bodyPr/>
                        <a:lstStyle/>
                        <a:p>
                          <a:fld id="{CCE86B7C-49E7-4B24-A2DC-CEF9F58AFA53}" type="SERIESNAME">
                            <a:rPr lang="en-US"/>
                            <a:pPr/>
                            <a:t>[NOM DE SÉRIE]</a:t>
                          </a:fld>
                          <a:r>
                            <a:rPr lang="en-US" baseline="0"/>
                            <a:t> </a:t>
                          </a:r>
                          <a:fld id="{E3F52103-1EB4-4540-9179-13955960E5F2}" type="VALUE">
                            <a:rPr lang="en-US" baseline="0"/>
                            <a:pPr/>
                            <a:t>[VALEUR]</a:t>
                          </a:fld>
                          <a:endParaRPr lang="en-US" baseline="0"/>
                        </a:p>
                      </c:rich>
                    </c:tx>
                    <c:dLblPos val="outEnd"/>
                    <c:showLegendKey val="0"/>
                    <c:showVal val="1"/>
                    <c:showCatName val="0"/>
                    <c:showSerName val="1"/>
                    <c:showPercent val="0"/>
                    <c:showBubbleSize val="0"/>
                    <c:extLst>
                      <c:ext uri="{CE6537A1-D6FC-4f65-9D91-7224C49458BB}">
                        <c15:dlblFieldTable/>
                        <c15:showDataLabelsRange val="0"/>
                      </c:ext>
                      <c:ext xmlns:c16="http://schemas.microsoft.com/office/drawing/2014/chart" uri="{C3380CC4-5D6E-409C-BE32-E72D297353CC}">
                        <c16:uniqueId val="{00000007-AACC-4870-BABF-CBC0315184E9}"/>
                      </c:ext>
                    </c:extLst>
                  </c:dLbl>
                  <c:spPr>
                    <a:noFill/>
                    <a:ln>
                      <a:noFill/>
                    </a:ln>
                    <a:effectLst/>
                  </c:spPr>
                  <c:txPr>
                    <a:bodyPr rot="0" spcFirstLastPara="1" vertOverflow="ellipsis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sz="900" b="0" i="0" u="none" strike="noStrike" kern="1200" baseline="0">
                          <a:solidFill>
                            <a:schemeClr val="tx1">
                              <a:lumMod val="75000"/>
                              <a:lumOff val="25000"/>
                            </a:schemeClr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endParaRPr lang="fr-FR"/>
                    </a:p>
                  </c:txPr>
                  <c:dLblPos val="outEnd"/>
                  <c:showLegendKey val="0"/>
                  <c:showVal val="1"/>
                  <c:showCatName val="0"/>
                  <c:showSerName val="1"/>
                  <c:showPercent val="0"/>
                  <c:showBubbleSize val="0"/>
                  <c:showLeaderLines val="0"/>
                  <c:extLst>
                    <c:ext uri="{CE6537A1-D6FC-4f65-9D91-7224C49458BB}">
                      <c15:showLeaderLines val="1"/>
                      <c15:leaderLines>
                        <c:spPr>
                          <a:ln w="9525" cap="flat" cmpd="sng" algn="ctr">
                            <a:solidFill>
                              <a:schemeClr val="tx1">
                                <a:lumMod val="35000"/>
                                <a:lumOff val="65000"/>
                              </a:schemeClr>
                            </a:solidFill>
                            <a:round/>
                          </a:ln>
                          <a:effectLst/>
                        </c:spPr>
                      </c15:leaderLines>
                    </c:ext>
                  </c:extLst>
                </c:dLbls>
                <c:trendline>
                  <c:spPr>
                    <a:ln w="19050" cap="rnd">
                      <a:solidFill>
                        <a:schemeClr val="accent1"/>
                      </a:solidFill>
                    </a:ln>
                    <a:effectLst/>
                  </c:spPr>
                  <c:trendlineType val="linear"/>
                  <c:dispRSqr val="0"/>
                  <c:dispEq val="0"/>
                </c:trendline>
                <c:trendline>
                  <c:spPr>
                    <a:ln w="19050" cap="rnd">
                      <a:solidFill>
                        <a:schemeClr val="accent1"/>
                      </a:solidFill>
                    </a:ln>
                    <a:effectLst/>
                  </c:spPr>
                  <c:trendlineType val="linear"/>
                  <c:dispRSqr val="0"/>
                  <c:dispEq val="0"/>
                </c:trendline>
                <c:cat>
                  <c:strRef>
                    <c:extLst>
                      <c:ext uri="{02D57815-91ED-43cb-92C2-25804820EDAC}">
                        <c15:formulaRef>
                          <c15:sqref>'Fiche Agence'!$X$29:$X$31</c15:sqref>
                        </c15:formulaRef>
                      </c:ext>
                    </c:extLst>
                    <c:strCache>
                      <c:ptCount val="3"/>
                      <c:pt idx="0">
                        <c:v>TOP 100</c:v>
                      </c:pt>
                      <c:pt idx="1">
                        <c:v>TOP 50</c:v>
                      </c:pt>
                      <c:pt idx="2">
                        <c:v>TOP 30</c:v>
                      </c:pt>
                    </c:strCache>
                  </c:strRef>
                </c:cat>
                <c:val>
                  <c:numLit>
                    <c:formatCode>General</c:formatCode>
                    <c:ptCount val="3"/>
                  </c:numLit>
                </c:val>
                <c:extLst>
                  <c:ext xmlns:c16="http://schemas.microsoft.com/office/drawing/2014/chart" uri="{C3380CC4-5D6E-409C-BE32-E72D297353CC}">
                    <c16:uniqueId val="{00000008-AACC-4870-BABF-CBC0315184E9}"/>
                  </c:ext>
                </c:extLst>
              </c15:ser>
            </c15:filteredBarSeries>
          </c:ext>
        </c:extLst>
      </c:barChart>
      <c:catAx>
        <c:axId val="60802308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rgbClr val="C00000"/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608028000"/>
        <c:crosses val="autoZero"/>
        <c:auto val="1"/>
        <c:lblAlgn val="ctr"/>
        <c:lblOffset val="100"/>
        <c:noMultiLvlLbl val="0"/>
      </c:catAx>
      <c:valAx>
        <c:axId val="608028000"/>
        <c:scaling>
          <c:orientation val="minMax"/>
        </c:scaling>
        <c:delete val="1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numFmt formatCode="#\ ##0.0" sourceLinked="1"/>
        <c:majorTickMark val="none"/>
        <c:minorTickMark val="none"/>
        <c:tickLblPos val="nextTo"/>
        <c:crossAx val="608023080"/>
        <c:crosses val="autoZero"/>
        <c:crossBetween val="between"/>
      </c:valAx>
      <c:spPr>
        <a:noFill/>
        <a:ln>
          <a:noFill/>
        </a:ln>
        <a:effectLst/>
      </c:spPr>
    </c:plotArea>
    <c:plotVisOnly val="0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4037069044392215"/>
          <c:y val="0.15321842722081294"/>
          <c:w val="0.40965338258762118"/>
          <c:h val="0.87907456562436448"/>
        </c:manualLayout>
      </c:layout>
      <c:doughnutChart>
        <c:varyColors val="0"/>
        <c:ser>
          <c:idx val="0"/>
          <c:order val="0"/>
          <c:spPr>
            <a:solidFill>
              <a:schemeClr val="accent1"/>
            </a:solidFill>
            <a:ln w="19050">
              <a:noFill/>
            </a:ln>
            <a:effectLst/>
          </c:spPr>
          <c:dPt>
            <c:idx val="0"/>
            <c:bubble3D val="0"/>
            <c:spPr>
              <a:gradFill flip="none" rotWithShape="1">
                <a:gsLst>
                  <a:gs pos="0">
                    <a:srgbClr val="C00000"/>
                  </a:gs>
                  <a:gs pos="77000">
                    <a:srgbClr val="EE8640"/>
                  </a:gs>
                  <a:gs pos="97000">
                    <a:schemeClr val="accent2">
                      <a:lumMod val="40000"/>
                      <a:lumOff val="60000"/>
                    </a:schemeClr>
                  </a:gs>
                </a:gsLst>
                <a:lin ang="18900000" scaled="0"/>
                <a:tileRect/>
              </a:gra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34AE-4249-B28A-89E1AF4C8F3F}"/>
              </c:ext>
            </c:extLst>
          </c:dPt>
          <c:dPt>
            <c:idx val="1"/>
            <c:bubble3D val="0"/>
            <c:spPr>
              <a:gradFill>
                <a:gsLst>
                  <a:gs pos="0">
                    <a:schemeClr val="bg1"/>
                  </a:gs>
                  <a:gs pos="17000">
                    <a:schemeClr val="accent2">
                      <a:lumMod val="0"/>
                      <a:lumOff val="100000"/>
                    </a:schemeClr>
                  </a:gs>
                  <a:gs pos="100000">
                    <a:srgbClr val="F4B184"/>
                  </a:gs>
                </a:gsLst>
                <a:path path="circle">
                  <a:fillToRect l="100000" t="100000"/>
                </a:path>
              </a:gra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34AE-4249-B28A-89E1AF4C8F3F}"/>
              </c:ext>
            </c:extLst>
          </c:dPt>
          <c:dPt>
            <c:idx val="2"/>
            <c:bubble3D val="0"/>
            <c:spPr>
              <a:gradFill>
                <a:gsLst>
                  <a:gs pos="50000">
                    <a:srgbClr val="74B349"/>
                  </a:gs>
                  <a:gs pos="0">
                    <a:srgbClr val="4B7430"/>
                  </a:gs>
                  <a:gs pos="100000">
                    <a:schemeClr val="accent6">
                      <a:lumMod val="60000"/>
                      <a:lumOff val="40000"/>
                    </a:schemeClr>
                  </a:gs>
                </a:gsLst>
                <a:path path="circle">
                  <a:fillToRect l="100000" t="100000"/>
                </a:path>
              </a:gra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34AE-4249-B28A-89E1AF4C8F3F}"/>
              </c:ext>
            </c:extLst>
          </c:dPt>
          <c:dPt>
            <c:idx val="3"/>
            <c:bubble3D val="0"/>
            <c:spPr>
              <a:noFill/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7-34AE-4249-B28A-89E1AF4C8F3F}"/>
              </c:ext>
            </c:extLst>
          </c:dPt>
          <c:dLbls>
            <c:dLbl>
              <c:idx val="0"/>
              <c:layout>
                <c:manualLayout>
                  <c:x val="-0.13648293963254596"/>
                  <c:y val="-5.9701461353880832E-2"/>
                </c:manualLayout>
              </c:layout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34AE-4249-B28A-89E1AF4C8F3F}"/>
                </c:ext>
              </c:extLst>
            </c:dLbl>
            <c:dLbl>
              <c:idx val="1"/>
              <c:layout>
                <c:manualLayout>
                  <c:x val="0.16010519354372035"/>
                  <c:y val="-8.6235444177827858E-2"/>
                </c:manualLayout>
              </c:layout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34826750986835309"/>
                      <c:h val="0.1656383877784893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3-34AE-4249-B28A-89E1AF4C8F3F}"/>
                </c:ext>
              </c:extLst>
            </c:dLbl>
            <c:dLbl>
              <c:idx val="2"/>
              <c:layout>
                <c:manualLayout>
                  <c:x val="0.1994752722838779"/>
                  <c:y val="0"/>
                </c:manualLayout>
              </c:layout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33020976708620081"/>
                      <c:h val="0.1656383877784893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5-34AE-4249-B28A-89E1AF4C8F3F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fr-FR"/>
              </a:p>
            </c:txPr>
            <c:showLegendKey val="0"/>
            <c:showVal val="0"/>
            <c:showCatName val="1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/>
            </c:extLst>
          </c:dLbls>
          <c:cat>
            <c:strRef>
              <c:f>'Fiche Agence'!$X$7:$X$9</c:f>
              <c:strCache>
                <c:ptCount val="3"/>
                <c:pt idx="0">
                  <c:v>0 - 79%</c:v>
                </c:pt>
                <c:pt idx="1">
                  <c:v>80% - 100%</c:v>
                </c:pt>
                <c:pt idx="2">
                  <c:v>101% - 120%</c:v>
                </c:pt>
              </c:strCache>
            </c:strRef>
          </c:cat>
          <c:val>
            <c:numRef>
              <c:f>'Fiche Agence'!$Z$7:$Z$10</c:f>
              <c:numCache>
                <c:formatCode>0</c:formatCode>
                <c:ptCount val="4"/>
                <c:pt idx="0">
                  <c:v>80</c:v>
                </c:pt>
                <c:pt idx="1">
                  <c:v>20</c:v>
                </c:pt>
                <c:pt idx="2">
                  <c:v>20</c:v>
                </c:pt>
                <c:pt idx="3">
                  <c:v>120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34AE-4249-B28A-89E1AF4C8F3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firstSliceAng val="270"/>
        <c:holeSize val="60"/>
      </c:doughnutChart>
      <c:pieChart>
        <c:varyColors val="1"/>
        <c:ser>
          <c:idx val="1"/>
          <c:order val="1"/>
          <c:spPr>
            <a:solidFill>
              <a:schemeClr val="tx1">
                <a:lumMod val="50000"/>
                <a:lumOff val="50000"/>
              </a:schemeClr>
            </a:solidFill>
            <a:ln>
              <a:solidFill>
                <a:schemeClr val="tx1">
                  <a:lumMod val="65000"/>
                  <a:lumOff val="35000"/>
                </a:schemeClr>
              </a:solidFill>
            </a:ln>
          </c:spPr>
          <c:dPt>
            <c:idx val="0"/>
            <c:bubble3D val="0"/>
            <c:spPr>
              <a:noFill/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14-34AE-4249-B28A-89E1AF4C8F3F}"/>
              </c:ext>
            </c:extLst>
          </c:dPt>
          <c:dPt>
            <c:idx val="1"/>
            <c:bubble3D val="0"/>
            <c:spPr>
              <a:solidFill>
                <a:schemeClr val="tx1">
                  <a:lumMod val="50000"/>
                  <a:lumOff val="50000"/>
                </a:schemeClr>
              </a:solidFill>
              <a:ln w="19050">
                <a:solidFill>
                  <a:schemeClr val="tx1">
                    <a:lumMod val="65000"/>
                    <a:lumOff val="3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B-FA5B-411E-BBFF-E1009C1236B5}"/>
              </c:ext>
            </c:extLst>
          </c:dPt>
          <c:dPt>
            <c:idx val="2"/>
            <c:bubble3D val="0"/>
            <c:spPr>
              <a:noFill/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15-34AE-4249-B28A-89E1AF4C8F3F}"/>
              </c:ext>
            </c:extLst>
          </c:dPt>
          <c:val>
            <c:numRef>
              <c:f>'Fiche Agence'!$Z$15:$Z$17</c:f>
              <c:numCache>
                <c:formatCode>0</c:formatCode>
                <c:ptCount val="3"/>
                <c:pt idx="0" formatCode="0.0">
                  <c:v>112.2</c:v>
                </c:pt>
                <c:pt idx="1">
                  <c:v>1</c:v>
                </c:pt>
                <c:pt idx="2">
                  <c:v>126.8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34AE-4249-B28A-89E1AF4C8F3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270"/>
      </c:pieChart>
      <c:spPr>
        <a:noFill/>
        <a:ln>
          <a:noFill/>
        </a:ln>
        <a:effectLst/>
      </c:spPr>
    </c:plotArea>
    <c:plotVisOnly val="0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4037069044392215"/>
          <c:y val="0.15321842722081294"/>
          <c:w val="0.40965338258762118"/>
          <c:h val="0.87907456562436448"/>
        </c:manualLayout>
      </c:layout>
      <c:doughnutChart>
        <c:varyColors val="0"/>
        <c:ser>
          <c:idx val="0"/>
          <c:order val="0"/>
          <c:spPr>
            <a:solidFill>
              <a:schemeClr val="accent1"/>
            </a:solidFill>
            <a:ln w="19050">
              <a:noFill/>
            </a:ln>
            <a:effectLst/>
          </c:spPr>
          <c:dPt>
            <c:idx val="0"/>
            <c:bubble3D val="0"/>
            <c:spPr>
              <a:gradFill flip="none" rotWithShape="1">
                <a:gsLst>
                  <a:gs pos="0">
                    <a:srgbClr val="C00000"/>
                  </a:gs>
                  <a:gs pos="77000">
                    <a:srgbClr val="EE8640"/>
                  </a:gs>
                  <a:gs pos="97000">
                    <a:schemeClr val="accent2">
                      <a:lumMod val="40000"/>
                      <a:lumOff val="60000"/>
                    </a:schemeClr>
                  </a:gs>
                </a:gsLst>
                <a:lin ang="18900000" scaled="0"/>
                <a:tileRect/>
              </a:gra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1BB4-4983-B96A-704EA41601B0}"/>
              </c:ext>
            </c:extLst>
          </c:dPt>
          <c:dPt>
            <c:idx val="1"/>
            <c:bubble3D val="0"/>
            <c:spPr>
              <a:gradFill>
                <a:gsLst>
                  <a:gs pos="0">
                    <a:schemeClr val="bg1"/>
                  </a:gs>
                  <a:gs pos="17000">
                    <a:schemeClr val="accent2">
                      <a:lumMod val="0"/>
                      <a:lumOff val="100000"/>
                    </a:schemeClr>
                  </a:gs>
                  <a:gs pos="100000">
                    <a:srgbClr val="F4B184"/>
                  </a:gs>
                </a:gsLst>
                <a:path path="circle">
                  <a:fillToRect l="100000" t="100000"/>
                </a:path>
              </a:gra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1BB4-4983-B96A-704EA41601B0}"/>
              </c:ext>
            </c:extLst>
          </c:dPt>
          <c:dPt>
            <c:idx val="2"/>
            <c:bubble3D val="0"/>
            <c:spPr>
              <a:gradFill>
                <a:gsLst>
                  <a:gs pos="50000">
                    <a:srgbClr val="74B349"/>
                  </a:gs>
                  <a:gs pos="0">
                    <a:srgbClr val="4B7430"/>
                  </a:gs>
                  <a:gs pos="100000">
                    <a:schemeClr val="accent6">
                      <a:lumMod val="60000"/>
                      <a:lumOff val="40000"/>
                    </a:schemeClr>
                  </a:gs>
                </a:gsLst>
                <a:path path="circle">
                  <a:fillToRect l="100000" t="100000"/>
                </a:path>
              </a:gra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1BB4-4983-B96A-704EA41601B0}"/>
              </c:ext>
            </c:extLst>
          </c:dPt>
          <c:dPt>
            <c:idx val="3"/>
            <c:bubble3D val="0"/>
            <c:spPr>
              <a:noFill/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7-1BB4-4983-B96A-704EA41601B0}"/>
              </c:ext>
            </c:extLst>
          </c:dPt>
          <c:dLbls>
            <c:dLbl>
              <c:idx val="0"/>
              <c:layout>
                <c:manualLayout>
                  <c:x val="-0.13648293963254596"/>
                  <c:y val="-5.9701461353880832E-2"/>
                </c:manualLayout>
              </c:layout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1BB4-4983-B96A-704EA41601B0}"/>
                </c:ext>
              </c:extLst>
            </c:dLbl>
            <c:dLbl>
              <c:idx val="1"/>
              <c:layout>
                <c:manualLayout>
                  <c:x val="0.16010519354372035"/>
                  <c:y val="-8.6235444177827858E-2"/>
                </c:manualLayout>
              </c:layout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34826750986835309"/>
                      <c:h val="0.1656383877784893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3-1BB4-4983-B96A-704EA41601B0}"/>
                </c:ext>
              </c:extLst>
            </c:dLbl>
            <c:dLbl>
              <c:idx val="2"/>
              <c:layout>
                <c:manualLayout>
                  <c:x val="0.1994752722838779"/>
                  <c:y val="0"/>
                </c:manualLayout>
              </c:layout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33020976708620081"/>
                      <c:h val="0.1656383877784893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5-1BB4-4983-B96A-704EA41601B0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fr-FR"/>
              </a:p>
            </c:txPr>
            <c:showLegendKey val="0"/>
            <c:showVal val="0"/>
            <c:showCatName val="1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/>
            </c:extLst>
          </c:dLbls>
          <c:cat>
            <c:strRef>
              <c:f>'Fiche Agence'!$X$7:$X$9</c:f>
              <c:strCache>
                <c:ptCount val="3"/>
                <c:pt idx="0">
                  <c:v>0 - 79%</c:v>
                </c:pt>
                <c:pt idx="1">
                  <c:v>80% - 100%</c:v>
                </c:pt>
                <c:pt idx="2">
                  <c:v>101% - 120%</c:v>
                </c:pt>
              </c:strCache>
            </c:strRef>
          </c:cat>
          <c:val>
            <c:numRef>
              <c:f>'Fiche Agence'!$Z$7:$Z$10</c:f>
              <c:numCache>
                <c:formatCode>0</c:formatCode>
                <c:ptCount val="4"/>
                <c:pt idx="0">
                  <c:v>80</c:v>
                </c:pt>
                <c:pt idx="1">
                  <c:v>20</c:v>
                </c:pt>
                <c:pt idx="2">
                  <c:v>20</c:v>
                </c:pt>
                <c:pt idx="3">
                  <c:v>120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1BB4-4983-B96A-704EA41601B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firstSliceAng val="270"/>
        <c:holeSize val="60"/>
      </c:doughnutChart>
      <c:pieChart>
        <c:varyColors val="0"/>
        <c:ser>
          <c:idx val="1"/>
          <c:order val="1"/>
          <c:spPr>
            <a:noFill/>
            <a:ln w="19050">
              <a:solidFill>
                <a:schemeClr val="tx1">
                  <a:lumMod val="65000"/>
                  <a:lumOff val="35000"/>
                </a:schemeClr>
              </a:solidFill>
            </a:ln>
            <a:effectLst/>
          </c:spPr>
          <c:dPt>
            <c:idx val="0"/>
            <c:bubble3D val="0"/>
            <c:spPr>
              <a:noFill/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A-1BB4-4983-B96A-704EA41601B0}"/>
              </c:ext>
            </c:extLst>
          </c:dPt>
          <c:dPt>
            <c:idx val="2"/>
            <c:bubble3D val="0"/>
            <c:spPr>
              <a:noFill/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E-1BB4-4983-B96A-704EA41601B0}"/>
              </c:ext>
            </c:extLst>
          </c:dPt>
          <c:val>
            <c:numRef>
              <c:f>'Fiche Agence'!$Z$18:$Z$20</c:f>
              <c:numCache>
                <c:formatCode>0</c:formatCode>
                <c:ptCount val="3"/>
                <c:pt idx="0" formatCode="0.0">
                  <c:v>120</c:v>
                </c:pt>
                <c:pt idx="1">
                  <c:v>1</c:v>
                </c:pt>
                <c:pt idx="2">
                  <c:v>119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F-1BB4-4983-B96A-704EA41601B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270"/>
      </c:pieChart>
      <c:spPr>
        <a:noFill/>
        <a:ln>
          <a:noFill/>
        </a:ln>
        <a:effectLst/>
      </c:spPr>
    </c:plotArea>
    <c:plotVisOnly val="0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3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lt1"/>
    </cs:fontRef>
  </cs:dataPoint>
  <cs:dataPoint3D>
    <cs:lnRef idx="0"/>
    <cs:fillRef idx="3">
      <cs:styleClr val="auto"/>
    </cs:fillRef>
    <cs:effectRef idx="3"/>
    <cs:fontRef idx="minor">
      <a:schemeClr val="lt1"/>
    </cs:fontRef>
  </cs:dataPoint3D>
  <cs:dataPointLine>
    <cs:lnRef idx="0">
      <cs:styleClr val="auto"/>
    </cs:lnRef>
    <cs:fillRef idx="3"/>
    <cs:effectRef idx="3"/>
    <cs:fontRef idx="minor">
      <a:schemeClr val="lt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lt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lt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charts/style3.xml><?xml version="1.0" encoding="utf-8"?>
<cs:chartStyle xmlns:cs="http://schemas.microsoft.com/office/drawing/2012/chartStyle" xmlns:a="http://schemas.openxmlformats.org/drawingml/2006/main" id="3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lt1"/>
    </cs:fontRef>
  </cs:dataPoint>
  <cs:dataPoint3D>
    <cs:lnRef idx="0"/>
    <cs:fillRef idx="3">
      <cs:styleClr val="auto"/>
    </cs:fillRef>
    <cs:effectRef idx="3"/>
    <cs:fontRef idx="minor">
      <a:schemeClr val="lt1"/>
    </cs:fontRef>
  </cs:dataPoint3D>
  <cs:dataPointLine>
    <cs:lnRef idx="0">
      <cs:styleClr val="auto"/>
    </cs:lnRef>
    <cs:fillRef idx="3"/>
    <cs:effectRef idx="3"/>
    <cs:fontRef idx="minor">
      <a:schemeClr val="lt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lt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lt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charts/style4.xml><?xml version="1.0" encoding="utf-8"?>
<cs:chartStyle xmlns:cs="http://schemas.microsoft.com/office/drawing/2012/chartStyle" xmlns:a="http://schemas.openxmlformats.org/drawingml/2006/main" id="3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lt1"/>
    </cs:fontRef>
  </cs:dataPoint>
  <cs:dataPoint3D>
    <cs:lnRef idx="0"/>
    <cs:fillRef idx="3">
      <cs:styleClr val="auto"/>
    </cs:fillRef>
    <cs:effectRef idx="3"/>
    <cs:fontRef idx="minor">
      <a:schemeClr val="lt1"/>
    </cs:fontRef>
  </cs:dataPoint3D>
  <cs:dataPointLine>
    <cs:lnRef idx="0">
      <cs:styleClr val="auto"/>
    </cs:lnRef>
    <cs:fillRef idx="3"/>
    <cs:effectRef idx="3"/>
    <cs:fontRef idx="minor">
      <a:schemeClr val="lt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lt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lt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charts/style5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hyperlink" Target="#'Fiche Agence'!A1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hyperlink" Target="#Lexique!A1"/><Relationship Id="rId3" Type="http://schemas.openxmlformats.org/officeDocument/2006/relationships/chart" Target="../charts/chart3.xml"/><Relationship Id="rId7" Type="http://schemas.openxmlformats.org/officeDocument/2006/relationships/chart" Target="../charts/chart6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5.xml"/><Relationship Id="rId5" Type="http://schemas.openxmlformats.org/officeDocument/2006/relationships/image" Target="../media/image1.png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9524</xdr:colOff>
      <xdr:row>3</xdr:row>
      <xdr:rowOff>0</xdr:rowOff>
    </xdr:from>
    <xdr:to>
      <xdr:col>15</xdr:col>
      <xdr:colOff>66674</xdr:colOff>
      <xdr:row>12</xdr:row>
      <xdr:rowOff>161925</xdr:rowOff>
    </xdr:to>
    <xdr:sp macro="" textlink="">
      <xdr:nvSpPr>
        <xdr:cNvPr id="3" name="Rectangle 2"/>
        <xdr:cNvSpPr/>
      </xdr:nvSpPr>
      <xdr:spPr>
        <a:xfrm>
          <a:off x="57149" y="733425"/>
          <a:ext cx="7886700" cy="2409825"/>
        </a:xfrm>
        <a:prstGeom prst="rect">
          <a:avLst/>
        </a:prstGeom>
        <a:noFill/>
        <a:ln>
          <a:solidFill>
            <a:srgbClr val="C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</xdr:col>
      <xdr:colOff>257173</xdr:colOff>
      <xdr:row>2</xdr:row>
      <xdr:rowOff>9525</xdr:rowOff>
    </xdr:from>
    <xdr:to>
      <xdr:col>4</xdr:col>
      <xdr:colOff>123825</xdr:colOff>
      <xdr:row>3</xdr:row>
      <xdr:rowOff>85724</xdr:rowOff>
    </xdr:to>
    <xdr:sp macro="" textlink="">
      <xdr:nvSpPr>
        <xdr:cNvPr id="2" name="Espace réservé du texte 10"/>
        <xdr:cNvSpPr txBox="1">
          <a:spLocks/>
        </xdr:cNvSpPr>
      </xdr:nvSpPr>
      <xdr:spPr>
        <a:xfrm>
          <a:off x="304798" y="666750"/>
          <a:ext cx="1314452" cy="266699"/>
        </a:xfrm>
        <a:prstGeom prst="rect">
          <a:avLst/>
        </a:prstGeom>
        <a:solidFill>
          <a:schemeClr val="bg1"/>
        </a:solidFill>
      </xdr:spPr>
      <xdr:txBody>
        <a:bodyPr vert="horz" wrap="square" lIns="91440" tIns="45720" rIns="91440" bIns="45720" rtlCol="0" anchor="ctr">
          <a:noAutofit/>
        </a:bodyPr>
        <a:lstStyle>
          <a:defPPr>
            <a:defRPr lang="fr-FR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0" lvl="0" indent="0" algn="ctr" defTabSz="914400" rtl="0" eaLnBrk="1" fontAlgn="b" latinLnBrk="0" hangingPunct="1">
            <a:defRPr/>
          </a:pPr>
          <a:r>
            <a:rPr lang="fr-FR" sz="1600" b="1" kern="1200" spc="-5">
              <a:solidFill>
                <a:srgbClr val="C00000"/>
              </a:solidFill>
              <a:latin typeface="Calibri" panose="020F0502020204030204" pitchFamily="34" charset="0"/>
              <a:ea typeface="+mn-ea"/>
              <a:cs typeface="Calibri" panose="020F0502020204030204" pitchFamily="34" charset="0"/>
            </a:rPr>
            <a:t>Présentation</a:t>
          </a:r>
        </a:p>
      </xdr:txBody>
    </xdr:sp>
    <xdr:clientData/>
  </xdr:twoCellAnchor>
  <xdr:twoCellAnchor>
    <xdr:from>
      <xdr:col>1</xdr:col>
      <xdr:colOff>9523</xdr:colOff>
      <xdr:row>14</xdr:row>
      <xdr:rowOff>104775</xdr:rowOff>
    </xdr:from>
    <xdr:to>
      <xdr:col>15</xdr:col>
      <xdr:colOff>67573</xdr:colOff>
      <xdr:row>44</xdr:row>
      <xdr:rowOff>19050</xdr:rowOff>
    </xdr:to>
    <xdr:sp macro="" textlink="">
      <xdr:nvSpPr>
        <xdr:cNvPr id="4" name="Rectangle 3"/>
        <xdr:cNvSpPr/>
      </xdr:nvSpPr>
      <xdr:spPr>
        <a:xfrm>
          <a:off x="57148" y="3343275"/>
          <a:ext cx="7887600" cy="5505450"/>
        </a:xfrm>
        <a:prstGeom prst="rect">
          <a:avLst/>
        </a:prstGeom>
        <a:noFill/>
        <a:ln>
          <a:solidFill>
            <a:srgbClr val="C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2</xdr:col>
      <xdr:colOff>9524</xdr:colOff>
      <xdr:row>13</xdr:row>
      <xdr:rowOff>171450</xdr:rowOff>
    </xdr:from>
    <xdr:to>
      <xdr:col>3</xdr:col>
      <xdr:colOff>419100</xdr:colOff>
      <xdr:row>15</xdr:row>
      <xdr:rowOff>57149</xdr:rowOff>
    </xdr:to>
    <xdr:sp macro="" textlink="">
      <xdr:nvSpPr>
        <xdr:cNvPr id="5" name="Espace réservé du texte 10"/>
        <xdr:cNvSpPr txBox="1">
          <a:spLocks/>
        </xdr:cNvSpPr>
      </xdr:nvSpPr>
      <xdr:spPr>
        <a:xfrm>
          <a:off x="400049" y="3181350"/>
          <a:ext cx="1714501" cy="266699"/>
        </a:xfrm>
        <a:prstGeom prst="rect">
          <a:avLst/>
        </a:prstGeom>
        <a:solidFill>
          <a:schemeClr val="bg1"/>
        </a:solidFill>
      </xdr:spPr>
      <xdr:txBody>
        <a:bodyPr vert="horz" wrap="square" lIns="91440" tIns="45720" rIns="91440" bIns="45720" rtlCol="0" anchor="ctr">
          <a:noAutofit/>
        </a:bodyPr>
        <a:lstStyle>
          <a:defPPr>
            <a:defRPr lang="fr-FR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0" lvl="0" indent="0" algn="ctr" defTabSz="914400" rtl="0" eaLnBrk="1" fontAlgn="b" latinLnBrk="0" hangingPunct="1">
            <a:defRPr/>
          </a:pPr>
          <a:r>
            <a:rPr lang="fr-FR" sz="1600" b="1" kern="1200" spc="-5">
              <a:solidFill>
                <a:srgbClr val="C00000"/>
              </a:solidFill>
              <a:latin typeface="Calibri" panose="020F0502020204030204" pitchFamily="34" charset="0"/>
              <a:ea typeface="+mn-ea"/>
              <a:cs typeface="Calibri" panose="020F0502020204030204" pitchFamily="34" charset="0"/>
            </a:rPr>
            <a:t>Indicateurs</a:t>
          </a:r>
        </a:p>
      </xdr:txBody>
    </xdr:sp>
    <xdr:clientData/>
  </xdr:twoCellAnchor>
  <xdr:twoCellAnchor>
    <xdr:from>
      <xdr:col>1</xdr:col>
      <xdr:colOff>9524</xdr:colOff>
      <xdr:row>46</xdr:row>
      <xdr:rowOff>38100</xdr:rowOff>
    </xdr:from>
    <xdr:to>
      <xdr:col>15</xdr:col>
      <xdr:colOff>67574</xdr:colOff>
      <xdr:row>61</xdr:row>
      <xdr:rowOff>142875</xdr:rowOff>
    </xdr:to>
    <xdr:sp macro="" textlink="">
      <xdr:nvSpPr>
        <xdr:cNvPr id="6" name="Rectangle 5"/>
        <xdr:cNvSpPr/>
      </xdr:nvSpPr>
      <xdr:spPr>
        <a:xfrm>
          <a:off x="57149" y="9067800"/>
          <a:ext cx="7887600" cy="3781425"/>
        </a:xfrm>
        <a:prstGeom prst="rect">
          <a:avLst/>
        </a:prstGeom>
        <a:noFill/>
        <a:ln>
          <a:solidFill>
            <a:srgbClr val="C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</xdr:col>
      <xdr:colOff>266699</xdr:colOff>
      <xdr:row>45</xdr:row>
      <xdr:rowOff>47625</xdr:rowOff>
    </xdr:from>
    <xdr:to>
      <xdr:col>3</xdr:col>
      <xdr:colOff>409575</xdr:colOff>
      <xdr:row>46</xdr:row>
      <xdr:rowOff>123824</xdr:rowOff>
    </xdr:to>
    <xdr:sp macro="" textlink="">
      <xdr:nvSpPr>
        <xdr:cNvPr id="7" name="Espace réservé du texte 10"/>
        <xdr:cNvSpPr txBox="1">
          <a:spLocks/>
        </xdr:cNvSpPr>
      </xdr:nvSpPr>
      <xdr:spPr>
        <a:xfrm>
          <a:off x="390524" y="6486525"/>
          <a:ext cx="1714501" cy="266699"/>
        </a:xfrm>
        <a:prstGeom prst="rect">
          <a:avLst/>
        </a:prstGeom>
        <a:solidFill>
          <a:schemeClr val="bg1"/>
        </a:solidFill>
      </xdr:spPr>
      <xdr:txBody>
        <a:bodyPr vert="horz" wrap="square" lIns="91440" tIns="45720" rIns="91440" bIns="45720" rtlCol="0" anchor="ctr">
          <a:noAutofit/>
        </a:bodyPr>
        <a:lstStyle>
          <a:defPPr>
            <a:defRPr lang="fr-FR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0" lvl="0" indent="0" algn="ctr" defTabSz="914400" rtl="0" eaLnBrk="1" fontAlgn="b" latinLnBrk="0" hangingPunct="1">
            <a:defRPr/>
          </a:pPr>
          <a:r>
            <a:rPr lang="fr-FR" sz="1600" b="1" kern="1200" spc="-5">
              <a:solidFill>
                <a:srgbClr val="C00000"/>
              </a:solidFill>
              <a:latin typeface="Calibri" panose="020F0502020204030204" pitchFamily="34" charset="0"/>
              <a:ea typeface="+mn-ea"/>
              <a:cs typeface="Calibri" panose="020F0502020204030204" pitchFamily="34" charset="0"/>
            </a:rPr>
            <a:t>FAQ</a:t>
          </a:r>
        </a:p>
      </xdr:txBody>
    </xdr:sp>
    <xdr:clientData/>
  </xdr:twoCellAnchor>
  <xdr:twoCellAnchor>
    <xdr:from>
      <xdr:col>13</xdr:col>
      <xdr:colOff>142875</xdr:colOff>
      <xdr:row>0</xdr:row>
      <xdr:rowOff>66674</xdr:rowOff>
    </xdr:from>
    <xdr:to>
      <xdr:col>14</xdr:col>
      <xdr:colOff>238125</xdr:colOff>
      <xdr:row>0</xdr:row>
      <xdr:rowOff>304799</xdr:rowOff>
    </xdr:to>
    <xdr:sp macro="" textlink="">
      <xdr:nvSpPr>
        <xdr:cNvPr id="8" name="Rectangle à coins arrondis 7">
          <a:hlinkClick xmlns:r="http://schemas.openxmlformats.org/officeDocument/2006/relationships" r:id="rId1"/>
        </xdr:cNvPr>
        <xdr:cNvSpPr/>
      </xdr:nvSpPr>
      <xdr:spPr>
        <a:xfrm>
          <a:off x="10277475" y="66674"/>
          <a:ext cx="981075" cy="238125"/>
        </a:xfrm>
        <a:prstGeom prst="roundRect">
          <a:avLst/>
        </a:prstGeom>
        <a:solidFill>
          <a:schemeClr val="tx1">
            <a:lumMod val="65000"/>
            <a:lumOff val="35000"/>
          </a:schemeClr>
        </a:solidFill>
        <a:ln>
          <a:solidFill>
            <a:schemeClr val="tx1">
              <a:lumMod val="50000"/>
              <a:lumOff val="50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fr-FR" sz="1100" b="1">
              <a:solidFill>
                <a:schemeClr val="bg1"/>
              </a:solidFill>
            </a:rPr>
            <a:t>RETOUR</a:t>
          </a:r>
        </a:p>
      </xdr:txBody>
    </xdr:sp>
    <xdr:clientData/>
  </xdr:twoCellAnchor>
  <xdr:twoCellAnchor>
    <xdr:from>
      <xdr:col>13</xdr:col>
      <xdr:colOff>19049</xdr:colOff>
      <xdr:row>0</xdr:row>
      <xdr:rowOff>66674</xdr:rowOff>
    </xdr:from>
    <xdr:to>
      <xdr:col>14</xdr:col>
      <xdr:colOff>238124</xdr:colOff>
      <xdr:row>0</xdr:row>
      <xdr:rowOff>304799</xdr:rowOff>
    </xdr:to>
    <xdr:sp macro="" textlink="">
      <xdr:nvSpPr>
        <xdr:cNvPr id="9" name="Rectangle à coins arrondis 8">
          <a:hlinkClick xmlns:r="http://schemas.openxmlformats.org/officeDocument/2006/relationships" r:id="rId1"/>
        </xdr:cNvPr>
        <xdr:cNvSpPr/>
      </xdr:nvSpPr>
      <xdr:spPr>
        <a:xfrm>
          <a:off x="6829424" y="66674"/>
          <a:ext cx="809625" cy="238125"/>
        </a:xfrm>
        <a:prstGeom prst="roundRect">
          <a:avLst/>
        </a:prstGeom>
        <a:solidFill>
          <a:schemeClr val="tx1">
            <a:lumMod val="65000"/>
            <a:lumOff val="35000"/>
          </a:schemeClr>
        </a:solidFill>
        <a:ln>
          <a:solidFill>
            <a:schemeClr val="tx1">
              <a:lumMod val="50000"/>
              <a:lumOff val="50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fr-FR" sz="1100" b="1">
              <a:solidFill>
                <a:schemeClr val="bg1"/>
              </a:solidFill>
            </a:rPr>
            <a:t>RETOUR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114300</xdr:colOff>
      <xdr:row>5</xdr:row>
      <xdr:rowOff>187780</xdr:rowOff>
    </xdr:from>
    <xdr:to>
      <xdr:col>5</xdr:col>
      <xdr:colOff>435428</xdr:colOff>
      <xdr:row>15</xdr:row>
      <xdr:rowOff>178256</xdr:rowOff>
    </xdr:to>
    <xdr:graphicFrame macro="">
      <xdr:nvGraphicFramePr>
        <xdr:cNvPr id="70" name="Graphique 69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104772</xdr:colOff>
      <xdr:row>5</xdr:row>
      <xdr:rowOff>180974</xdr:rowOff>
    </xdr:from>
    <xdr:to>
      <xdr:col>9</xdr:col>
      <xdr:colOff>135297</xdr:colOff>
      <xdr:row>21</xdr:row>
      <xdr:rowOff>123824</xdr:rowOff>
    </xdr:to>
    <xdr:sp macro="" textlink="">
      <xdr:nvSpPr>
        <xdr:cNvPr id="6" name="Rectangle 5"/>
        <xdr:cNvSpPr/>
      </xdr:nvSpPr>
      <xdr:spPr>
        <a:xfrm>
          <a:off x="447672" y="1581149"/>
          <a:ext cx="4212000" cy="3400425"/>
        </a:xfrm>
        <a:prstGeom prst="rect">
          <a:avLst/>
        </a:prstGeom>
        <a:noFill/>
        <a:ln>
          <a:solidFill>
            <a:srgbClr val="C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2</xdr:col>
      <xdr:colOff>0</xdr:colOff>
      <xdr:row>5</xdr:row>
      <xdr:rowOff>19050</xdr:rowOff>
    </xdr:from>
    <xdr:to>
      <xdr:col>5</xdr:col>
      <xdr:colOff>219075</xdr:colOff>
      <xdr:row>6</xdr:row>
      <xdr:rowOff>85724</xdr:rowOff>
    </xdr:to>
    <xdr:sp macro="" textlink="">
      <xdr:nvSpPr>
        <xdr:cNvPr id="7" name="Espace réservé du texte 10"/>
        <xdr:cNvSpPr txBox="1">
          <a:spLocks/>
        </xdr:cNvSpPr>
      </xdr:nvSpPr>
      <xdr:spPr>
        <a:xfrm>
          <a:off x="657225" y="1257300"/>
          <a:ext cx="1962150" cy="266699"/>
        </a:xfrm>
        <a:prstGeom prst="rect">
          <a:avLst/>
        </a:prstGeom>
        <a:solidFill>
          <a:schemeClr val="bg1"/>
        </a:solidFill>
      </xdr:spPr>
      <xdr:txBody>
        <a:bodyPr vert="horz" wrap="square" lIns="91440" tIns="45720" rIns="91440" bIns="45720" rtlCol="0" anchor="ctr">
          <a:noAutofit/>
        </a:bodyPr>
        <a:lstStyle>
          <a:defPPr>
            <a:defRPr lang="fr-FR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0" lvl="0" indent="0" algn="ctr" defTabSz="914400" rtl="0" eaLnBrk="1" fontAlgn="b" latinLnBrk="0" hangingPunct="1">
            <a:defRPr/>
          </a:pPr>
          <a:r>
            <a:rPr lang="fr-FR" sz="1600" b="1" kern="1200" spc="-5">
              <a:solidFill>
                <a:srgbClr val="C00000"/>
              </a:solidFill>
              <a:latin typeface="Calibri" panose="020F0502020204030204" pitchFamily="34" charset="0"/>
              <a:ea typeface="+mn-ea"/>
              <a:cs typeface="Calibri" panose="020F0502020204030204" pitchFamily="34" charset="0"/>
            </a:rPr>
            <a:t>IARD &amp; PREVOYANCE</a:t>
          </a:r>
        </a:p>
      </xdr:txBody>
    </xdr:sp>
    <xdr:clientData/>
  </xdr:twoCellAnchor>
  <xdr:twoCellAnchor>
    <xdr:from>
      <xdr:col>9</xdr:col>
      <xdr:colOff>190500</xdr:colOff>
      <xdr:row>5</xdr:row>
      <xdr:rowOff>180974</xdr:rowOff>
    </xdr:from>
    <xdr:to>
      <xdr:col>18</xdr:col>
      <xdr:colOff>86400</xdr:colOff>
      <xdr:row>21</xdr:row>
      <xdr:rowOff>123825</xdr:rowOff>
    </xdr:to>
    <xdr:sp macro="" textlink="">
      <xdr:nvSpPr>
        <xdr:cNvPr id="8" name="Rectangle 7"/>
        <xdr:cNvSpPr/>
      </xdr:nvSpPr>
      <xdr:spPr>
        <a:xfrm>
          <a:off x="4714875" y="1581149"/>
          <a:ext cx="4201200" cy="3400426"/>
        </a:xfrm>
        <a:prstGeom prst="rect">
          <a:avLst/>
        </a:prstGeom>
        <a:noFill/>
        <a:ln>
          <a:solidFill>
            <a:srgbClr val="C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10</xdr:col>
      <xdr:colOff>161926</xdr:colOff>
      <xdr:row>5</xdr:row>
      <xdr:rowOff>19050</xdr:rowOff>
    </xdr:from>
    <xdr:to>
      <xdr:col>13</xdr:col>
      <xdr:colOff>85725</xdr:colOff>
      <xdr:row>6</xdr:row>
      <xdr:rowOff>118269</xdr:rowOff>
    </xdr:to>
    <xdr:sp macro="" textlink="">
      <xdr:nvSpPr>
        <xdr:cNvPr id="9" name="Espace réservé du texte 10"/>
        <xdr:cNvSpPr txBox="1">
          <a:spLocks/>
        </xdr:cNvSpPr>
      </xdr:nvSpPr>
      <xdr:spPr>
        <a:xfrm>
          <a:off x="4857751" y="1257300"/>
          <a:ext cx="1523999" cy="299244"/>
        </a:xfrm>
        <a:prstGeom prst="rect">
          <a:avLst/>
        </a:prstGeom>
        <a:solidFill>
          <a:schemeClr val="bg1"/>
        </a:solidFill>
      </xdr:spPr>
      <xdr:txBody>
        <a:bodyPr vert="horz" wrap="square" lIns="91440" tIns="45720" rIns="91440" bIns="45720" rtlCol="0" anchor="ctr">
          <a:noAutofit/>
        </a:bodyPr>
        <a:lstStyle>
          <a:defPPr>
            <a:defRPr lang="fr-FR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0" lvl="0" indent="0" algn="ctr" defTabSz="914400" rtl="0" eaLnBrk="1" fontAlgn="b" latinLnBrk="0" hangingPunct="1">
            <a:defRPr/>
          </a:pPr>
          <a:r>
            <a:rPr lang="fr-FR" sz="1600" b="1" kern="1200" spc="-5">
              <a:solidFill>
                <a:srgbClr val="C00000"/>
              </a:solidFill>
              <a:latin typeface="Calibri" panose="020F0502020204030204" pitchFamily="34" charset="0"/>
              <a:ea typeface="+mn-ea"/>
              <a:cs typeface="Calibri" panose="020F0502020204030204" pitchFamily="34" charset="0"/>
            </a:rPr>
            <a:t>INNOV'2020</a:t>
          </a:r>
        </a:p>
      </xdr:txBody>
    </xdr:sp>
    <xdr:clientData/>
  </xdr:twoCellAnchor>
  <xdr:twoCellAnchor>
    <xdr:from>
      <xdr:col>1</xdr:col>
      <xdr:colOff>104772</xdr:colOff>
      <xdr:row>23</xdr:row>
      <xdr:rowOff>180974</xdr:rowOff>
    </xdr:from>
    <xdr:to>
      <xdr:col>9</xdr:col>
      <xdr:colOff>133348</xdr:colOff>
      <xdr:row>39</xdr:row>
      <xdr:rowOff>123824</xdr:rowOff>
    </xdr:to>
    <xdr:sp macro="" textlink="">
      <xdr:nvSpPr>
        <xdr:cNvPr id="24" name="Rectangle 23"/>
        <xdr:cNvSpPr/>
      </xdr:nvSpPr>
      <xdr:spPr>
        <a:xfrm>
          <a:off x="447672" y="5486399"/>
          <a:ext cx="4210051" cy="3390900"/>
        </a:xfrm>
        <a:prstGeom prst="rect">
          <a:avLst/>
        </a:prstGeom>
        <a:noFill/>
        <a:ln>
          <a:solidFill>
            <a:srgbClr val="C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</xdr:col>
      <xdr:colOff>314324</xdr:colOff>
      <xdr:row>23</xdr:row>
      <xdr:rowOff>66676</xdr:rowOff>
    </xdr:from>
    <xdr:to>
      <xdr:col>3</xdr:col>
      <xdr:colOff>314324</xdr:colOff>
      <xdr:row>24</xdr:row>
      <xdr:rowOff>24884</xdr:rowOff>
    </xdr:to>
    <xdr:sp macro="" textlink="">
      <xdr:nvSpPr>
        <xdr:cNvPr id="25" name="Espace réservé du texte 10"/>
        <xdr:cNvSpPr txBox="1">
          <a:spLocks/>
        </xdr:cNvSpPr>
      </xdr:nvSpPr>
      <xdr:spPr>
        <a:xfrm>
          <a:off x="657224" y="4943476"/>
          <a:ext cx="1028700" cy="263008"/>
        </a:xfrm>
        <a:prstGeom prst="rect">
          <a:avLst/>
        </a:prstGeom>
        <a:solidFill>
          <a:schemeClr val="bg1"/>
        </a:solidFill>
      </xdr:spPr>
      <xdr:txBody>
        <a:bodyPr vert="horz" wrap="square" lIns="91440" tIns="45720" rIns="91440" bIns="45720" rtlCol="0" anchor="ctr">
          <a:noAutofit/>
        </a:bodyPr>
        <a:lstStyle>
          <a:defPPr>
            <a:defRPr lang="fr-FR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0" lvl="0" indent="0" algn="ctr" defTabSz="914400" rtl="0" eaLnBrk="1" fontAlgn="b" latinLnBrk="0" hangingPunct="1">
            <a:defRPr/>
          </a:pPr>
          <a:r>
            <a:rPr lang="fr-FR" sz="1600" b="1" kern="1200" spc="-5">
              <a:solidFill>
                <a:srgbClr val="C00000"/>
              </a:solidFill>
              <a:latin typeface="Calibri" panose="020F0502020204030204" pitchFamily="34" charset="0"/>
              <a:ea typeface="+mn-ea"/>
              <a:cs typeface="Calibri" panose="020F0502020204030204" pitchFamily="34" charset="0"/>
            </a:rPr>
            <a:t>CONSO</a:t>
          </a:r>
        </a:p>
      </xdr:txBody>
    </xdr:sp>
    <xdr:clientData/>
  </xdr:twoCellAnchor>
  <xdr:twoCellAnchor>
    <xdr:from>
      <xdr:col>9</xdr:col>
      <xdr:colOff>190500</xdr:colOff>
      <xdr:row>23</xdr:row>
      <xdr:rowOff>180974</xdr:rowOff>
    </xdr:from>
    <xdr:to>
      <xdr:col>18</xdr:col>
      <xdr:colOff>86400</xdr:colOff>
      <xdr:row>39</xdr:row>
      <xdr:rowOff>124124</xdr:rowOff>
    </xdr:to>
    <xdr:sp macro="" textlink="">
      <xdr:nvSpPr>
        <xdr:cNvPr id="28" name="Rectangle 27"/>
        <xdr:cNvSpPr/>
      </xdr:nvSpPr>
      <xdr:spPr>
        <a:xfrm>
          <a:off x="4714875" y="5486399"/>
          <a:ext cx="4201200" cy="3391200"/>
        </a:xfrm>
        <a:prstGeom prst="rect">
          <a:avLst/>
        </a:prstGeom>
        <a:noFill/>
        <a:ln>
          <a:solidFill>
            <a:srgbClr val="C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10</xdr:col>
      <xdr:colOff>76200</xdr:colOff>
      <xdr:row>23</xdr:row>
      <xdr:rowOff>66676</xdr:rowOff>
    </xdr:from>
    <xdr:to>
      <xdr:col>11</xdr:col>
      <xdr:colOff>476250</xdr:colOff>
      <xdr:row>24</xdr:row>
      <xdr:rowOff>47625</xdr:rowOff>
    </xdr:to>
    <xdr:sp macro="" textlink="">
      <xdr:nvSpPr>
        <xdr:cNvPr id="29" name="Espace réservé du texte 10"/>
        <xdr:cNvSpPr txBox="1">
          <a:spLocks/>
        </xdr:cNvSpPr>
      </xdr:nvSpPr>
      <xdr:spPr>
        <a:xfrm>
          <a:off x="4772025" y="4943476"/>
          <a:ext cx="1114425" cy="285749"/>
        </a:xfrm>
        <a:prstGeom prst="rect">
          <a:avLst/>
        </a:prstGeom>
        <a:solidFill>
          <a:schemeClr val="bg1"/>
        </a:solidFill>
      </xdr:spPr>
      <xdr:txBody>
        <a:bodyPr vert="horz" wrap="square" lIns="91440" tIns="45720" rIns="91440" bIns="45720" rtlCol="0" anchor="ctr">
          <a:noAutofit/>
        </a:bodyPr>
        <a:lstStyle>
          <a:defPPr>
            <a:defRPr lang="fr-FR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0" lvl="0" indent="0" algn="ctr" defTabSz="914400" rtl="0" eaLnBrk="1" fontAlgn="b" latinLnBrk="0" hangingPunct="1">
            <a:defRPr/>
          </a:pPr>
          <a:r>
            <a:rPr lang="fr-FR" sz="1600" b="1" kern="1200" spc="-5">
              <a:solidFill>
                <a:srgbClr val="C00000"/>
              </a:solidFill>
              <a:latin typeface="Calibri" panose="020F0502020204030204" pitchFamily="34" charset="0"/>
              <a:ea typeface="+mn-ea"/>
              <a:cs typeface="Calibri" panose="020F0502020204030204" pitchFamily="34" charset="0"/>
            </a:rPr>
            <a:t>CA UC</a:t>
          </a:r>
        </a:p>
      </xdr:txBody>
    </xdr:sp>
    <xdr:clientData/>
  </xdr:twoCellAnchor>
  <xdr:twoCellAnchor>
    <xdr:from>
      <xdr:col>10</xdr:col>
      <xdr:colOff>447675</xdr:colOff>
      <xdr:row>31</xdr:row>
      <xdr:rowOff>19050</xdr:rowOff>
    </xdr:from>
    <xdr:to>
      <xdr:col>17</xdr:col>
      <xdr:colOff>57150</xdr:colOff>
      <xdr:row>38</xdr:row>
      <xdr:rowOff>168476</xdr:rowOff>
    </xdr:to>
    <xdr:graphicFrame macro="">
      <xdr:nvGraphicFramePr>
        <xdr:cNvPr id="31" name="Graphique 30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10</xdr:col>
      <xdr:colOff>352426</xdr:colOff>
      <xdr:row>29</xdr:row>
      <xdr:rowOff>104775</xdr:rowOff>
    </xdr:from>
    <xdr:to>
      <xdr:col>16</xdr:col>
      <xdr:colOff>590550</xdr:colOff>
      <xdr:row>31</xdr:row>
      <xdr:rowOff>57150</xdr:rowOff>
    </xdr:to>
    <xdr:sp macro="" textlink="">
      <xdr:nvSpPr>
        <xdr:cNvPr id="34" name="Rectangle 33"/>
        <xdr:cNvSpPr/>
      </xdr:nvSpPr>
      <xdr:spPr>
        <a:xfrm>
          <a:off x="5048251" y="6534150"/>
          <a:ext cx="3228974" cy="333375"/>
        </a:xfrm>
        <a:prstGeom prst="rect">
          <a:avLst/>
        </a:prstGeom>
      </xdr:spPr>
      <xdr:txBody>
        <a:bodyPr wrap="square" anchor="ctr">
          <a:noAutofit/>
        </a:bodyPr>
        <a:lstStyle>
          <a:defPPr>
            <a:defRPr lang="fr-FR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fr-FR" sz="1100" b="1" u="none" cap="small" baseline="0">
              <a:solidFill>
                <a:srgbClr val="C00000"/>
              </a:solidFill>
            </a:rPr>
            <a:t>RESTE A FAIRE HEBDO PAR ETP POUR ATTEINDRE LE TOP</a:t>
          </a:r>
        </a:p>
      </xdr:txBody>
    </xdr:sp>
    <xdr:clientData/>
  </xdr:twoCellAnchor>
  <xdr:twoCellAnchor>
    <xdr:from>
      <xdr:col>1</xdr:col>
      <xdr:colOff>104772</xdr:colOff>
      <xdr:row>41</xdr:row>
      <xdr:rowOff>180975</xdr:rowOff>
    </xdr:from>
    <xdr:to>
      <xdr:col>9</xdr:col>
      <xdr:colOff>135297</xdr:colOff>
      <xdr:row>57</xdr:row>
      <xdr:rowOff>123825</xdr:rowOff>
    </xdr:to>
    <xdr:sp macro="" textlink="">
      <xdr:nvSpPr>
        <xdr:cNvPr id="36" name="Rectangle 35"/>
        <xdr:cNvSpPr/>
      </xdr:nvSpPr>
      <xdr:spPr>
        <a:xfrm>
          <a:off x="447672" y="9315450"/>
          <a:ext cx="4212000" cy="3171825"/>
        </a:xfrm>
        <a:prstGeom prst="rect">
          <a:avLst/>
        </a:prstGeom>
        <a:noFill/>
        <a:ln>
          <a:solidFill>
            <a:srgbClr val="C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9</xdr:col>
      <xdr:colOff>190500</xdr:colOff>
      <xdr:row>41</xdr:row>
      <xdr:rowOff>180975</xdr:rowOff>
    </xdr:from>
    <xdr:to>
      <xdr:col>18</xdr:col>
      <xdr:colOff>86400</xdr:colOff>
      <xdr:row>57</xdr:row>
      <xdr:rowOff>123824</xdr:rowOff>
    </xdr:to>
    <xdr:sp macro="" textlink="">
      <xdr:nvSpPr>
        <xdr:cNvPr id="40" name="Rectangle 39"/>
        <xdr:cNvSpPr/>
      </xdr:nvSpPr>
      <xdr:spPr>
        <a:xfrm>
          <a:off x="4714875" y="9315450"/>
          <a:ext cx="4201200" cy="3171824"/>
        </a:xfrm>
        <a:prstGeom prst="rect">
          <a:avLst/>
        </a:prstGeom>
        <a:noFill/>
        <a:ln>
          <a:solidFill>
            <a:srgbClr val="C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10</xdr:col>
      <xdr:colOff>161926</xdr:colOff>
      <xdr:row>41</xdr:row>
      <xdr:rowOff>19050</xdr:rowOff>
    </xdr:from>
    <xdr:to>
      <xdr:col>13</xdr:col>
      <xdr:colOff>0</xdr:colOff>
      <xdr:row>42</xdr:row>
      <xdr:rowOff>85725</xdr:rowOff>
    </xdr:to>
    <xdr:sp macro="" textlink="">
      <xdr:nvSpPr>
        <xdr:cNvPr id="45" name="Espace réservé du texte 10"/>
        <xdr:cNvSpPr txBox="1">
          <a:spLocks/>
        </xdr:cNvSpPr>
      </xdr:nvSpPr>
      <xdr:spPr>
        <a:xfrm>
          <a:off x="4857751" y="8867775"/>
          <a:ext cx="1438274" cy="257175"/>
        </a:xfrm>
        <a:prstGeom prst="rect">
          <a:avLst/>
        </a:prstGeom>
        <a:solidFill>
          <a:schemeClr val="bg1"/>
        </a:solidFill>
      </xdr:spPr>
      <xdr:txBody>
        <a:bodyPr vert="horz" wrap="square" lIns="91440" tIns="45720" rIns="91440" bIns="45720" rtlCol="0" anchor="ctr">
          <a:noAutofit/>
        </a:bodyPr>
        <a:lstStyle>
          <a:defPPr>
            <a:defRPr lang="fr-FR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0" lvl="0" indent="0" algn="ctr" defTabSz="914400" rtl="0" eaLnBrk="1" fontAlgn="b" latinLnBrk="0" hangingPunct="1">
            <a:defRPr/>
          </a:pPr>
          <a:r>
            <a:rPr lang="fr-FR" sz="1600" b="1" kern="1200" spc="-5">
              <a:solidFill>
                <a:srgbClr val="C00000"/>
              </a:solidFill>
              <a:latin typeface="Calibri" panose="020F0502020204030204" pitchFamily="34" charset="0"/>
              <a:ea typeface="+mn-ea"/>
              <a:cs typeface="Calibri" panose="020F0502020204030204" pitchFamily="34" charset="0"/>
            </a:rPr>
            <a:t>CARTES</a:t>
          </a:r>
        </a:p>
      </xdr:txBody>
    </xdr:sp>
    <xdr:clientData/>
  </xdr:twoCellAnchor>
  <xdr:twoCellAnchor>
    <xdr:from>
      <xdr:col>15</xdr:col>
      <xdr:colOff>78922</xdr:colOff>
      <xdr:row>48</xdr:row>
      <xdr:rowOff>161925</xdr:rowOff>
    </xdr:from>
    <xdr:to>
      <xdr:col>18</xdr:col>
      <xdr:colOff>0</xdr:colOff>
      <xdr:row>56</xdr:row>
      <xdr:rowOff>168473</xdr:rowOff>
    </xdr:to>
    <xdr:graphicFrame macro="">
      <xdr:nvGraphicFramePr>
        <xdr:cNvPr id="46" name="Graphique 4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10</xdr:col>
      <xdr:colOff>47625</xdr:colOff>
      <xdr:row>48</xdr:row>
      <xdr:rowOff>171450</xdr:rowOff>
    </xdr:from>
    <xdr:to>
      <xdr:col>13</xdr:col>
      <xdr:colOff>512763</xdr:colOff>
      <xdr:row>56</xdr:row>
      <xdr:rowOff>168473</xdr:rowOff>
    </xdr:to>
    <xdr:graphicFrame macro="">
      <xdr:nvGraphicFramePr>
        <xdr:cNvPr id="47" name="Graphique 4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10</xdr:col>
      <xdr:colOff>133351</xdr:colOff>
      <xdr:row>42</xdr:row>
      <xdr:rowOff>123825</xdr:rowOff>
    </xdr:from>
    <xdr:to>
      <xdr:col>11</xdr:col>
      <xdr:colOff>457201</xdr:colOff>
      <xdr:row>43</xdr:row>
      <xdr:rowOff>76200</xdr:rowOff>
    </xdr:to>
    <xdr:sp macro="" textlink="">
      <xdr:nvSpPr>
        <xdr:cNvPr id="48" name="Rectangle 47"/>
        <xdr:cNvSpPr/>
      </xdr:nvSpPr>
      <xdr:spPr>
        <a:xfrm>
          <a:off x="6477001" y="7610475"/>
          <a:ext cx="1123950" cy="142875"/>
        </a:xfrm>
        <a:prstGeom prst="rect">
          <a:avLst/>
        </a:prstGeom>
        <a:solidFill>
          <a:schemeClr val="bg1"/>
        </a:solidFill>
      </xdr:spPr>
      <xdr:txBody>
        <a:bodyPr wrap="square" anchor="ctr">
          <a:noAutofit/>
        </a:bodyPr>
        <a:lstStyle>
          <a:defPPr>
            <a:defRPr lang="fr-FR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fr-FR" sz="1200" b="1" u="none" cap="all" baseline="0">
              <a:solidFill>
                <a:schemeClr val="tx1">
                  <a:lumMod val="50000"/>
                  <a:lumOff val="50000"/>
                </a:schemeClr>
              </a:solidFill>
            </a:rPr>
            <a:t>IZICARTE DD</a:t>
          </a:r>
        </a:p>
      </xdr:txBody>
    </xdr:sp>
    <xdr:clientData/>
  </xdr:twoCellAnchor>
  <xdr:twoCellAnchor>
    <xdr:from>
      <xdr:col>15</xdr:col>
      <xdr:colOff>76199</xdr:colOff>
      <xdr:row>42</xdr:row>
      <xdr:rowOff>123825</xdr:rowOff>
    </xdr:from>
    <xdr:to>
      <xdr:col>16</xdr:col>
      <xdr:colOff>180974</xdr:colOff>
      <xdr:row>43</xdr:row>
      <xdr:rowOff>123825</xdr:rowOff>
    </xdr:to>
    <xdr:sp macro="" textlink="">
      <xdr:nvSpPr>
        <xdr:cNvPr id="49" name="Rectangle 48"/>
        <xdr:cNvSpPr/>
      </xdr:nvSpPr>
      <xdr:spPr>
        <a:xfrm>
          <a:off x="7019924" y="7953375"/>
          <a:ext cx="866775" cy="190500"/>
        </a:xfrm>
        <a:prstGeom prst="rect">
          <a:avLst/>
        </a:prstGeom>
        <a:solidFill>
          <a:schemeClr val="bg1"/>
        </a:solidFill>
      </xdr:spPr>
      <xdr:txBody>
        <a:bodyPr wrap="square" anchor="ctr">
          <a:noAutofit/>
        </a:bodyPr>
        <a:lstStyle>
          <a:defPPr>
            <a:defRPr lang="fr-FR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fr-FR" sz="1200" b="1" u="none" cap="all" baseline="0">
              <a:solidFill>
                <a:schemeClr val="tx1">
                  <a:lumMod val="50000"/>
                  <a:lumOff val="50000"/>
                </a:schemeClr>
              </a:solidFill>
            </a:rPr>
            <a:t>hdg dd</a:t>
          </a:r>
        </a:p>
      </xdr:txBody>
    </xdr:sp>
    <xdr:clientData/>
  </xdr:twoCellAnchor>
  <xdr:twoCellAnchor>
    <xdr:from>
      <xdr:col>10</xdr:col>
      <xdr:colOff>9525</xdr:colOff>
      <xdr:row>47</xdr:row>
      <xdr:rowOff>9525</xdr:rowOff>
    </xdr:from>
    <xdr:to>
      <xdr:col>13</xdr:col>
      <xdr:colOff>495300</xdr:colOff>
      <xdr:row>48</xdr:row>
      <xdr:rowOff>104775</xdr:rowOff>
    </xdr:to>
    <xdr:sp macro="" textlink="">
      <xdr:nvSpPr>
        <xdr:cNvPr id="50" name="Rectangle 49"/>
        <xdr:cNvSpPr/>
      </xdr:nvSpPr>
      <xdr:spPr>
        <a:xfrm>
          <a:off x="4772025" y="10287000"/>
          <a:ext cx="1943100" cy="285750"/>
        </a:xfrm>
        <a:prstGeom prst="rect">
          <a:avLst/>
        </a:prstGeom>
      </xdr:spPr>
      <xdr:txBody>
        <a:bodyPr wrap="square" anchor="ctr">
          <a:noAutofit/>
        </a:bodyPr>
        <a:lstStyle>
          <a:defPPr>
            <a:defRPr lang="fr-FR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fr-FR" sz="1100" b="1" u="none" cap="small" baseline="0">
              <a:solidFill>
                <a:srgbClr val="C00000"/>
              </a:solidFill>
            </a:rPr>
            <a:t>RESTE A FAIRE HEBDO PAR ETP POUR ATTEINDRE LE TOP</a:t>
          </a:r>
        </a:p>
      </xdr:txBody>
    </xdr:sp>
    <xdr:clientData/>
  </xdr:twoCellAnchor>
  <xdr:twoCellAnchor>
    <xdr:from>
      <xdr:col>14</xdr:col>
      <xdr:colOff>104775</xdr:colOff>
      <xdr:row>47</xdr:row>
      <xdr:rowOff>9525</xdr:rowOff>
    </xdr:from>
    <xdr:to>
      <xdr:col>18</xdr:col>
      <xdr:colOff>0</xdr:colOff>
      <xdr:row>48</xdr:row>
      <xdr:rowOff>104775</xdr:rowOff>
    </xdr:to>
    <xdr:sp macro="" textlink="">
      <xdr:nvSpPr>
        <xdr:cNvPr id="51" name="Rectangle 50"/>
        <xdr:cNvSpPr/>
      </xdr:nvSpPr>
      <xdr:spPr>
        <a:xfrm>
          <a:off x="6838950" y="10287000"/>
          <a:ext cx="1990725" cy="285750"/>
        </a:xfrm>
        <a:prstGeom prst="rect">
          <a:avLst/>
        </a:prstGeom>
      </xdr:spPr>
      <xdr:txBody>
        <a:bodyPr wrap="square" anchor="ctr">
          <a:noAutofit/>
        </a:bodyPr>
        <a:lstStyle>
          <a:defPPr>
            <a:defRPr lang="fr-FR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fr-FR" sz="1100" b="1" u="none" cap="small" baseline="0">
              <a:solidFill>
                <a:srgbClr val="C00000"/>
              </a:solidFill>
            </a:rPr>
            <a:t>RESTE A FAIRE HEBDO PAR ETP POUR ATTEINDRE LE TOP</a:t>
          </a:r>
        </a:p>
      </xdr:txBody>
    </xdr:sp>
    <xdr:clientData/>
  </xdr:twoCellAnchor>
  <xdr:twoCellAnchor>
    <xdr:from>
      <xdr:col>16</xdr:col>
      <xdr:colOff>95251</xdr:colOff>
      <xdr:row>5</xdr:row>
      <xdr:rowOff>85724</xdr:rowOff>
    </xdr:from>
    <xdr:to>
      <xdr:col>19</xdr:col>
      <xdr:colOff>277814</xdr:colOff>
      <xdr:row>11</xdr:row>
      <xdr:rowOff>9524</xdr:rowOff>
    </xdr:to>
    <xdr:grpSp>
      <xdr:nvGrpSpPr>
        <xdr:cNvPr id="55" name="Groupe 54"/>
        <xdr:cNvGrpSpPr>
          <a:grpSpLocks/>
        </xdr:cNvGrpSpPr>
      </xdr:nvGrpSpPr>
      <xdr:grpSpPr bwMode="auto">
        <a:xfrm>
          <a:off x="7905751" y="1493307"/>
          <a:ext cx="1463146" cy="1077384"/>
          <a:chOff x="3312319" y="1545713"/>
          <a:chExt cx="4653629" cy="3690889"/>
        </a:xfrm>
      </xdr:grpSpPr>
      <xdr:pic>
        <xdr:nvPicPr>
          <xdr:cNvPr id="56" name="Image 55"/>
          <xdr:cNvPicPr>
            <a:picLocks noChangeAspect="1"/>
          </xdr:cNvPicPr>
        </xdr:nvPicPr>
        <xdr:blipFill>
          <a:blip xmlns:r="http://schemas.openxmlformats.org/officeDocument/2006/relationships" r:embed="rId5" cstate="print">
            <a:grayscl/>
            <a:biLevel thresh="50000"/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3312319" y="1545713"/>
            <a:ext cx="4653629" cy="3690889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grpSp>
        <xdr:nvGrpSpPr>
          <xdr:cNvPr id="57" name="Groupe 56"/>
          <xdr:cNvGrpSpPr>
            <a:grpSpLocks/>
          </xdr:cNvGrpSpPr>
        </xdr:nvGrpSpPr>
        <xdr:grpSpPr bwMode="auto">
          <a:xfrm>
            <a:off x="4615758" y="2143192"/>
            <a:ext cx="2144040" cy="2800283"/>
            <a:chOff x="13982179" y="2849111"/>
            <a:chExt cx="2144040" cy="2800283"/>
          </a:xfrm>
        </xdr:grpSpPr>
        <xdr:sp macro="" textlink="">
          <xdr:nvSpPr>
            <xdr:cNvPr id="58" name="object 60"/>
            <xdr:cNvSpPr>
              <a:spLocks/>
            </xdr:cNvSpPr>
          </xdr:nvSpPr>
          <xdr:spPr bwMode="auto">
            <a:xfrm>
              <a:off x="14051337" y="3336485"/>
              <a:ext cx="723445" cy="311143"/>
            </a:xfrm>
            <a:custGeom>
              <a:avLst/>
              <a:gdLst>
                <a:gd name="T0" fmla="*/ 118728 w 299720"/>
                <a:gd name="T1" fmla="*/ 70331 h 128905"/>
                <a:gd name="T2" fmla="*/ 27055 w 299720"/>
                <a:gd name="T3" fmla="*/ 70331 h 128905"/>
                <a:gd name="T4" fmla="*/ 35356 w 299720"/>
                <a:gd name="T5" fmla="*/ 73750 h 128905"/>
                <a:gd name="T6" fmla="*/ 45910 w 299720"/>
                <a:gd name="T7" fmla="*/ 84008 h 128905"/>
                <a:gd name="T8" fmla="*/ 64057 w 299720"/>
                <a:gd name="T9" fmla="*/ 100088 h 128905"/>
                <a:gd name="T10" fmla="*/ 87736 w 299720"/>
                <a:gd name="T11" fmla="*/ 116900 h 128905"/>
                <a:gd name="T12" fmla="*/ 110184 w 299720"/>
                <a:gd name="T13" fmla="*/ 128337 h 128905"/>
                <a:gd name="T14" fmla="*/ 124637 w 299720"/>
                <a:gd name="T15" fmla="*/ 128293 h 128905"/>
                <a:gd name="T16" fmla="*/ 144523 w 299720"/>
                <a:gd name="T17" fmla="*/ 113927 h 128905"/>
                <a:gd name="T18" fmla="*/ 210131 w 299720"/>
                <a:gd name="T19" fmla="*/ 70991 h 128905"/>
                <a:gd name="T20" fmla="*/ 120269 w 299720"/>
                <a:gd name="T21" fmla="*/ 70991 h 128905"/>
                <a:gd name="T22" fmla="*/ 118728 w 299720"/>
                <a:gd name="T23" fmla="*/ 70331 h 128905"/>
                <a:gd name="T24" fmla="*/ 50292 w 299720"/>
                <a:gd name="T25" fmla="*/ 55357 h 128905"/>
                <a:gd name="T26" fmla="*/ 30443 w 299720"/>
                <a:gd name="T27" fmla="*/ 59834 h 128905"/>
                <a:gd name="T28" fmla="*/ 14487 w 299720"/>
                <a:gd name="T29" fmla="*/ 69683 h 128905"/>
                <a:gd name="T30" fmla="*/ 3861 w 299720"/>
                <a:gd name="T31" fmla="*/ 79532 h 128905"/>
                <a:gd name="T32" fmla="*/ 0 w 299720"/>
                <a:gd name="T33" fmla="*/ 84008 h 128905"/>
                <a:gd name="T34" fmla="*/ 16705 w 299720"/>
                <a:gd name="T35" fmla="*/ 73750 h 128905"/>
                <a:gd name="T36" fmla="*/ 27055 w 299720"/>
                <a:gd name="T37" fmla="*/ 70331 h 128905"/>
                <a:gd name="T38" fmla="*/ 118728 w 299720"/>
                <a:gd name="T39" fmla="*/ 70331 h 128905"/>
                <a:gd name="T40" fmla="*/ 106875 w 299720"/>
                <a:gd name="T41" fmla="*/ 65248 h 128905"/>
                <a:gd name="T42" fmla="*/ 90200 w 299720"/>
                <a:gd name="T43" fmla="*/ 60240 h 128905"/>
                <a:gd name="T44" fmla="*/ 71064 w 299720"/>
                <a:gd name="T45" fmla="*/ 56700 h 128905"/>
                <a:gd name="T46" fmla="*/ 50292 w 299720"/>
                <a:gd name="T47" fmla="*/ 55357 h 128905"/>
                <a:gd name="T48" fmla="*/ 232602 w 299720"/>
                <a:gd name="T49" fmla="*/ 0 h 128905"/>
                <a:gd name="T50" fmla="*/ 219927 w 299720"/>
                <a:gd name="T51" fmla="*/ 1140 h 128905"/>
                <a:gd name="T52" fmla="*/ 191601 w 299720"/>
                <a:gd name="T53" fmla="*/ 29227 h 128905"/>
                <a:gd name="T54" fmla="*/ 165088 w 299720"/>
                <a:gd name="T55" fmla="*/ 50800 h 128905"/>
                <a:gd name="T56" fmla="*/ 138579 w 299720"/>
                <a:gd name="T57" fmla="*/ 67488 h 128905"/>
                <a:gd name="T58" fmla="*/ 120269 w 299720"/>
                <a:gd name="T59" fmla="*/ 70991 h 128905"/>
                <a:gd name="T60" fmla="*/ 210131 w 299720"/>
                <a:gd name="T61" fmla="*/ 70991 h 128905"/>
                <a:gd name="T62" fmla="*/ 213813 w 299720"/>
                <a:gd name="T63" fmla="*/ 68584 h 128905"/>
                <a:gd name="T64" fmla="*/ 236156 w 299720"/>
                <a:gd name="T65" fmla="*/ 52754 h 128905"/>
                <a:gd name="T66" fmla="*/ 252520 w 299720"/>
                <a:gd name="T67" fmla="*/ 44000 h 128905"/>
                <a:gd name="T68" fmla="*/ 273600 w 299720"/>
                <a:gd name="T69" fmla="*/ 37447 h 128905"/>
                <a:gd name="T70" fmla="*/ 291811 w 299720"/>
                <a:gd name="T71" fmla="*/ 33337 h 128905"/>
                <a:gd name="T72" fmla="*/ 299567 w 299720"/>
                <a:gd name="T73" fmla="*/ 31913 h 128905"/>
                <a:gd name="T74" fmla="*/ 256347 w 299720"/>
                <a:gd name="T75" fmla="*/ 9606 h 128905"/>
                <a:gd name="T76" fmla="*/ 232602 w 299720"/>
                <a:gd name="T77" fmla="*/ 0 h 12890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</a:cxnLst>
              <a:rect l="0" t="0" r="r" b="b"/>
              <a:pathLst>
                <a:path w="299720" h="128905">
                  <a:moveTo>
                    <a:pt x="118728" y="70331"/>
                  </a:moveTo>
                  <a:lnTo>
                    <a:pt x="27055" y="70331"/>
                  </a:lnTo>
                  <a:lnTo>
                    <a:pt x="35356" y="73750"/>
                  </a:lnTo>
                  <a:lnTo>
                    <a:pt x="45910" y="84008"/>
                  </a:lnTo>
                  <a:lnTo>
                    <a:pt x="64057" y="100088"/>
                  </a:lnTo>
                  <a:lnTo>
                    <a:pt x="87736" y="116900"/>
                  </a:lnTo>
                  <a:lnTo>
                    <a:pt x="110184" y="128337"/>
                  </a:lnTo>
                  <a:lnTo>
                    <a:pt x="124637" y="128293"/>
                  </a:lnTo>
                  <a:lnTo>
                    <a:pt x="144523" y="113927"/>
                  </a:lnTo>
                  <a:lnTo>
                    <a:pt x="210131" y="70991"/>
                  </a:lnTo>
                  <a:lnTo>
                    <a:pt x="120269" y="70991"/>
                  </a:lnTo>
                  <a:lnTo>
                    <a:pt x="118728" y="70331"/>
                  </a:lnTo>
                  <a:close/>
                </a:path>
                <a:path w="299720" h="128905">
                  <a:moveTo>
                    <a:pt x="50292" y="55357"/>
                  </a:moveTo>
                  <a:lnTo>
                    <a:pt x="30443" y="59834"/>
                  </a:lnTo>
                  <a:lnTo>
                    <a:pt x="14487" y="69683"/>
                  </a:lnTo>
                  <a:lnTo>
                    <a:pt x="3861" y="79532"/>
                  </a:lnTo>
                  <a:lnTo>
                    <a:pt x="0" y="84008"/>
                  </a:lnTo>
                  <a:lnTo>
                    <a:pt x="16705" y="73750"/>
                  </a:lnTo>
                  <a:lnTo>
                    <a:pt x="27055" y="70331"/>
                  </a:lnTo>
                  <a:lnTo>
                    <a:pt x="118728" y="70331"/>
                  </a:lnTo>
                  <a:lnTo>
                    <a:pt x="106875" y="65248"/>
                  </a:lnTo>
                  <a:lnTo>
                    <a:pt x="90200" y="60240"/>
                  </a:lnTo>
                  <a:lnTo>
                    <a:pt x="71064" y="56700"/>
                  </a:lnTo>
                  <a:lnTo>
                    <a:pt x="50292" y="55357"/>
                  </a:lnTo>
                  <a:close/>
                </a:path>
                <a:path w="299720" h="128905">
                  <a:moveTo>
                    <a:pt x="232602" y="0"/>
                  </a:moveTo>
                  <a:lnTo>
                    <a:pt x="219927" y="1140"/>
                  </a:lnTo>
                  <a:lnTo>
                    <a:pt x="191601" y="29227"/>
                  </a:lnTo>
                  <a:lnTo>
                    <a:pt x="165088" y="50800"/>
                  </a:lnTo>
                  <a:lnTo>
                    <a:pt x="138579" y="67488"/>
                  </a:lnTo>
                  <a:lnTo>
                    <a:pt x="120269" y="70991"/>
                  </a:lnTo>
                  <a:lnTo>
                    <a:pt x="210131" y="70991"/>
                  </a:lnTo>
                  <a:lnTo>
                    <a:pt x="213813" y="68584"/>
                  </a:lnTo>
                  <a:lnTo>
                    <a:pt x="236156" y="52754"/>
                  </a:lnTo>
                  <a:lnTo>
                    <a:pt x="252520" y="44000"/>
                  </a:lnTo>
                  <a:lnTo>
                    <a:pt x="273600" y="37447"/>
                  </a:lnTo>
                  <a:lnTo>
                    <a:pt x="291811" y="33337"/>
                  </a:lnTo>
                  <a:lnTo>
                    <a:pt x="299567" y="31913"/>
                  </a:lnTo>
                  <a:lnTo>
                    <a:pt x="256347" y="9606"/>
                  </a:lnTo>
                  <a:lnTo>
                    <a:pt x="232602" y="0"/>
                  </a:lnTo>
                  <a:close/>
                </a:path>
              </a:pathLst>
            </a:custGeom>
            <a:solidFill>
              <a:srgbClr val="FF5D5D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round/>
                  <a:headEnd/>
                  <a:tailEnd/>
                </a14:hiddenLine>
              </a:ext>
            </a:extLst>
          </xdr:spPr>
          <xdr:txBody>
            <a:bodyPr wrap="square" lIns="0" tIns="0" rIns="0" bIns="0"/>
            <a:lstStyle>
              <a:defPPr>
                <a:defRPr lang="en-US"/>
              </a:defPPr>
              <a:lvl1pPr algn="l" defTabSz="457200" rtl="0" eaLnBrk="0" fontAlgn="base" hangingPunct="0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1pPr>
              <a:lvl2pPr marL="457200" algn="l" defTabSz="457200" rtl="0" eaLnBrk="0" fontAlgn="base" hangingPunct="0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2pPr>
              <a:lvl3pPr marL="914400" algn="l" defTabSz="457200" rtl="0" eaLnBrk="0" fontAlgn="base" hangingPunct="0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3pPr>
              <a:lvl4pPr marL="1371600" algn="l" defTabSz="457200" rtl="0" eaLnBrk="0" fontAlgn="base" hangingPunct="0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4pPr>
              <a:lvl5pPr marL="1828800" algn="l" defTabSz="457200" rtl="0" eaLnBrk="0" fontAlgn="base" hangingPunct="0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59" name="object 61"/>
            <xdr:cNvSpPr>
              <a:spLocks/>
            </xdr:cNvSpPr>
          </xdr:nvSpPr>
          <xdr:spPr bwMode="auto">
            <a:xfrm>
              <a:off x="15038490" y="3325498"/>
              <a:ext cx="869054" cy="346395"/>
            </a:xfrm>
            <a:custGeom>
              <a:avLst/>
              <a:gdLst>
                <a:gd name="T0" fmla="*/ 153695 w 360045"/>
                <a:gd name="T1" fmla="*/ 0 h 143510"/>
                <a:gd name="T2" fmla="*/ 110391 w 360045"/>
                <a:gd name="T3" fmla="*/ 7812 h 143510"/>
                <a:gd name="T4" fmla="*/ 65125 w 360045"/>
                <a:gd name="T5" fmla="*/ 23444 h 143510"/>
                <a:gd name="T6" fmla="*/ 47993 w 360045"/>
                <a:gd name="T7" fmla="*/ 32110 h 143510"/>
                <a:gd name="T8" fmla="*/ 23775 w 360045"/>
                <a:gd name="T9" fmla="*/ 43953 h 143510"/>
                <a:gd name="T10" fmla="*/ 3951 w 360045"/>
                <a:gd name="T11" fmla="*/ 55307 h 143510"/>
                <a:gd name="T12" fmla="*/ 0 w 360045"/>
                <a:gd name="T13" fmla="*/ 62509 h 143510"/>
                <a:gd name="T14" fmla="*/ 16161 w 360045"/>
                <a:gd name="T15" fmla="*/ 69474 h 143510"/>
                <a:gd name="T16" fmla="*/ 81688 w 360045"/>
                <a:gd name="T17" fmla="*/ 95117 h 143510"/>
                <a:gd name="T18" fmla="*/ 179420 w 360045"/>
                <a:gd name="T19" fmla="*/ 131219 h 143510"/>
                <a:gd name="T20" fmla="*/ 221424 w 360045"/>
                <a:gd name="T21" fmla="*/ 143268 h 143510"/>
                <a:gd name="T22" fmla="*/ 249285 w 360045"/>
                <a:gd name="T23" fmla="*/ 141775 h 143510"/>
                <a:gd name="T24" fmla="*/ 267317 w 360045"/>
                <a:gd name="T25" fmla="*/ 127180 h 143510"/>
                <a:gd name="T26" fmla="*/ 280637 w 360045"/>
                <a:gd name="T27" fmla="*/ 104999 h 143510"/>
                <a:gd name="T28" fmla="*/ 294360 w 360045"/>
                <a:gd name="T29" fmla="*/ 80746 h 143510"/>
                <a:gd name="T30" fmla="*/ 307101 w 360045"/>
                <a:gd name="T31" fmla="*/ 62026 h 143510"/>
                <a:gd name="T32" fmla="*/ 316314 w 360045"/>
                <a:gd name="T33" fmla="*/ 50468 h 143510"/>
                <a:gd name="T34" fmla="*/ 251053 w 360045"/>
                <a:gd name="T35" fmla="*/ 50468 h 143510"/>
                <a:gd name="T36" fmla="*/ 232371 w 360045"/>
                <a:gd name="T37" fmla="*/ 49451 h 143510"/>
                <a:gd name="T38" fmla="*/ 218821 w 360045"/>
                <a:gd name="T39" fmla="*/ 44284 h 143510"/>
                <a:gd name="T40" fmla="*/ 204612 w 360045"/>
                <a:gd name="T41" fmla="*/ 33332 h 143510"/>
                <a:gd name="T42" fmla="*/ 185277 w 360045"/>
                <a:gd name="T43" fmla="*/ 19208 h 143510"/>
                <a:gd name="T44" fmla="*/ 166432 w 360045"/>
                <a:gd name="T45" fmla="*/ 6551 h 143510"/>
                <a:gd name="T46" fmla="*/ 153695 w 360045"/>
                <a:gd name="T47" fmla="*/ 0 h 143510"/>
                <a:gd name="T48" fmla="*/ 359486 w 360045"/>
                <a:gd name="T49" fmla="*/ 7810 h 143510"/>
                <a:gd name="T50" fmla="*/ 308935 w 360045"/>
                <a:gd name="T51" fmla="*/ 39684 h 143510"/>
                <a:gd name="T52" fmla="*/ 271202 w 360045"/>
                <a:gd name="T53" fmla="*/ 49044 h 143510"/>
                <a:gd name="T54" fmla="*/ 251053 w 360045"/>
                <a:gd name="T55" fmla="*/ 50468 h 143510"/>
                <a:gd name="T56" fmla="*/ 316314 w 360045"/>
                <a:gd name="T57" fmla="*/ 50468 h 143510"/>
                <a:gd name="T58" fmla="*/ 318131 w 360045"/>
                <a:gd name="T59" fmla="*/ 48188 h 143510"/>
                <a:gd name="T60" fmla="*/ 333558 w 360045"/>
                <a:gd name="T61" fmla="*/ 32395 h 143510"/>
                <a:gd name="T62" fmla="*/ 359486 w 360045"/>
                <a:gd name="T63" fmla="*/ 7810 h 14351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</a:cxnLst>
              <a:rect l="0" t="0" r="r" b="b"/>
              <a:pathLst>
                <a:path w="360045" h="143510">
                  <a:moveTo>
                    <a:pt x="153695" y="0"/>
                  </a:moveTo>
                  <a:lnTo>
                    <a:pt x="110391" y="7812"/>
                  </a:lnTo>
                  <a:lnTo>
                    <a:pt x="65125" y="23444"/>
                  </a:lnTo>
                  <a:lnTo>
                    <a:pt x="47993" y="32110"/>
                  </a:lnTo>
                  <a:lnTo>
                    <a:pt x="23775" y="43953"/>
                  </a:lnTo>
                  <a:lnTo>
                    <a:pt x="3951" y="55307"/>
                  </a:lnTo>
                  <a:lnTo>
                    <a:pt x="0" y="62509"/>
                  </a:lnTo>
                  <a:lnTo>
                    <a:pt x="16161" y="69474"/>
                  </a:lnTo>
                  <a:lnTo>
                    <a:pt x="81688" y="95117"/>
                  </a:lnTo>
                  <a:lnTo>
                    <a:pt x="179420" y="131219"/>
                  </a:lnTo>
                  <a:lnTo>
                    <a:pt x="221424" y="143268"/>
                  </a:lnTo>
                  <a:lnTo>
                    <a:pt x="249285" y="141775"/>
                  </a:lnTo>
                  <a:lnTo>
                    <a:pt x="267317" y="127180"/>
                  </a:lnTo>
                  <a:lnTo>
                    <a:pt x="280637" y="104999"/>
                  </a:lnTo>
                  <a:lnTo>
                    <a:pt x="294360" y="80746"/>
                  </a:lnTo>
                  <a:lnTo>
                    <a:pt x="307101" y="62026"/>
                  </a:lnTo>
                  <a:lnTo>
                    <a:pt x="316314" y="50468"/>
                  </a:lnTo>
                  <a:lnTo>
                    <a:pt x="251053" y="50468"/>
                  </a:lnTo>
                  <a:lnTo>
                    <a:pt x="232371" y="49451"/>
                  </a:lnTo>
                  <a:lnTo>
                    <a:pt x="218821" y="44284"/>
                  </a:lnTo>
                  <a:lnTo>
                    <a:pt x="204612" y="33332"/>
                  </a:lnTo>
                  <a:lnTo>
                    <a:pt x="185277" y="19208"/>
                  </a:lnTo>
                  <a:lnTo>
                    <a:pt x="166432" y="6551"/>
                  </a:lnTo>
                  <a:lnTo>
                    <a:pt x="153695" y="0"/>
                  </a:lnTo>
                  <a:close/>
                </a:path>
                <a:path w="360045" h="143510">
                  <a:moveTo>
                    <a:pt x="359486" y="7810"/>
                  </a:moveTo>
                  <a:lnTo>
                    <a:pt x="308935" y="39684"/>
                  </a:lnTo>
                  <a:lnTo>
                    <a:pt x="271202" y="49044"/>
                  </a:lnTo>
                  <a:lnTo>
                    <a:pt x="251053" y="50468"/>
                  </a:lnTo>
                  <a:lnTo>
                    <a:pt x="316314" y="50468"/>
                  </a:lnTo>
                  <a:lnTo>
                    <a:pt x="318131" y="48188"/>
                  </a:lnTo>
                  <a:lnTo>
                    <a:pt x="333558" y="32395"/>
                  </a:lnTo>
                  <a:lnTo>
                    <a:pt x="359486" y="7810"/>
                  </a:lnTo>
                  <a:close/>
                </a:path>
              </a:pathLst>
            </a:custGeom>
            <a:solidFill>
              <a:srgbClr val="760000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round/>
                  <a:headEnd/>
                  <a:tailEnd/>
                </a14:hiddenLine>
              </a:ext>
            </a:extLst>
          </xdr:spPr>
          <xdr:txBody>
            <a:bodyPr wrap="square" lIns="0" tIns="0" rIns="0" bIns="0"/>
            <a:lstStyle>
              <a:defPPr>
                <a:defRPr lang="en-US"/>
              </a:defPPr>
              <a:lvl1pPr algn="l" defTabSz="457200" rtl="0" eaLnBrk="0" fontAlgn="base" hangingPunct="0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1pPr>
              <a:lvl2pPr marL="457200" algn="l" defTabSz="457200" rtl="0" eaLnBrk="0" fontAlgn="base" hangingPunct="0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2pPr>
              <a:lvl3pPr marL="914400" algn="l" defTabSz="457200" rtl="0" eaLnBrk="0" fontAlgn="base" hangingPunct="0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3pPr>
              <a:lvl4pPr marL="1371600" algn="l" defTabSz="457200" rtl="0" eaLnBrk="0" fontAlgn="base" hangingPunct="0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4pPr>
              <a:lvl5pPr marL="1828800" algn="l" defTabSz="457200" rtl="0" eaLnBrk="0" fontAlgn="base" hangingPunct="0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60" name="object 62"/>
            <xdr:cNvSpPr>
              <a:spLocks/>
            </xdr:cNvSpPr>
          </xdr:nvSpPr>
          <xdr:spPr bwMode="auto">
            <a:xfrm>
              <a:off x="14277688" y="3397796"/>
              <a:ext cx="1258363" cy="514995"/>
            </a:xfrm>
            <a:custGeom>
              <a:avLst/>
              <a:gdLst>
                <a:gd name="T0" fmla="*/ 243887 w 521334"/>
                <a:gd name="T1" fmla="*/ 0 h 213360"/>
                <a:gd name="T2" fmla="*/ 213159 w 521334"/>
                <a:gd name="T3" fmla="*/ 653 h 213360"/>
                <a:gd name="T4" fmla="*/ 195376 w 521334"/>
                <a:gd name="T5" fmla="*/ 1306 h 213360"/>
                <a:gd name="T6" fmla="*/ 178399 w 521334"/>
                <a:gd name="T7" fmla="*/ 5376 h 213360"/>
                <a:gd name="T8" fmla="*/ 149458 w 521334"/>
                <a:gd name="T9" fmla="*/ 14330 h 213360"/>
                <a:gd name="T10" fmla="*/ 118076 w 521334"/>
                <a:gd name="T11" fmla="*/ 23284 h 213360"/>
                <a:gd name="T12" fmla="*/ 67769 w 521334"/>
                <a:gd name="T13" fmla="*/ 35494 h 213360"/>
                <a:gd name="T14" fmla="*/ 6962 w 521334"/>
                <a:gd name="T15" fmla="*/ 71309 h 213360"/>
                <a:gd name="T16" fmla="*/ 0 w 521334"/>
                <a:gd name="T17" fmla="*/ 79449 h 213360"/>
                <a:gd name="T18" fmla="*/ 8346 w 521334"/>
                <a:gd name="T19" fmla="*/ 82950 h 213360"/>
                <a:gd name="T20" fmla="*/ 17911 w 521334"/>
                <a:gd name="T21" fmla="*/ 91824 h 213360"/>
                <a:gd name="T22" fmla="*/ 58979 w 521334"/>
                <a:gd name="T23" fmla="*/ 123938 h 213360"/>
                <a:gd name="T24" fmla="*/ 110179 w 521334"/>
                <a:gd name="T25" fmla="*/ 130207 h 213360"/>
                <a:gd name="T26" fmla="*/ 140665 w 521334"/>
                <a:gd name="T27" fmla="*/ 136764 h 213360"/>
                <a:gd name="T28" fmla="*/ 165292 w 521334"/>
                <a:gd name="T29" fmla="*/ 147221 h 213360"/>
                <a:gd name="T30" fmla="*/ 187232 w 521334"/>
                <a:gd name="T31" fmla="*/ 159878 h 213360"/>
                <a:gd name="T32" fmla="*/ 222361 w 521334"/>
                <a:gd name="T33" fmla="*/ 175955 h 213360"/>
                <a:gd name="T34" fmla="*/ 286550 w 521334"/>
                <a:gd name="T35" fmla="*/ 196670 h 213360"/>
                <a:gd name="T36" fmla="*/ 353221 w 521334"/>
                <a:gd name="T37" fmla="*/ 212752 h 213360"/>
                <a:gd name="T38" fmla="*/ 399865 w 521334"/>
                <a:gd name="T39" fmla="*/ 208073 h 213360"/>
                <a:gd name="T40" fmla="*/ 448463 w 521334"/>
                <a:gd name="T41" fmla="*/ 173598 h 213360"/>
                <a:gd name="T42" fmla="*/ 520992 w 521334"/>
                <a:gd name="T43" fmla="*/ 100290 h 213360"/>
                <a:gd name="T44" fmla="*/ 489483 w 521334"/>
                <a:gd name="T45" fmla="*/ 83534 h 213360"/>
                <a:gd name="T46" fmla="*/ 438341 w 521334"/>
                <a:gd name="T47" fmla="*/ 61276 h 213360"/>
                <a:gd name="T48" fmla="*/ 381072 w 521334"/>
                <a:gd name="T49" fmla="*/ 38019 h 213360"/>
                <a:gd name="T50" fmla="*/ 302171 w 521334"/>
                <a:gd name="T51" fmla="*/ 6513 h 213360"/>
                <a:gd name="T52" fmla="*/ 277058 w 521334"/>
                <a:gd name="T53" fmla="*/ 1301 h 213360"/>
                <a:gd name="T54" fmla="*/ 243887 w 521334"/>
                <a:gd name="T55" fmla="*/ 0 h 21336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</a:cxnLst>
              <a:rect l="0" t="0" r="r" b="b"/>
              <a:pathLst>
                <a:path w="521334" h="213360">
                  <a:moveTo>
                    <a:pt x="243887" y="0"/>
                  </a:moveTo>
                  <a:lnTo>
                    <a:pt x="213159" y="653"/>
                  </a:lnTo>
                  <a:lnTo>
                    <a:pt x="195376" y="1306"/>
                  </a:lnTo>
                  <a:lnTo>
                    <a:pt x="178399" y="5376"/>
                  </a:lnTo>
                  <a:lnTo>
                    <a:pt x="149458" y="14330"/>
                  </a:lnTo>
                  <a:lnTo>
                    <a:pt x="118076" y="23284"/>
                  </a:lnTo>
                  <a:lnTo>
                    <a:pt x="67769" y="35494"/>
                  </a:lnTo>
                  <a:lnTo>
                    <a:pt x="6962" y="71309"/>
                  </a:lnTo>
                  <a:lnTo>
                    <a:pt x="0" y="79449"/>
                  </a:lnTo>
                  <a:lnTo>
                    <a:pt x="8346" y="82950"/>
                  </a:lnTo>
                  <a:lnTo>
                    <a:pt x="17911" y="91824"/>
                  </a:lnTo>
                  <a:lnTo>
                    <a:pt x="58979" y="123938"/>
                  </a:lnTo>
                  <a:lnTo>
                    <a:pt x="110179" y="130207"/>
                  </a:lnTo>
                  <a:lnTo>
                    <a:pt x="140665" y="136764"/>
                  </a:lnTo>
                  <a:lnTo>
                    <a:pt x="165292" y="147221"/>
                  </a:lnTo>
                  <a:lnTo>
                    <a:pt x="187232" y="159878"/>
                  </a:lnTo>
                  <a:lnTo>
                    <a:pt x="222361" y="175955"/>
                  </a:lnTo>
                  <a:lnTo>
                    <a:pt x="286550" y="196670"/>
                  </a:lnTo>
                  <a:lnTo>
                    <a:pt x="353221" y="212752"/>
                  </a:lnTo>
                  <a:lnTo>
                    <a:pt x="399865" y="208073"/>
                  </a:lnTo>
                  <a:lnTo>
                    <a:pt x="448463" y="173598"/>
                  </a:lnTo>
                  <a:lnTo>
                    <a:pt x="520992" y="100290"/>
                  </a:lnTo>
                  <a:lnTo>
                    <a:pt x="489483" y="83534"/>
                  </a:lnTo>
                  <a:lnTo>
                    <a:pt x="438341" y="61276"/>
                  </a:lnTo>
                  <a:lnTo>
                    <a:pt x="381072" y="38019"/>
                  </a:lnTo>
                  <a:lnTo>
                    <a:pt x="302171" y="6513"/>
                  </a:lnTo>
                  <a:lnTo>
                    <a:pt x="277058" y="1301"/>
                  </a:lnTo>
                  <a:lnTo>
                    <a:pt x="243887" y="0"/>
                  </a:lnTo>
                  <a:close/>
                </a:path>
              </a:pathLst>
            </a:custGeom>
            <a:solidFill>
              <a:srgbClr val="760000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round/>
                  <a:headEnd/>
                  <a:tailEnd/>
                </a14:hiddenLine>
              </a:ext>
            </a:extLst>
          </xdr:spPr>
          <xdr:txBody>
            <a:bodyPr wrap="square" lIns="0" tIns="0" rIns="0" bIns="0"/>
            <a:lstStyle>
              <a:defPPr>
                <a:defRPr lang="en-US"/>
              </a:defPPr>
              <a:lvl1pPr algn="l" defTabSz="457200" rtl="0" eaLnBrk="0" fontAlgn="base" hangingPunct="0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1pPr>
              <a:lvl2pPr marL="457200" algn="l" defTabSz="457200" rtl="0" eaLnBrk="0" fontAlgn="base" hangingPunct="0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2pPr>
              <a:lvl3pPr marL="914400" algn="l" defTabSz="457200" rtl="0" eaLnBrk="0" fontAlgn="base" hangingPunct="0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3pPr>
              <a:lvl4pPr marL="1371600" algn="l" defTabSz="457200" rtl="0" eaLnBrk="0" fontAlgn="base" hangingPunct="0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4pPr>
              <a:lvl5pPr marL="1828800" algn="l" defTabSz="457200" rtl="0" eaLnBrk="0" fontAlgn="base" hangingPunct="0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61" name="object 63"/>
            <xdr:cNvSpPr>
              <a:spLocks/>
            </xdr:cNvSpPr>
          </xdr:nvSpPr>
          <xdr:spPr bwMode="auto">
            <a:xfrm>
              <a:off x="14335790" y="2849111"/>
              <a:ext cx="1180195" cy="2800283"/>
            </a:xfrm>
            <a:custGeom>
              <a:avLst/>
              <a:gdLst>
                <a:gd name="T0" fmla="*/ 297343 w 488950"/>
                <a:gd name="T1" fmla="*/ 935651 h 1160145"/>
                <a:gd name="T2" fmla="*/ 318120 w 488950"/>
                <a:gd name="T3" fmla="*/ 1041239 h 1160145"/>
                <a:gd name="T4" fmla="*/ 346517 w 488950"/>
                <a:gd name="T5" fmla="*/ 1160124 h 1160145"/>
                <a:gd name="T6" fmla="*/ 376794 w 488950"/>
                <a:gd name="T7" fmla="*/ 1125529 h 1160145"/>
                <a:gd name="T8" fmla="*/ 343000 w 488950"/>
                <a:gd name="T9" fmla="*/ 935651 h 1160145"/>
                <a:gd name="T10" fmla="*/ 122172 w 488950"/>
                <a:gd name="T11" fmla="*/ 423283 h 1160145"/>
                <a:gd name="T12" fmla="*/ 140434 w 488950"/>
                <a:gd name="T13" fmla="*/ 505934 h 1160145"/>
                <a:gd name="T14" fmla="*/ 150036 w 488950"/>
                <a:gd name="T15" fmla="*/ 561687 h 1160145"/>
                <a:gd name="T16" fmla="*/ 167181 w 488950"/>
                <a:gd name="T17" fmla="*/ 640237 h 1160145"/>
                <a:gd name="T18" fmla="*/ 211341 w 488950"/>
                <a:gd name="T19" fmla="*/ 809233 h 1160145"/>
                <a:gd name="T20" fmla="*/ 232697 w 488950"/>
                <a:gd name="T21" fmla="*/ 874663 h 1160145"/>
                <a:gd name="T22" fmla="*/ 247792 w 488950"/>
                <a:gd name="T23" fmla="*/ 939343 h 1160145"/>
                <a:gd name="T24" fmla="*/ 266607 w 488950"/>
                <a:gd name="T25" fmla="*/ 1028651 h 1160145"/>
                <a:gd name="T26" fmla="*/ 255700 w 488950"/>
                <a:gd name="T27" fmla="*/ 1134178 h 1160145"/>
                <a:gd name="T28" fmla="*/ 300937 w 488950"/>
                <a:gd name="T29" fmla="*/ 1142687 h 1160145"/>
                <a:gd name="T30" fmla="*/ 303871 w 488950"/>
                <a:gd name="T31" fmla="*/ 1041988 h 1160145"/>
                <a:gd name="T32" fmla="*/ 300226 w 488950"/>
                <a:gd name="T33" fmla="*/ 963947 h 1160145"/>
                <a:gd name="T34" fmla="*/ 343000 w 488950"/>
                <a:gd name="T35" fmla="*/ 935651 h 1160145"/>
                <a:gd name="T36" fmla="*/ 342644 w 488950"/>
                <a:gd name="T37" fmla="*/ 768608 h 1160145"/>
                <a:gd name="T38" fmla="*/ 333373 w 488950"/>
                <a:gd name="T39" fmla="*/ 545838 h 1160145"/>
                <a:gd name="T40" fmla="*/ 336956 w 488950"/>
                <a:gd name="T41" fmla="*/ 494765 h 1160145"/>
                <a:gd name="T42" fmla="*/ 339139 w 488950"/>
                <a:gd name="T43" fmla="*/ 465104 h 1160145"/>
                <a:gd name="T44" fmla="*/ 338338 w 488950"/>
                <a:gd name="T45" fmla="*/ 454372 h 1160145"/>
                <a:gd name="T46" fmla="*/ 344180 w 488950"/>
                <a:gd name="T47" fmla="*/ 434814 h 1160145"/>
                <a:gd name="T48" fmla="*/ 413073 w 488950"/>
                <a:gd name="T49" fmla="*/ 423283 h 1160145"/>
                <a:gd name="T50" fmla="*/ 344180 w 488950"/>
                <a:gd name="T51" fmla="*/ 434814 h 1160145"/>
                <a:gd name="T52" fmla="*/ 373648 w 488950"/>
                <a:gd name="T53" fmla="*/ 442026 h 1160145"/>
                <a:gd name="T54" fmla="*/ 392521 w 488950"/>
                <a:gd name="T55" fmla="*/ 434814 h 1160145"/>
                <a:gd name="T56" fmla="*/ 225801 w 488950"/>
                <a:gd name="T57" fmla="*/ 2630 h 1160145"/>
                <a:gd name="T58" fmla="*/ 212422 w 488950"/>
                <a:gd name="T59" fmla="*/ 13114 h 1160145"/>
                <a:gd name="T60" fmla="*/ 212515 w 488950"/>
                <a:gd name="T61" fmla="*/ 22989 h 1160145"/>
                <a:gd name="T62" fmla="*/ 211694 w 488950"/>
                <a:gd name="T63" fmla="*/ 54157 h 1160145"/>
                <a:gd name="T64" fmla="*/ 210157 w 488950"/>
                <a:gd name="T65" fmla="*/ 83951 h 1160145"/>
                <a:gd name="T66" fmla="*/ 196594 w 488950"/>
                <a:gd name="T67" fmla="*/ 184916 h 1160145"/>
                <a:gd name="T68" fmla="*/ 111008 w 488950"/>
                <a:gd name="T69" fmla="*/ 219536 h 1160145"/>
                <a:gd name="T70" fmla="*/ 69768 w 488950"/>
                <a:gd name="T71" fmla="*/ 231108 h 1160145"/>
                <a:gd name="T72" fmla="*/ 44321 w 488950"/>
                <a:gd name="T73" fmla="*/ 271416 h 1160145"/>
                <a:gd name="T74" fmla="*/ 30350 w 488950"/>
                <a:gd name="T75" fmla="*/ 303272 h 1160145"/>
                <a:gd name="T76" fmla="*/ 0 w 488950"/>
                <a:gd name="T77" fmla="*/ 381405 h 1160145"/>
                <a:gd name="T78" fmla="*/ 38542 w 488950"/>
                <a:gd name="T79" fmla="*/ 429048 h 1160145"/>
                <a:gd name="T80" fmla="*/ 71845 w 488950"/>
                <a:gd name="T81" fmla="*/ 430813 h 1160145"/>
                <a:gd name="T82" fmla="*/ 122172 w 488950"/>
                <a:gd name="T83" fmla="*/ 423283 h 1160145"/>
                <a:gd name="T84" fmla="*/ 415627 w 488950"/>
                <a:gd name="T85" fmla="*/ 421849 h 1160145"/>
                <a:gd name="T86" fmla="*/ 456009 w 488950"/>
                <a:gd name="T87" fmla="*/ 384260 h 1160145"/>
                <a:gd name="T88" fmla="*/ 470246 w 488950"/>
                <a:gd name="T89" fmla="*/ 359214 h 1160145"/>
                <a:gd name="T90" fmla="*/ 482104 w 488950"/>
                <a:gd name="T91" fmla="*/ 334842 h 1160145"/>
                <a:gd name="T92" fmla="*/ 486186 w 488950"/>
                <a:gd name="T93" fmla="*/ 301416 h 1160145"/>
                <a:gd name="T94" fmla="*/ 482215 w 488950"/>
                <a:gd name="T95" fmla="*/ 245933 h 1160145"/>
                <a:gd name="T96" fmla="*/ 400162 w 488950"/>
                <a:gd name="T97" fmla="*/ 211345 h 1160145"/>
                <a:gd name="T98" fmla="*/ 352499 w 488950"/>
                <a:gd name="T99" fmla="*/ 199513 h 1160145"/>
                <a:gd name="T100" fmla="*/ 328077 w 488950"/>
                <a:gd name="T101" fmla="*/ 186834 h 1160145"/>
                <a:gd name="T102" fmla="*/ 313662 w 488950"/>
                <a:gd name="T103" fmla="*/ 173385 h 1160145"/>
                <a:gd name="T104" fmla="*/ 318107 w 488950"/>
                <a:gd name="T105" fmla="*/ 118749 h 1160145"/>
                <a:gd name="T106" fmla="*/ 323114 w 488950"/>
                <a:gd name="T107" fmla="*/ 110266 h 1160145"/>
                <a:gd name="T108" fmla="*/ 325778 w 488950"/>
                <a:gd name="T109" fmla="*/ 94962 h 1160145"/>
                <a:gd name="T110" fmla="*/ 312837 w 488950"/>
                <a:gd name="T111" fmla="*/ 92803 h 1160145"/>
                <a:gd name="T112" fmla="*/ 310652 w 488950"/>
                <a:gd name="T113" fmla="*/ 41622 h 1160145"/>
                <a:gd name="T114" fmla="*/ 239983 w 488950"/>
                <a:gd name="T115" fmla="*/ 324 h 1160145"/>
                <a:gd name="T116" fmla="*/ 322641 w 488950"/>
                <a:gd name="T117" fmla="*/ 85869 h 1160145"/>
                <a:gd name="T118" fmla="*/ 325033 w 488950"/>
                <a:gd name="T119" fmla="*/ 92803 h 116014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</a:cxnLst>
              <a:rect l="0" t="0" r="r" b="b"/>
              <a:pathLst>
                <a:path w="488950" h="1160145">
                  <a:moveTo>
                    <a:pt x="343000" y="935651"/>
                  </a:moveTo>
                  <a:lnTo>
                    <a:pt x="297343" y="935651"/>
                  </a:lnTo>
                  <a:lnTo>
                    <a:pt x="303159" y="960594"/>
                  </a:lnTo>
                  <a:lnTo>
                    <a:pt x="318120" y="1041239"/>
                  </a:lnTo>
                  <a:lnTo>
                    <a:pt x="320571" y="1138508"/>
                  </a:lnTo>
                  <a:lnTo>
                    <a:pt x="346517" y="1160124"/>
                  </a:lnTo>
                  <a:lnTo>
                    <a:pt x="368145" y="1155806"/>
                  </a:lnTo>
                  <a:lnTo>
                    <a:pt x="376794" y="1125529"/>
                  </a:lnTo>
                  <a:lnTo>
                    <a:pt x="349565" y="1046446"/>
                  </a:lnTo>
                  <a:lnTo>
                    <a:pt x="343000" y="935651"/>
                  </a:lnTo>
                  <a:close/>
                </a:path>
                <a:path w="488950" h="1160145">
                  <a:moveTo>
                    <a:pt x="413073" y="423283"/>
                  </a:moveTo>
                  <a:lnTo>
                    <a:pt x="122172" y="423283"/>
                  </a:lnTo>
                  <a:lnTo>
                    <a:pt x="131532" y="444923"/>
                  </a:lnTo>
                  <a:lnTo>
                    <a:pt x="140434" y="505934"/>
                  </a:lnTo>
                  <a:lnTo>
                    <a:pt x="145946" y="541672"/>
                  </a:lnTo>
                  <a:lnTo>
                    <a:pt x="150036" y="561687"/>
                  </a:lnTo>
                  <a:lnTo>
                    <a:pt x="157732" y="600130"/>
                  </a:lnTo>
                  <a:lnTo>
                    <a:pt x="167181" y="640237"/>
                  </a:lnTo>
                  <a:lnTo>
                    <a:pt x="206690" y="795405"/>
                  </a:lnTo>
                  <a:lnTo>
                    <a:pt x="211341" y="809233"/>
                  </a:lnTo>
                  <a:lnTo>
                    <a:pt x="221771" y="840673"/>
                  </a:lnTo>
                  <a:lnTo>
                    <a:pt x="232697" y="874663"/>
                  </a:lnTo>
                  <a:lnTo>
                    <a:pt x="238834" y="896142"/>
                  </a:lnTo>
                  <a:lnTo>
                    <a:pt x="247792" y="939343"/>
                  </a:lnTo>
                  <a:lnTo>
                    <a:pt x="258203" y="987759"/>
                  </a:lnTo>
                  <a:lnTo>
                    <a:pt x="266607" y="1028651"/>
                  </a:lnTo>
                  <a:lnTo>
                    <a:pt x="269543" y="1049278"/>
                  </a:lnTo>
                  <a:lnTo>
                    <a:pt x="255700" y="1134178"/>
                  </a:lnTo>
                  <a:lnTo>
                    <a:pt x="268679" y="1155806"/>
                  </a:lnTo>
                  <a:lnTo>
                    <a:pt x="300937" y="1142687"/>
                  </a:lnTo>
                  <a:lnTo>
                    <a:pt x="309586" y="1055704"/>
                  </a:lnTo>
                  <a:lnTo>
                    <a:pt x="303871" y="1041988"/>
                  </a:lnTo>
                  <a:lnTo>
                    <a:pt x="301737" y="1034432"/>
                  </a:lnTo>
                  <a:lnTo>
                    <a:pt x="300226" y="963947"/>
                  </a:lnTo>
                  <a:lnTo>
                    <a:pt x="297343" y="935651"/>
                  </a:lnTo>
                  <a:lnTo>
                    <a:pt x="343000" y="935651"/>
                  </a:lnTo>
                  <a:lnTo>
                    <a:pt x="339481" y="876279"/>
                  </a:lnTo>
                  <a:lnTo>
                    <a:pt x="342644" y="768608"/>
                  </a:lnTo>
                  <a:lnTo>
                    <a:pt x="335532" y="576102"/>
                  </a:lnTo>
                  <a:lnTo>
                    <a:pt x="333373" y="545838"/>
                  </a:lnTo>
                  <a:lnTo>
                    <a:pt x="335061" y="519410"/>
                  </a:lnTo>
                  <a:lnTo>
                    <a:pt x="336956" y="494765"/>
                  </a:lnTo>
                  <a:lnTo>
                    <a:pt x="338500" y="475472"/>
                  </a:lnTo>
                  <a:lnTo>
                    <a:pt x="339139" y="465104"/>
                  </a:lnTo>
                  <a:lnTo>
                    <a:pt x="339139" y="462818"/>
                  </a:lnTo>
                  <a:lnTo>
                    <a:pt x="338338" y="454372"/>
                  </a:lnTo>
                  <a:lnTo>
                    <a:pt x="344180" y="443463"/>
                  </a:lnTo>
                  <a:lnTo>
                    <a:pt x="344180" y="434814"/>
                  </a:lnTo>
                  <a:lnTo>
                    <a:pt x="392521" y="434814"/>
                  </a:lnTo>
                  <a:lnTo>
                    <a:pt x="413073" y="423283"/>
                  </a:lnTo>
                  <a:close/>
                </a:path>
                <a:path w="488950" h="1160145">
                  <a:moveTo>
                    <a:pt x="392521" y="434814"/>
                  </a:moveTo>
                  <a:lnTo>
                    <a:pt x="344180" y="434814"/>
                  </a:lnTo>
                  <a:lnTo>
                    <a:pt x="367256" y="443463"/>
                  </a:lnTo>
                  <a:lnTo>
                    <a:pt x="373648" y="442026"/>
                  </a:lnTo>
                  <a:lnTo>
                    <a:pt x="390789" y="435786"/>
                  </a:lnTo>
                  <a:lnTo>
                    <a:pt x="392521" y="434814"/>
                  </a:lnTo>
                  <a:close/>
                </a:path>
                <a:path w="488950" h="1160145">
                  <a:moveTo>
                    <a:pt x="232420" y="0"/>
                  </a:moveTo>
                  <a:lnTo>
                    <a:pt x="225801" y="2630"/>
                  </a:lnTo>
                  <a:lnTo>
                    <a:pt x="218527" y="7891"/>
                  </a:lnTo>
                  <a:lnTo>
                    <a:pt x="212422" y="13114"/>
                  </a:lnTo>
                  <a:lnTo>
                    <a:pt x="210411" y="17387"/>
                  </a:lnTo>
                  <a:lnTo>
                    <a:pt x="212515" y="22989"/>
                  </a:lnTo>
                  <a:lnTo>
                    <a:pt x="218755" y="32199"/>
                  </a:lnTo>
                  <a:lnTo>
                    <a:pt x="211694" y="54157"/>
                  </a:lnTo>
                  <a:lnTo>
                    <a:pt x="215529" y="73563"/>
                  </a:lnTo>
                  <a:lnTo>
                    <a:pt x="210157" y="83951"/>
                  </a:lnTo>
                  <a:lnTo>
                    <a:pt x="207109" y="143565"/>
                  </a:lnTo>
                  <a:lnTo>
                    <a:pt x="196594" y="184916"/>
                  </a:lnTo>
                  <a:lnTo>
                    <a:pt x="157960" y="207014"/>
                  </a:lnTo>
                  <a:lnTo>
                    <a:pt x="111008" y="219536"/>
                  </a:lnTo>
                  <a:lnTo>
                    <a:pt x="89141" y="223330"/>
                  </a:lnTo>
                  <a:lnTo>
                    <a:pt x="69768" y="231108"/>
                  </a:lnTo>
                  <a:lnTo>
                    <a:pt x="54344" y="246070"/>
                  </a:lnTo>
                  <a:lnTo>
                    <a:pt x="44321" y="271416"/>
                  </a:lnTo>
                  <a:lnTo>
                    <a:pt x="36625" y="292561"/>
                  </a:lnTo>
                  <a:lnTo>
                    <a:pt x="30350" y="303272"/>
                  </a:lnTo>
                  <a:lnTo>
                    <a:pt x="3513" y="359539"/>
                  </a:lnTo>
                  <a:lnTo>
                    <a:pt x="0" y="381405"/>
                  </a:lnTo>
                  <a:lnTo>
                    <a:pt x="1065" y="388675"/>
                  </a:lnTo>
                  <a:lnTo>
                    <a:pt x="38542" y="429048"/>
                  </a:lnTo>
                  <a:lnTo>
                    <a:pt x="57714" y="432668"/>
                  </a:lnTo>
                  <a:lnTo>
                    <a:pt x="71845" y="430813"/>
                  </a:lnTo>
                  <a:lnTo>
                    <a:pt x="96213" y="426153"/>
                  </a:lnTo>
                  <a:lnTo>
                    <a:pt x="122172" y="423283"/>
                  </a:lnTo>
                  <a:lnTo>
                    <a:pt x="413073" y="423283"/>
                  </a:lnTo>
                  <a:lnTo>
                    <a:pt x="415627" y="421849"/>
                  </a:lnTo>
                  <a:lnTo>
                    <a:pt x="445107" y="397324"/>
                  </a:lnTo>
                  <a:lnTo>
                    <a:pt x="456009" y="384260"/>
                  </a:lnTo>
                  <a:lnTo>
                    <a:pt x="463849" y="371376"/>
                  </a:lnTo>
                  <a:lnTo>
                    <a:pt x="470246" y="359214"/>
                  </a:lnTo>
                  <a:lnTo>
                    <a:pt x="476819" y="348314"/>
                  </a:lnTo>
                  <a:lnTo>
                    <a:pt x="482104" y="334842"/>
                  </a:lnTo>
                  <a:lnTo>
                    <a:pt x="484663" y="317679"/>
                  </a:lnTo>
                  <a:lnTo>
                    <a:pt x="486186" y="301416"/>
                  </a:lnTo>
                  <a:lnTo>
                    <a:pt x="488364" y="290644"/>
                  </a:lnTo>
                  <a:lnTo>
                    <a:pt x="482215" y="245933"/>
                  </a:lnTo>
                  <a:lnTo>
                    <a:pt x="443358" y="216220"/>
                  </a:lnTo>
                  <a:lnTo>
                    <a:pt x="400162" y="211345"/>
                  </a:lnTo>
                  <a:lnTo>
                    <a:pt x="374458" y="206963"/>
                  </a:lnTo>
                  <a:lnTo>
                    <a:pt x="352499" y="199513"/>
                  </a:lnTo>
                  <a:lnTo>
                    <a:pt x="336350" y="191851"/>
                  </a:lnTo>
                  <a:lnTo>
                    <a:pt x="328077" y="186834"/>
                  </a:lnTo>
                  <a:lnTo>
                    <a:pt x="325194" y="183951"/>
                  </a:lnTo>
                  <a:lnTo>
                    <a:pt x="313662" y="173385"/>
                  </a:lnTo>
                  <a:lnTo>
                    <a:pt x="308430" y="123702"/>
                  </a:lnTo>
                  <a:lnTo>
                    <a:pt x="318107" y="118749"/>
                  </a:lnTo>
                  <a:lnTo>
                    <a:pt x="319745" y="116311"/>
                  </a:lnTo>
                  <a:lnTo>
                    <a:pt x="323114" y="110266"/>
                  </a:lnTo>
                  <a:lnTo>
                    <a:pt x="325898" y="102515"/>
                  </a:lnTo>
                  <a:lnTo>
                    <a:pt x="325778" y="94962"/>
                  </a:lnTo>
                  <a:lnTo>
                    <a:pt x="325033" y="92803"/>
                  </a:lnTo>
                  <a:lnTo>
                    <a:pt x="312837" y="92803"/>
                  </a:lnTo>
                  <a:lnTo>
                    <a:pt x="312688" y="83951"/>
                  </a:lnTo>
                  <a:lnTo>
                    <a:pt x="310652" y="41622"/>
                  </a:lnTo>
                  <a:lnTo>
                    <a:pt x="250086" y="3929"/>
                  </a:lnTo>
                  <a:lnTo>
                    <a:pt x="239983" y="324"/>
                  </a:lnTo>
                  <a:lnTo>
                    <a:pt x="232420" y="0"/>
                  </a:lnTo>
                  <a:close/>
                </a:path>
                <a:path w="488950" h="1160145">
                  <a:moveTo>
                    <a:pt x="322641" y="85869"/>
                  </a:moveTo>
                  <a:lnTo>
                    <a:pt x="312837" y="92803"/>
                  </a:lnTo>
                  <a:lnTo>
                    <a:pt x="325033" y="92803"/>
                  </a:lnTo>
                  <a:lnTo>
                    <a:pt x="322641" y="85869"/>
                  </a:lnTo>
                  <a:close/>
                </a:path>
              </a:pathLst>
            </a:custGeom>
            <a:solidFill>
              <a:srgbClr val="DA0000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round/>
                  <a:headEnd/>
                  <a:tailEnd/>
                </a14:hiddenLine>
              </a:ext>
            </a:extLst>
          </xdr:spPr>
          <xdr:txBody>
            <a:bodyPr wrap="square" lIns="0" tIns="0" rIns="0" bIns="0"/>
            <a:lstStyle>
              <a:defPPr>
                <a:defRPr lang="en-US"/>
              </a:defPPr>
              <a:lvl1pPr algn="l" defTabSz="457200" rtl="0" eaLnBrk="0" fontAlgn="base" hangingPunct="0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1pPr>
              <a:lvl2pPr marL="457200" algn="l" defTabSz="457200" rtl="0" eaLnBrk="0" fontAlgn="base" hangingPunct="0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2pPr>
              <a:lvl3pPr marL="914400" algn="l" defTabSz="457200" rtl="0" eaLnBrk="0" fontAlgn="base" hangingPunct="0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3pPr>
              <a:lvl4pPr marL="1371600" algn="l" defTabSz="457200" rtl="0" eaLnBrk="0" fontAlgn="base" hangingPunct="0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4pPr>
              <a:lvl5pPr marL="1828800" algn="l" defTabSz="457200" rtl="0" eaLnBrk="0" fontAlgn="base" hangingPunct="0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62" name="object 64"/>
            <xdr:cNvSpPr>
              <a:spLocks/>
            </xdr:cNvSpPr>
          </xdr:nvSpPr>
          <xdr:spPr bwMode="auto">
            <a:xfrm>
              <a:off x="15180529" y="3266069"/>
              <a:ext cx="945690" cy="282018"/>
            </a:xfrm>
            <a:custGeom>
              <a:avLst/>
              <a:gdLst>
                <a:gd name="T0" fmla="*/ 340952 w 391795"/>
                <a:gd name="T1" fmla="*/ 38505 h 116839"/>
                <a:gd name="T2" fmla="*/ 320623 w 391795"/>
                <a:gd name="T3" fmla="*/ 38505 h 116839"/>
                <a:gd name="T4" fmla="*/ 338415 w 391795"/>
                <a:gd name="T5" fmla="*/ 41281 h 116839"/>
                <a:gd name="T6" fmla="*/ 359034 w 391795"/>
                <a:gd name="T7" fmla="*/ 65143 h 116839"/>
                <a:gd name="T8" fmla="*/ 391344 w 391795"/>
                <a:gd name="T9" fmla="*/ 116238 h 116839"/>
                <a:gd name="T10" fmla="*/ 353456 w 391795"/>
                <a:gd name="T11" fmla="*/ 51595 h 116839"/>
                <a:gd name="T12" fmla="*/ 340952 w 391795"/>
                <a:gd name="T13" fmla="*/ 38505 h 116839"/>
                <a:gd name="T14" fmla="*/ 123217 w 391795"/>
                <a:gd name="T15" fmla="*/ 34061 h 116839"/>
                <a:gd name="T16" fmla="*/ 92527 w 391795"/>
                <a:gd name="T17" fmla="*/ 34061 h 116839"/>
                <a:gd name="T18" fmla="*/ 103017 w 391795"/>
                <a:gd name="T19" fmla="*/ 38823 h 116839"/>
                <a:gd name="T20" fmla="*/ 113506 w 391795"/>
                <a:gd name="T21" fmla="*/ 50668 h 116839"/>
                <a:gd name="T22" fmla="*/ 144558 w 391795"/>
                <a:gd name="T23" fmla="*/ 79975 h 116839"/>
                <a:gd name="T24" fmla="*/ 198973 w 391795"/>
                <a:gd name="T25" fmla="*/ 95723 h 116839"/>
                <a:gd name="T26" fmla="*/ 232476 w 391795"/>
                <a:gd name="T27" fmla="*/ 86158 h 116839"/>
                <a:gd name="T28" fmla="*/ 265565 w 391795"/>
                <a:gd name="T29" fmla="*/ 69268 h 116839"/>
                <a:gd name="T30" fmla="*/ 285745 w 391795"/>
                <a:gd name="T31" fmla="*/ 57248 h 116839"/>
                <a:gd name="T32" fmla="*/ 190767 w 391795"/>
                <a:gd name="T33" fmla="*/ 57248 h 116839"/>
                <a:gd name="T34" fmla="*/ 156646 w 391795"/>
                <a:gd name="T35" fmla="*/ 56102 h 116839"/>
                <a:gd name="T36" fmla="*/ 131220 w 391795"/>
                <a:gd name="T37" fmla="*/ 43238 h 116839"/>
                <a:gd name="T38" fmla="*/ 123217 w 391795"/>
                <a:gd name="T39" fmla="*/ 34061 h 116839"/>
                <a:gd name="T40" fmla="*/ 297634 w 391795"/>
                <a:gd name="T41" fmla="*/ 14677 h 116839"/>
                <a:gd name="T42" fmla="*/ 269662 w 391795"/>
                <a:gd name="T43" fmla="*/ 24984 h 116839"/>
                <a:gd name="T44" fmla="*/ 234956 w 391795"/>
                <a:gd name="T45" fmla="*/ 42857 h 116839"/>
                <a:gd name="T46" fmla="*/ 190767 w 391795"/>
                <a:gd name="T47" fmla="*/ 57248 h 116839"/>
                <a:gd name="T48" fmla="*/ 285745 w 391795"/>
                <a:gd name="T49" fmla="*/ 57248 h 116839"/>
                <a:gd name="T50" fmla="*/ 296792 w 391795"/>
                <a:gd name="T51" fmla="*/ 50668 h 116839"/>
                <a:gd name="T52" fmla="*/ 320623 w 391795"/>
                <a:gd name="T53" fmla="*/ 38505 h 116839"/>
                <a:gd name="T54" fmla="*/ 340952 w 391795"/>
                <a:gd name="T55" fmla="*/ 38505 h 116839"/>
                <a:gd name="T56" fmla="*/ 323892 w 391795"/>
                <a:gd name="T57" fmla="*/ 20645 h 116839"/>
                <a:gd name="T58" fmla="*/ 297634 w 391795"/>
                <a:gd name="T59" fmla="*/ 14677 h 116839"/>
                <a:gd name="T60" fmla="*/ 84958 w 391795"/>
                <a:gd name="T61" fmla="*/ 0 h 116839"/>
                <a:gd name="T62" fmla="*/ 7131 w 391795"/>
                <a:gd name="T63" fmla="*/ 30284 h 116839"/>
                <a:gd name="T64" fmla="*/ 0 w 391795"/>
                <a:gd name="T65" fmla="*/ 43089 h 116839"/>
                <a:gd name="T66" fmla="*/ 5302 w 391795"/>
                <a:gd name="T67" fmla="*/ 48064 h 116839"/>
                <a:gd name="T68" fmla="*/ 14513 w 391795"/>
                <a:gd name="T69" fmla="*/ 51278 h 116839"/>
                <a:gd name="T70" fmla="*/ 24347 w 391795"/>
                <a:gd name="T71" fmla="*/ 52295 h 116839"/>
                <a:gd name="T72" fmla="*/ 37908 w 391795"/>
                <a:gd name="T73" fmla="*/ 49895 h 116839"/>
                <a:gd name="T74" fmla="*/ 78725 w 391795"/>
                <a:gd name="T75" fmla="*/ 35650 h 116839"/>
                <a:gd name="T76" fmla="*/ 92527 w 391795"/>
                <a:gd name="T77" fmla="*/ 34061 h 116839"/>
                <a:gd name="T78" fmla="*/ 123217 w 391795"/>
                <a:gd name="T79" fmla="*/ 34061 h 116839"/>
                <a:gd name="T80" fmla="*/ 113112 w 391795"/>
                <a:gd name="T81" fmla="*/ 22474 h 116839"/>
                <a:gd name="T82" fmla="*/ 100276 w 391795"/>
                <a:gd name="T83" fmla="*/ 5008 h 116839"/>
                <a:gd name="T84" fmla="*/ 84958 w 391795"/>
                <a:gd name="T85" fmla="*/ 0 h 11683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</a:cxnLst>
              <a:rect l="0" t="0" r="r" b="b"/>
              <a:pathLst>
                <a:path w="391795" h="116839">
                  <a:moveTo>
                    <a:pt x="340952" y="38505"/>
                  </a:moveTo>
                  <a:lnTo>
                    <a:pt x="320623" y="38505"/>
                  </a:lnTo>
                  <a:lnTo>
                    <a:pt x="338415" y="41281"/>
                  </a:lnTo>
                  <a:lnTo>
                    <a:pt x="359034" y="65143"/>
                  </a:lnTo>
                  <a:lnTo>
                    <a:pt x="391344" y="116238"/>
                  </a:lnTo>
                  <a:lnTo>
                    <a:pt x="353456" y="51595"/>
                  </a:lnTo>
                  <a:lnTo>
                    <a:pt x="340952" y="38505"/>
                  </a:lnTo>
                  <a:close/>
                </a:path>
                <a:path w="391795" h="116839">
                  <a:moveTo>
                    <a:pt x="123217" y="34061"/>
                  </a:moveTo>
                  <a:lnTo>
                    <a:pt x="92527" y="34061"/>
                  </a:lnTo>
                  <a:lnTo>
                    <a:pt x="103017" y="38823"/>
                  </a:lnTo>
                  <a:lnTo>
                    <a:pt x="113506" y="50668"/>
                  </a:lnTo>
                  <a:lnTo>
                    <a:pt x="144558" y="79975"/>
                  </a:lnTo>
                  <a:lnTo>
                    <a:pt x="198973" y="95723"/>
                  </a:lnTo>
                  <a:lnTo>
                    <a:pt x="232476" y="86158"/>
                  </a:lnTo>
                  <a:lnTo>
                    <a:pt x="265565" y="69268"/>
                  </a:lnTo>
                  <a:lnTo>
                    <a:pt x="285745" y="57248"/>
                  </a:lnTo>
                  <a:lnTo>
                    <a:pt x="190767" y="57248"/>
                  </a:lnTo>
                  <a:lnTo>
                    <a:pt x="156646" y="56102"/>
                  </a:lnTo>
                  <a:lnTo>
                    <a:pt x="131220" y="43238"/>
                  </a:lnTo>
                  <a:lnTo>
                    <a:pt x="123217" y="34061"/>
                  </a:lnTo>
                  <a:close/>
                </a:path>
                <a:path w="391795" h="116839">
                  <a:moveTo>
                    <a:pt x="297634" y="14677"/>
                  </a:moveTo>
                  <a:lnTo>
                    <a:pt x="269662" y="24984"/>
                  </a:lnTo>
                  <a:lnTo>
                    <a:pt x="234956" y="42857"/>
                  </a:lnTo>
                  <a:lnTo>
                    <a:pt x="190767" y="57248"/>
                  </a:lnTo>
                  <a:lnTo>
                    <a:pt x="285745" y="57248"/>
                  </a:lnTo>
                  <a:lnTo>
                    <a:pt x="296792" y="50668"/>
                  </a:lnTo>
                  <a:lnTo>
                    <a:pt x="320623" y="38505"/>
                  </a:lnTo>
                  <a:lnTo>
                    <a:pt x="340952" y="38505"/>
                  </a:lnTo>
                  <a:lnTo>
                    <a:pt x="323892" y="20645"/>
                  </a:lnTo>
                  <a:lnTo>
                    <a:pt x="297634" y="14677"/>
                  </a:lnTo>
                  <a:close/>
                </a:path>
                <a:path w="391795" h="116839">
                  <a:moveTo>
                    <a:pt x="84958" y="0"/>
                  </a:moveTo>
                  <a:lnTo>
                    <a:pt x="7131" y="30284"/>
                  </a:lnTo>
                  <a:lnTo>
                    <a:pt x="0" y="43089"/>
                  </a:lnTo>
                  <a:lnTo>
                    <a:pt x="5302" y="48064"/>
                  </a:lnTo>
                  <a:lnTo>
                    <a:pt x="14513" y="51278"/>
                  </a:lnTo>
                  <a:lnTo>
                    <a:pt x="24347" y="52295"/>
                  </a:lnTo>
                  <a:lnTo>
                    <a:pt x="37908" y="49895"/>
                  </a:lnTo>
                  <a:lnTo>
                    <a:pt x="78725" y="35650"/>
                  </a:lnTo>
                  <a:lnTo>
                    <a:pt x="92527" y="34061"/>
                  </a:lnTo>
                  <a:lnTo>
                    <a:pt x="123217" y="34061"/>
                  </a:lnTo>
                  <a:lnTo>
                    <a:pt x="113112" y="22474"/>
                  </a:lnTo>
                  <a:lnTo>
                    <a:pt x="100276" y="5008"/>
                  </a:lnTo>
                  <a:lnTo>
                    <a:pt x="84958" y="0"/>
                  </a:lnTo>
                  <a:close/>
                </a:path>
              </a:pathLst>
            </a:custGeom>
            <a:solidFill>
              <a:srgbClr val="FF5D5D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round/>
                  <a:headEnd/>
                  <a:tailEnd/>
                </a14:hiddenLine>
              </a:ext>
            </a:extLst>
          </xdr:spPr>
          <xdr:txBody>
            <a:bodyPr wrap="square" lIns="0" tIns="0" rIns="0" bIns="0"/>
            <a:lstStyle>
              <a:defPPr>
                <a:defRPr lang="en-US"/>
              </a:defPPr>
              <a:lvl1pPr algn="l" defTabSz="457200" rtl="0" eaLnBrk="0" fontAlgn="base" hangingPunct="0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1pPr>
              <a:lvl2pPr marL="457200" algn="l" defTabSz="457200" rtl="0" eaLnBrk="0" fontAlgn="base" hangingPunct="0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2pPr>
              <a:lvl3pPr marL="914400" algn="l" defTabSz="457200" rtl="0" eaLnBrk="0" fontAlgn="base" hangingPunct="0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3pPr>
              <a:lvl4pPr marL="1371600" algn="l" defTabSz="457200" rtl="0" eaLnBrk="0" fontAlgn="base" hangingPunct="0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4pPr>
              <a:lvl5pPr marL="1828800" algn="l" defTabSz="457200" rtl="0" eaLnBrk="0" fontAlgn="base" hangingPunct="0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63" name="object 65"/>
            <xdr:cNvSpPr>
              <a:spLocks/>
            </xdr:cNvSpPr>
          </xdr:nvSpPr>
          <xdr:spPr bwMode="auto">
            <a:xfrm>
              <a:off x="13982179" y="3310320"/>
              <a:ext cx="816941" cy="400040"/>
            </a:xfrm>
            <a:custGeom>
              <a:avLst/>
              <a:gdLst>
                <a:gd name="T0" fmla="*/ 37377 w 338454"/>
                <a:gd name="T1" fmla="*/ 79464 h 165735"/>
                <a:gd name="T2" fmla="*/ 21962 w 338454"/>
                <a:gd name="T3" fmla="*/ 101922 h 165735"/>
                <a:gd name="T4" fmla="*/ 0 w 338454"/>
                <a:gd name="T5" fmla="*/ 165190 h 165735"/>
                <a:gd name="T6" fmla="*/ 25917 w 338454"/>
                <a:gd name="T7" fmla="*/ 99212 h 165735"/>
                <a:gd name="T8" fmla="*/ 37377 w 338454"/>
                <a:gd name="T9" fmla="*/ 79464 h 165735"/>
                <a:gd name="T10" fmla="*/ 206838 w 338454"/>
                <a:gd name="T11" fmla="*/ 60052 h 165735"/>
                <a:gd name="T12" fmla="*/ 64725 w 338454"/>
                <a:gd name="T13" fmla="*/ 60052 h 165735"/>
                <a:gd name="T14" fmla="*/ 95529 w 338454"/>
                <a:gd name="T15" fmla="*/ 68797 h 165735"/>
                <a:gd name="T16" fmla="*/ 148462 w 338454"/>
                <a:gd name="T17" fmla="*/ 89315 h 165735"/>
                <a:gd name="T18" fmla="*/ 164237 w 338454"/>
                <a:gd name="T19" fmla="*/ 91148 h 165735"/>
                <a:gd name="T20" fmla="*/ 180212 w 338454"/>
                <a:gd name="T21" fmla="*/ 84431 h 165735"/>
                <a:gd name="T22" fmla="*/ 197484 w 338454"/>
                <a:gd name="T23" fmla="*/ 69695 h 165735"/>
                <a:gd name="T24" fmla="*/ 206838 w 338454"/>
                <a:gd name="T25" fmla="*/ 60052 h 165735"/>
                <a:gd name="T26" fmla="*/ 46225 w 338454"/>
                <a:gd name="T27" fmla="*/ 66572 h 165735"/>
                <a:gd name="T28" fmla="*/ 44507 w 338454"/>
                <a:gd name="T29" fmla="*/ 67178 h 165735"/>
                <a:gd name="T30" fmla="*/ 37377 w 338454"/>
                <a:gd name="T31" fmla="*/ 79464 h 165735"/>
                <a:gd name="T32" fmla="*/ 46225 w 338454"/>
                <a:gd name="T33" fmla="*/ 66572 h 165735"/>
                <a:gd name="T34" fmla="*/ 102938 w 338454"/>
                <a:gd name="T35" fmla="*/ 44392 h 165735"/>
                <a:gd name="T36" fmla="*/ 75182 w 338454"/>
                <a:gd name="T37" fmla="*/ 47312 h 165735"/>
                <a:gd name="T38" fmla="*/ 47607 w 338454"/>
                <a:gd name="T39" fmla="*/ 64559 h 165735"/>
                <a:gd name="T40" fmla="*/ 46225 w 338454"/>
                <a:gd name="T41" fmla="*/ 66572 h 165735"/>
                <a:gd name="T42" fmla="*/ 64725 w 338454"/>
                <a:gd name="T43" fmla="*/ 60052 h 165735"/>
                <a:gd name="T44" fmla="*/ 206838 w 338454"/>
                <a:gd name="T45" fmla="*/ 60052 h 165735"/>
                <a:gd name="T46" fmla="*/ 207785 w 338454"/>
                <a:gd name="T47" fmla="*/ 59076 h 165735"/>
                <a:gd name="T48" fmla="*/ 179946 w 338454"/>
                <a:gd name="T49" fmla="*/ 59076 h 165735"/>
                <a:gd name="T50" fmla="*/ 151993 w 338454"/>
                <a:gd name="T51" fmla="*/ 58383 h 165735"/>
                <a:gd name="T52" fmla="*/ 129125 w 338454"/>
                <a:gd name="T53" fmla="*/ 50012 h 165735"/>
                <a:gd name="T54" fmla="*/ 102938 w 338454"/>
                <a:gd name="T55" fmla="*/ 44392 h 165735"/>
                <a:gd name="T56" fmla="*/ 267579 w 338454"/>
                <a:gd name="T57" fmla="*/ 0 h 165735"/>
                <a:gd name="T58" fmla="*/ 255532 w 338454"/>
                <a:gd name="T59" fmla="*/ 1672 h 165735"/>
                <a:gd name="T60" fmla="*/ 241020 w 338454"/>
                <a:gd name="T61" fmla="*/ 8891 h 165735"/>
                <a:gd name="T62" fmla="*/ 222832 w 338454"/>
                <a:gd name="T63" fmla="*/ 24314 h 165735"/>
                <a:gd name="T64" fmla="*/ 203000 w 338454"/>
                <a:gd name="T65" fmla="*/ 44392 h 165735"/>
                <a:gd name="T66" fmla="*/ 179946 w 338454"/>
                <a:gd name="T67" fmla="*/ 59076 h 165735"/>
                <a:gd name="T68" fmla="*/ 207785 w 338454"/>
                <a:gd name="T69" fmla="*/ 59076 h 165735"/>
                <a:gd name="T70" fmla="*/ 214144 w 338454"/>
                <a:gd name="T71" fmla="*/ 52520 h 165735"/>
                <a:gd name="T72" fmla="*/ 231208 w 338454"/>
                <a:gd name="T73" fmla="*/ 38277 h 165735"/>
                <a:gd name="T74" fmla="*/ 249694 w 338454"/>
                <a:gd name="T75" fmla="*/ 32335 h 165735"/>
                <a:gd name="T76" fmla="*/ 332549 w 338454"/>
                <a:gd name="T77" fmla="*/ 32335 h 165735"/>
                <a:gd name="T78" fmla="*/ 310235 w 338454"/>
                <a:gd name="T79" fmla="*/ 15940 h 165735"/>
                <a:gd name="T80" fmla="*/ 283650 w 338454"/>
                <a:gd name="T81" fmla="*/ 4535 h 165735"/>
                <a:gd name="T82" fmla="*/ 267579 w 338454"/>
                <a:gd name="T83" fmla="*/ 0 h 165735"/>
                <a:gd name="T84" fmla="*/ 332549 w 338454"/>
                <a:gd name="T85" fmla="*/ 32335 h 165735"/>
                <a:gd name="T86" fmla="*/ 249694 w 338454"/>
                <a:gd name="T87" fmla="*/ 32335 h 165735"/>
                <a:gd name="T88" fmla="*/ 273893 w 338454"/>
                <a:gd name="T89" fmla="*/ 35308 h 165735"/>
                <a:gd name="T90" fmla="*/ 305949 w 338454"/>
                <a:gd name="T91" fmla="*/ 40598 h 165735"/>
                <a:gd name="T92" fmla="*/ 331960 w 338454"/>
                <a:gd name="T93" fmla="*/ 42762 h 165735"/>
                <a:gd name="T94" fmla="*/ 338023 w 338454"/>
                <a:gd name="T95" fmla="*/ 36357 h 165735"/>
                <a:gd name="T96" fmla="*/ 332549 w 338454"/>
                <a:gd name="T97" fmla="*/ 32335 h 16573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</a:cxnLst>
              <a:rect l="0" t="0" r="r" b="b"/>
              <a:pathLst>
                <a:path w="338454" h="165735">
                  <a:moveTo>
                    <a:pt x="37377" y="79464"/>
                  </a:moveTo>
                  <a:lnTo>
                    <a:pt x="21962" y="101922"/>
                  </a:lnTo>
                  <a:lnTo>
                    <a:pt x="0" y="165190"/>
                  </a:lnTo>
                  <a:lnTo>
                    <a:pt x="25917" y="99212"/>
                  </a:lnTo>
                  <a:lnTo>
                    <a:pt x="37377" y="79464"/>
                  </a:lnTo>
                  <a:close/>
                </a:path>
                <a:path w="338454" h="165735">
                  <a:moveTo>
                    <a:pt x="206838" y="60052"/>
                  </a:moveTo>
                  <a:lnTo>
                    <a:pt x="64725" y="60052"/>
                  </a:lnTo>
                  <a:lnTo>
                    <a:pt x="95529" y="68797"/>
                  </a:lnTo>
                  <a:lnTo>
                    <a:pt x="148462" y="89315"/>
                  </a:lnTo>
                  <a:lnTo>
                    <a:pt x="164237" y="91148"/>
                  </a:lnTo>
                  <a:lnTo>
                    <a:pt x="180212" y="84431"/>
                  </a:lnTo>
                  <a:lnTo>
                    <a:pt x="197484" y="69695"/>
                  </a:lnTo>
                  <a:lnTo>
                    <a:pt x="206838" y="60052"/>
                  </a:lnTo>
                  <a:close/>
                </a:path>
                <a:path w="338454" h="165735">
                  <a:moveTo>
                    <a:pt x="46225" y="66572"/>
                  </a:moveTo>
                  <a:lnTo>
                    <a:pt x="44507" y="67178"/>
                  </a:lnTo>
                  <a:lnTo>
                    <a:pt x="37377" y="79464"/>
                  </a:lnTo>
                  <a:lnTo>
                    <a:pt x="46225" y="66572"/>
                  </a:lnTo>
                  <a:close/>
                </a:path>
                <a:path w="338454" h="165735">
                  <a:moveTo>
                    <a:pt x="102938" y="44392"/>
                  </a:moveTo>
                  <a:lnTo>
                    <a:pt x="75182" y="47312"/>
                  </a:lnTo>
                  <a:lnTo>
                    <a:pt x="47607" y="64559"/>
                  </a:lnTo>
                  <a:lnTo>
                    <a:pt x="46225" y="66572"/>
                  </a:lnTo>
                  <a:lnTo>
                    <a:pt x="64725" y="60052"/>
                  </a:lnTo>
                  <a:lnTo>
                    <a:pt x="206838" y="60052"/>
                  </a:lnTo>
                  <a:lnTo>
                    <a:pt x="207785" y="59076"/>
                  </a:lnTo>
                  <a:lnTo>
                    <a:pt x="179946" y="59076"/>
                  </a:lnTo>
                  <a:lnTo>
                    <a:pt x="151993" y="58383"/>
                  </a:lnTo>
                  <a:lnTo>
                    <a:pt x="129125" y="50012"/>
                  </a:lnTo>
                  <a:lnTo>
                    <a:pt x="102938" y="44392"/>
                  </a:lnTo>
                  <a:close/>
                </a:path>
                <a:path w="338454" h="165735">
                  <a:moveTo>
                    <a:pt x="267579" y="0"/>
                  </a:moveTo>
                  <a:lnTo>
                    <a:pt x="255532" y="1672"/>
                  </a:lnTo>
                  <a:lnTo>
                    <a:pt x="241020" y="8891"/>
                  </a:lnTo>
                  <a:lnTo>
                    <a:pt x="222832" y="24314"/>
                  </a:lnTo>
                  <a:lnTo>
                    <a:pt x="203000" y="44392"/>
                  </a:lnTo>
                  <a:lnTo>
                    <a:pt x="179946" y="59076"/>
                  </a:lnTo>
                  <a:lnTo>
                    <a:pt x="207785" y="59076"/>
                  </a:lnTo>
                  <a:lnTo>
                    <a:pt x="214144" y="52520"/>
                  </a:lnTo>
                  <a:lnTo>
                    <a:pt x="231208" y="38277"/>
                  </a:lnTo>
                  <a:lnTo>
                    <a:pt x="249694" y="32335"/>
                  </a:lnTo>
                  <a:lnTo>
                    <a:pt x="332549" y="32335"/>
                  </a:lnTo>
                  <a:lnTo>
                    <a:pt x="310235" y="15940"/>
                  </a:lnTo>
                  <a:lnTo>
                    <a:pt x="283650" y="4535"/>
                  </a:lnTo>
                  <a:lnTo>
                    <a:pt x="267579" y="0"/>
                  </a:lnTo>
                  <a:close/>
                </a:path>
                <a:path w="338454" h="165735">
                  <a:moveTo>
                    <a:pt x="332549" y="32335"/>
                  </a:moveTo>
                  <a:lnTo>
                    <a:pt x="249694" y="32335"/>
                  </a:lnTo>
                  <a:lnTo>
                    <a:pt x="273893" y="35308"/>
                  </a:lnTo>
                  <a:lnTo>
                    <a:pt x="305949" y="40598"/>
                  </a:lnTo>
                  <a:lnTo>
                    <a:pt x="331960" y="42762"/>
                  </a:lnTo>
                  <a:lnTo>
                    <a:pt x="338023" y="36357"/>
                  </a:lnTo>
                  <a:lnTo>
                    <a:pt x="332549" y="32335"/>
                  </a:lnTo>
                  <a:close/>
                </a:path>
              </a:pathLst>
            </a:custGeom>
            <a:solidFill>
              <a:srgbClr val="FF5D5D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round/>
                  <a:headEnd/>
                  <a:tailEnd/>
                </a14:hiddenLine>
              </a:ext>
            </a:extLst>
          </xdr:spPr>
          <xdr:txBody>
            <a:bodyPr wrap="square" lIns="0" tIns="0" rIns="0" bIns="0"/>
            <a:lstStyle>
              <a:defPPr>
                <a:defRPr lang="en-US"/>
              </a:defPPr>
              <a:lvl1pPr algn="l" defTabSz="457200" rtl="0" eaLnBrk="0" fontAlgn="base" hangingPunct="0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1pPr>
              <a:lvl2pPr marL="457200" algn="l" defTabSz="457200" rtl="0" eaLnBrk="0" fontAlgn="base" hangingPunct="0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2pPr>
              <a:lvl3pPr marL="914400" algn="l" defTabSz="457200" rtl="0" eaLnBrk="0" fontAlgn="base" hangingPunct="0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3pPr>
              <a:lvl4pPr marL="1371600" algn="l" defTabSz="457200" rtl="0" eaLnBrk="0" fontAlgn="base" hangingPunct="0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4pPr>
              <a:lvl5pPr marL="1828800" algn="l" defTabSz="457200" rtl="0" eaLnBrk="0" fontAlgn="base" hangingPunct="0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64" name="object 66"/>
            <xdr:cNvSpPr>
              <a:spLocks/>
            </xdr:cNvSpPr>
          </xdr:nvSpPr>
          <xdr:spPr bwMode="auto">
            <a:xfrm>
              <a:off x="15095073" y="3306618"/>
              <a:ext cx="301946" cy="113421"/>
            </a:xfrm>
            <a:custGeom>
              <a:avLst/>
              <a:gdLst>
                <a:gd name="T0" fmla="*/ 80759 w 125095"/>
                <a:gd name="T1" fmla="*/ 0 h 46989"/>
                <a:gd name="T2" fmla="*/ 67774 w 125095"/>
                <a:gd name="T3" fmla="*/ 3580 h 46989"/>
                <a:gd name="T4" fmla="*/ 55033 w 125095"/>
                <a:gd name="T5" fmla="*/ 9115 h 46989"/>
                <a:gd name="T6" fmla="*/ 34966 w 125095"/>
                <a:gd name="T7" fmla="*/ 20513 h 46989"/>
                <a:gd name="T8" fmla="*/ 0 w 125095"/>
                <a:gd name="T9" fmla="*/ 41681 h 46989"/>
                <a:gd name="T10" fmla="*/ 75552 w 125095"/>
                <a:gd name="T11" fmla="*/ 46888 h 46989"/>
                <a:gd name="T12" fmla="*/ 80719 w 125095"/>
                <a:gd name="T13" fmla="*/ 39118 h 46989"/>
                <a:gd name="T14" fmla="*/ 87596 w 125095"/>
                <a:gd name="T15" fmla="*/ 33543 h 46989"/>
                <a:gd name="T16" fmla="*/ 100825 w 125095"/>
                <a:gd name="T17" fmla="*/ 27478 h 46989"/>
                <a:gd name="T18" fmla="*/ 125044 w 125095"/>
                <a:gd name="T19" fmla="*/ 18237 h 46989"/>
                <a:gd name="T20" fmla="*/ 121055 w 125095"/>
                <a:gd name="T21" fmla="*/ 14655 h 46989"/>
                <a:gd name="T22" fmla="*/ 110717 w 125095"/>
                <a:gd name="T23" fmla="*/ 7165 h 46989"/>
                <a:gd name="T24" fmla="*/ 96470 w 125095"/>
                <a:gd name="T25" fmla="*/ 652 h 46989"/>
                <a:gd name="T26" fmla="*/ 80759 w 125095"/>
                <a:gd name="T27" fmla="*/ 0 h 4698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</a:cxnLst>
              <a:rect l="0" t="0" r="r" b="b"/>
              <a:pathLst>
                <a:path w="125095" h="46989">
                  <a:moveTo>
                    <a:pt x="80759" y="0"/>
                  </a:moveTo>
                  <a:lnTo>
                    <a:pt x="67774" y="3580"/>
                  </a:lnTo>
                  <a:lnTo>
                    <a:pt x="55033" y="9115"/>
                  </a:lnTo>
                  <a:lnTo>
                    <a:pt x="34966" y="20513"/>
                  </a:lnTo>
                  <a:lnTo>
                    <a:pt x="0" y="41681"/>
                  </a:lnTo>
                  <a:lnTo>
                    <a:pt x="75552" y="46888"/>
                  </a:lnTo>
                  <a:lnTo>
                    <a:pt x="80719" y="39118"/>
                  </a:lnTo>
                  <a:lnTo>
                    <a:pt x="87596" y="33543"/>
                  </a:lnTo>
                  <a:lnTo>
                    <a:pt x="100825" y="27478"/>
                  </a:lnTo>
                  <a:lnTo>
                    <a:pt x="125044" y="18237"/>
                  </a:lnTo>
                  <a:lnTo>
                    <a:pt x="121055" y="14655"/>
                  </a:lnTo>
                  <a:lnTo>
                    <a:pt x="110717" y="7165"/>
                  </a:lnTo>
                  <a:lnTo>
                    <a:pt x="96470" y="652"/>
                  </a:lnTo>
                  <a:lnTo>
                    <a:pt x="80759" y="0"/>
                  </a:lnTo>
                  <a:close/>
                </a:path>
              </a:pathLst>
            </a:custGeom>
            <a:solidFill>
              <a:srgbClr val="FF5D5D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round/>
                  <a:headEnd/>
                  <a:tailEnd/>
                </a14:hiddenLine>
              </a:ext>
            </a:extLst>
          </xdr:spPr>
          <xdr:txBody>
            <a:bodyPr wrap="square" lIns="0" tIns="0" rIns="0" bIns="0"/>
            <a:lstStyle>
              <a:defPPr>
                <a:defRPr lang="en-US"/>
              </a:defPPr>
              <a:lvl1pPr algn="l" defTabSz="457200" rtl="0" eaLnBrk="0" fontAlgn="base" hangingPunct="0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1pPr>
              <a:lvl2pPr marL="457200" algn="l" defTabSz="457200" rtl="0" eaLnBrk="0" fontAlgn="base" hangingPunct="0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2pPr>
              <a:lvl3pPr marL="914400" algn="l" defTabSz="457200" rtl="0" eaLnBrk="0" fontAlgn="base" hangingPunct="0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3pPr>
              <a:lvl4pPr marL="1371600" algn="l" defTabSz="457200" rtl="0" eaLnBrk="0" fontAlgn="base" hangingPunct="0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4pPr>
              <a:lvl5pPr marL="1828800" algn="l" defTabSz="457200" rtl="0" eaLnBrk="0" fontAlgn="base" hangingPunct="0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65" name="object 67"/>
            <xdr:cNvSpPr>
              <a:spLocks/>
            </xdr:cNvSpPr>
          </xdr:nvSpPr>
          <xdr:spPr bwMode="auto">
            <a:xfrm>
              <a:off x="14522911" y="3325483"/>
              <a:ext cx="295815" cy="113421"/>
            </a:xfrm>
            <a:custGeom>
              <a:avLst/>
              <a:gdLst>
                <a:gd name="T0" fmla="*/ 44284 w 122554"/>
                <a:gd name="T1" fmla="*/ 0 h 46989"/>
                <a:gd name="T2" fmla="*/ 28573 w 122554"/>
                <a:gd name="T3" fmla="*/ 652 h 46989"/>
                <a:gd name="T4" fmla="*/ 14327 w 122554"/>
                <a:gd name="T5" fmla="*/ 7165 h 46989"/>
                <a:gd name="T6" fmla="*/ 3988 w 122554"/>
                <a:gd name="T7" fmla="*/ 14655 h 46989"/>
                <a:gd name="T8" fmla="*/ 0 w 122554"/>
                <a:gd name="T9" fmla="*/ 18237 h 46989"/>
                <a:gd name="T10" fmla="*/ 28734 w 122554"/>
                <a:gd name="T11" fmla="*/ 27478 h 46989"/>
                <a:gd name="T12" fmla="*/ 44283 w 122554"/>
                <a:gd name="T13" fmla="*/ 33543 h 46989"/>
                <a:gd name="T14" fmla="*/ 52019 w 122554"/>
                <a:gd name="T15" fmla="*/ 39118 h 46989"/>
                <a:gd name="T16" fmla="*/ 57315 w 122554"/>
                <a:gd name="T17" fmla="*/ 46888 h 46989"/>
                <a:gd name="T18" fmla="*/ 122428 w 122554"/>
                <a:gd name="T19" fmla="*/ 41681 h 46989"/>
                <a:gd name="T20" fmla="*/ 88974 w 122554"/>
                <a:gd name="T21" fmla="*/ 20513 h 46989"/>
                <a:gd name="T22" fmla="*/ 69683 w 122554"/>
                <a:gd name="T23" fmla="*/ 9115 h 46989"/>
                <a:gd name="T24" fmla="*/ 57228 w 122554"/>
                <a:gd name="T25" fmla="*/ 3580 h 46989"/>
                <a:gd name="T26" fmla="*/ 44284 w 122554"/>
                <a:gd name="T27" fmla="*/ 0 h 4698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</a:cxnLst>
              <a:rect l="0" t="0" r="r" b="b"/>
              <a:pathLst>
                <a:path w="122554" h="46989">
                  <a:moveTo>
                    <a:pt x="44284" y="0"/>
                  </a:moveTo>
                  <a:lnTo>
                    <a:pt x="28573" y="652"/>
                  </a:lnTo>
                  <a:lnTo>
                    <a:pt x="14327" y="7165"/>
                  </a:lnTo>
                  <a:lnTo>
                    <a:pt x="3988" y="14655"/>
                  </a:lnTo>
                  <a:lnTo>
                    <a:pt x="0" y="18237"/>
                  </a:lnTo>
                  <a:lnTo>
                    <a:pt x="28734" y="27478"/>
                  </a:lnTo>
                  <a:lnTo>
                    <a:pt x="44283" y="33543"/>
                  </a:lnTo>
                  <a:lnTo>
                    <a:pt x="52019" y="39118"/>
                  </a:lnTo>
                  <a:lnTo>
                    <a:pt x="57315" y="46888"/>
                  </a:lnTo>
                  <a:lnTo>
                    <a:pt x="122428" y="41681"/>
                  </a:lnTo>
                  <a:lnTo>
                    <a:pt x="88974" y="20513"/>
                  </a:lnTo>
                  <a:lnTo>
                    <a:pt x="69683" y="9115"/>
                  </a:lnTo>
                  <a:lnTo>
                    <a:pt x="57228" y="3580"/>
                  </a:lnTo>
                  <a:lnTo>
                    <a:pt x="44284" y="0"/>
                  </a:lnTo>
                  <a:close/>
                </a:path>
              </a:pathLst>
            </a:custGeom>
            <a:solidFill>
              <a:srgbClr val="FF5D5D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round/>
                  <a:headEnd/>
                  <a:tailEnd/>
                </a14:hiddenLine>
              </a:ext>
            </a:extLst>
          </xdr:spPr>
          <xdr:txBody>
            <a:bodyPr wrap="square" lIns="0" tIns="0" rIns="0" bIns="0"/>
            <a:lstStyle>
              <a:defPPr>
                <a:defRPr lang="en-US"/>
              </a:defPPr>
              <a:lvl1pPr algn="l" defTabSz="457200" rtl="0" eaLnBrk="0" fontAlgn="base" hangingPunct="0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1pPr>
              <a:lvl2pPr marL="457200" algn="l" defTabSz="457200" rtl="0" eaLnBrk="0" fontAlgn="base" hangingPunct="0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2pPr>
              <a:lvl3pPr marL="914400" algn="l" defTabSz="457200" rtl="0" eaLnBrk="0" fontAlgn="base" hangingPunct="0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3pPr>
              <a:lvl4pPr marL="1371600" algn="l" defTabSz="457200" rtl="0" eaLnBrk="0" fontAlgn="base" hangingPunct="0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4pPr>
              <a:lvl5pPr marL="1828800" algn="l" defTabSz="457200" rtl="0" eaLnBrk="0" fontAlgn="base" hangingPunct="0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kern="1200">
                  <a:solidFill>
                    <a:schemeClr val="tx1"/>
                  </a:solidFill>
                  <a:latin typeface="Calibri" panose="020F0502020204030204" pitchFamily="34" charset="0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</xdr:grpSp>
    </xdr:grpSp>
    <xdr:clientData/>
  </xdr:twoCellAnchor>
  <xdr:twoCellAnchor>
    <xdr:from>
      <xdr:col>2</xdr:col>
      <xdr:colOff>60550</xdr:colOff>
      <xdr:row>6</xdr:row>
      <xdr:rowOff>140156</xdr:rowOff>
    </xdr:from>
    <xdr:to>
      <xdr:col>5</xdr:col>
      <xdr:colOff>203424</xdr:colOff>
      <xdr:row>8</xdr:row>
      <xdr:rowOff>36295</xdr:rowOff>
    </xdr:to>
    <xdr:sp macro="" textlink="">
      <xdr:nvSpPr>
        <xdr:cNvPr id="71" name="Rectangle 70"/>
        <xdr:cNvSpPr/>
      </xdr:nvSpPr>
      <xdr:spPr>
        <a:xfrm>
          <a:off x="717775" y="1740356"/>
          <a:ext cx="1952624" cy="277139"/>
        </a:xfrm>
        <a:prstGeom prst="rect">
          <a:avLst/>
        </a:prstGeom>
      </xdr:spPr>
      <xdr:txBody>
        <a:bodyPr wrap="square" anchor="ctr">
          <a:noAutofit/>
        </a:bodyPr>
        <a:lstStyle>
          <a:defPPr>
            <a:defRPr lang="fr-FR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fr-FR" sz="1100" b="1" u="none" cap="small" baseline="0">
              <a:solidFill>
                <a:srgbClr val="C00000"/>
              </a:solidFill>
            </a:rPr>
            <a:t>ATTEINTE OBJECTIF ANNUEL</a:t>
          </a:r>
        </a:p>
      </xdr:txBody>
    </xdr:sp>
    <xdr:clientData/>
  </xdr:twoCellAnchor>
  <xdr:twoCellAnchor>
    <xdr:from>
      <xdr:col>1</xdr:col>
      <xdr:colOff>114300</xdr:colOff>
      <xdr:row>24</xdr:row>
      <xdr:rowOff>0</xdr:rowOff>
    </xdr:from>
    <xdr:to>
      <xdr:col>5</xdr:col>
      <xdr:colOff>361950</xdr:colOff>
      <xdr:row>33</xdr:row>
      <xdr:rowOff>200026</xdr:rowOff>
    </xdr:to>
    <xdr:graphicFrame macro="">
      <xdr:nvGraphicFramePr>
        <xdr:cNvPr id="42" name="Graphique 4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2</xdr:col>
      <xdr:colOff>60550</xdr:colOff>
      <xdr:row>24</xdr:row>
      <xdr:rowOff>152401</xdr:rowOff>
    </xdr:from>
    <xdr:to>
      <xdr:col>5</xdr:col>
      <xdr:colOff>203424</xdr:colOff>
      <xdr:row>26</xdr:row>
      <xdr:rowOff>48540</xdr:rowOff>
    </xdr:to>
    <xdr:sp macro="" textlink="">
      <xdr:nvSpPr>
        <xdr:cNvPr id="43" name="Rectangle 42"/>
        <xdr:cNvSpPr/>
      </xdr:nvSpPr>
      <xdr:spPr>
        <a:xfrm>
          <a:off x="717775" y="5648326"/>
          <a:ext cx="1952624" cy="277139"/>
        </a:xfrm>
        <a:prstGeom prst="rect">
          <a:avLst/>
        </a:prstGeom>
      </xdr:spPr>
      <xdr:txBody>
        <a:bodyPr wrap="square" anchor="ctr">
          <a:noAutofit/>
        </a:bodyPr>
        <a:lstStyle>
          <a:defPPr>
            <a:defRPr lang="fr-FR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fr-FR" sz="1100" b="1" u="none" cap="small" baseline="0">
              <a:solidFill>
                <a:srgbClr val="C00000"/>
              </a:solidFill>
            </a:rPr>
            <a:t>ATTEINTE OBJECTIF ANNUEL</a:t>
          </a:r>
        </a:p>
      </xdr:txBody>
    </xdr:sp>
    <xdr:clientData/>
  </xdr:twoCellAnchor>
  <xdr:twoCellAnchor>
    <xdr:from>
      <xdr:col>1</xdr:col>
      <xdr:colOff>114300</xdr:colOff>
      <xdr:row>42</xdr:row>
      <xdr:rowOff>0</xdr:rowOff>
    </xdr:from>
    <xdr:to>
      <xdr:col>5</xdr:col>
      <xdr:colOff>361950</xdr:colOff>
      <xdr:row>52</xdr:row>
      <xdr:rowOff>19051</xdr:rowOff>
    </xdr:to>
    <xdr:graphicFrame macro="">
      <xdr:nvGraphicFramePr>
        <xdr:cNvPr id="44" name="Graphique 4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2</xdr:col>
      <xdr:colOff>60550</xdr:colOff>
      <xdr:row>42</xdr:row>
      <xdr:rowOff>152401</xdr:rowOff>
    </xdr:from>
    <xdr:to>
      <xdr:col>5</xdr:col>
      <xdr:colOff>203424</xdr:colOff>
      <xdr:row>44</xdr:row>
      <xdr:rowOff>48540</xdr:rowOff>
    </xdr:to>
    <xdr:sp macro="" textlink="">
      <xdr:nvSpPr>
        <xdr:cNvPr id="52" name="Rectangle 51"/>
        <xdr:cNvSpPr/>
      </xdr:nvSpPr>
      <xdr:spPr>
        <a:xfrm>
          <a:off x="717775" y="9477376"/>
          <a:ext cx="1952624" cy="277139"/>
        </a:xfrm>
        <a:prstGeom prst="rect">
          <a:avLst/>
        </a:prstGeom>
      </xdr:spPr>
      <xdr:txBody>
        <a:bodyPr wrap="square" anchor="ctr">
          <a:noAutofit/>
        </a:bodyPr>
        <a:lstStyle>
          <a:defPPr>
            <a:defRPr lang="fr-FR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fr-FR" sz="1100" b="1" u="none" cap="small" baseline="0">
              <a:solidFill>
                <a:srgbClr val="C00000"/>
              </a:solidFill>
            </a:rPr>
            <a:t>ATTEINTE OBJECTIF ANNUEL</a:t>
          </a:r>
        </a:p>
      </xdr:txBody>
    </xdr:sp>
    <xdr:clientData/>
  </xdr:twoCellAnchor>
  <xdr:twoCellAnchor>
    <xdr:from>
      <xdr:col>2</xdr:col>
      <xdr:colOff>104775</xdr:colOff>
      <xdr:row>41</xdr:row>
      <xdr:rowOff>85725</xdr:rowOff>
    </xdr:from>
    <xdr:to>
      <xdr:col>3</xdr:col>
      <xdr:colOff>419100</xdr:colOff>
      <xdr:row>42</xdr:row>
      <xdr:rowOff>43933</xdr:rowOff>
    </xdr:to>
    <xdr:sp macro="" textlink="">
      <xdr:nvSpPr>
        <xdr:cNvPr id="66" name="Espace réservé du texte 10"/>
        <xdr:cNvSpPr txBox="1">
          <a:spLocks/>
        </xdr:cNvSpPr>
      </xdr:nvSpPr>
      <xdr:spPr>
        <a:xfrm>
          <a:off x="762000" y="9191625"/>
          <a:ext cx="1028700" cy="148708"/>
        </a:xfrm>
        <a:prstGeom prst="rect">
          <a:avLst/>
        </a:prstGeom>
        <a:solidFill>
          <a:schemeClr val="bg1"/>
        </a:solidFill>
      </xdr:spPr>
      <xdr:txBody>
        <a:bodyPr vert="horz" wrap="square" lIns="91440" tIns="45720" rIns="91440" bIns="45720" rtlCol="0" anchor="ctr">
          <a:noAutofit/>
        </a:bodyPr>
        <a:lstStyle>
          <a:defPPr>
            <a:defRPr lang="fr-FR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0" lvl="0" indent="0" algn="ctr" defTabSz="914400" rtl="0" eaLnBrk="1" fontAlgn="b" latinLnBrk="0" hangingPunct="1">
            <a:defRPr/>
          </a:pPr>
          <a:r>
            <a:rPr lang="fr-FR" sz="1600" b="1" kern="1200" spc="-5">
              <a:solidFill>
                <a:srgbClr val="C00000"/>
              </a:solidFill>
              <a:latin typeface="Calibri" panose="020F0502020204030204" pitchFamily="34" charset="0"/>
              <a:ea typeface="+mn-ea"/>
              <a:cs typeface="Calibri" panose="020F0502020204030204" pitchFamily="34" charset="0"/>
            </a:rPr>
            <a:t>FORFAITS</a:t>
          </a:r>
        </a:p>
      </xdr:txBody>
    </xdr:sp>
    <xdr:clientData/>
  </xdr:twoCellAnchor>
  <xdr:twoCellAnchor>
    <xdr:from>
      <xdr:col>16</xdr:col>
      <xdr:colOff>76200</xdr:colOff>
      <xdr:row>3</xdr:row>
      <xdr:rowOff>66675</xdr:rowOff>
    </xdr:from>
    <xdr:to>
      <xdr:col>17</xdr:col>
      <xdr:colOff>447675</xdr:colOff>
      <xdr:row>3</xdr:row>
      <xdr:rowOff>276225</xdr:rowOff>
    </xdr:to>
    <xdr:sp macro="" textlink="">
      <xdr:nvSpPr>
        <xdr:cNvPr id="2" name="Rectangle à coins arrondis 1">
          <a:hlinkClick xmlns:r="http://schemas.openxmlformats.org/officeDocument/2006/relationships" r:id="rId8"/>
        </xdr:cNvPr>
        <xdr:cNvSpPr/>
      </xdr:nvSpPr>
      <xdr:spPr>
        <a:xfrm>
          <a:off x="7829550" y="800100"/>
          <a:ext cx="971550" cy="209550"/>
        </a:xfrm>
        <a:prstGeom prst="roundRect">
          <a:avLst/>
        </a:prstGeom>
        <a:solidFill>
          <a:schemeClr val="tx1">
            <a:lumMod val="65000"/>
            <a:lumOff val="35000"/>
          </a:schemeClr>
        </a:solidFill>
        <a:ln>
          <a:solidFill>
            <a:schemeClr val="tx1">
              <a:lumMod val="50000"/>
              <a:lumOff val="50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fr-FR" sz="1100" b="1">
              <a:solidFill>
                <a:schemeClr val="bg1"/>
              </a:solidFill>
            </a:rPr>
            <a:t>LEXIQUE</a:t>
          </a: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ISTO%20BAROMETRE/20201103_Jeu%20de%20Donn&#233;es%20Barom&#232;tre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 UC"/>
      <sheetName val="IARD"/>
      <sheetName val="FORFAITS"/>
      <sheetName val="IZICARTES DEBIT DIFFERES"/>
      <sheetName val="HDG DEBIT DIFFERES"/>
      <sheetName val="CONSO"/>
    </sheetNames>
    <sheetDataSet>
      <sheetData sheetId="0">
        <row r="2">
          <cell r="O2">
            <v>44</v>
          </cell>
        </row>
        <row r="3">
          <cell r="O3">
            <v>6</v>
          </cell>
        </row>
      </sheetData>
      <sheetData sheetId="1"/>
      <sheetData sheetId="2"/>
      <sheetData sheetId="3"/>
      <sheetData sheetId="4"/>
      <sheetData sheetId="5"/>
    </sheetDataSet>
  </externalBook>
</externalLink>
</file>

<file path=xl/tables/table1.xml><?xml version="1.0" encoding="utf-8"?>
<table xmlns="http://schemas.openxmlformats.org/spreadsheetml/2006/main" id="1" name="Tableau1" displayName="Tableau1" ref="A2:A10" totalsRowShown="0" headerRowDxfId="4" dataDxfId="2" headerRowBorderDxfId="3" tableBorderDxfId="1">
  <tableColumns count="1">
    <tableColumn id="1" name="REGION" dataDxfId="0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commerciaux.celca.caisse-epargne.fr/global-bdd/pilotage/la-production-commerciale/barometre-pnb-qualite-2020/" TargetMode="External"/><Relationship Id="rId1" Type="http://schemas.openxmlformats.org/officeDocument/2006/relationships/hyperlink" Target="http://bi4-prod.sigce.caisse-epargne.fr/BOE/OpenDocument/opendoc/openDocument.jsp?sIDType=CUID&amp;iDocID=M144KqQACOAdACkD1gAARUn.An71mMoAAAA" TargetMode="External"/><Relationship Id="rId4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3" Type="http://schemas.openxmlformats.org/officeDocument/2006/relationships/hyperlink" Target="http://commerciaux.celca.caisse-epargne.fr/download/171/tempo-2020/16352/lexique-du-suivi-quotidien-de-la-part-variable-sur-objectifs-2020.docx" TargetMode="External"/><Relationship Id="rId2" Type="http://schemas.openxmlformats.org/officeDocument/2006/relationships/hyperlink" Target="http://commerciaux.celca.caisse-epargne.fr/download/171/tempo-2020/16352/lexique-du-suivi-quotidien-de-la-part-variable-sur-objectifs-2020.docx" TargetMode="External"/><Relationship Id="rId1" Type="http://schemas.openxmlformats.org/officeDocument/2006/relationships/hyperlink" Target="http://commerciaux.celca.caisse-epargne.fr/download/171/tempo-2020/16352/lexique-du-suivi-quotidien-de-la-part-variable-sur-objectifs-2020.docx" TargetMode="External"/><Relationship Id="rId5" Type="http://schemas.openxmlformats.org/officeDocument/2006/relationships/printerSettings" Target="../printerSettings/printerSettings14.bin"/><Relationship Id="rId4" Type="http://schemas.openxmlformats.org/officeDocument/2006/relationships/hyperlink" Target="http://commerciaux.celca.caisse-epargne.fr/download/171/tempo-2020/16352/lexique-du-suivi-quotidien-de-la-part-variable-sur-objectifs-2020.docx" TargetMode="External"/></Relationships>
</file>

<file path=xl/worksheets/_rels/sheet15.xml.rels><?xml version="1.0" encoding="UTF-8" standalone="yes"?>
<Relationships xmlns="http://schemas.openxmlformats.org/package/2006/relationships"><Relationship Id="rId3" Type="http://schemas.openxmlformats.org/officeDocument/2006/relationships/hyperlink" Target="http://commerciaux.celca.caisse-epargne.fr/download/171/tempo-2020/16352/lexique-du-suivi-quotidien-de-la-part-variable-sur-objectifs-2020.docx" TargetMode="External"/><Relationship Id="rId2" Type="http://schemas.openxmlformats.org/officeDocument/2006/relationships/hyperlink" Target="http://commerciaux.celca.caisse-epargne.fr/download/171/tempo-2020/16352/lexique-du-suivi-quotidien-de-la-part-variable-sur-objectifs-2020.docx" TargetMode="External"/><Relationship Id="rId1" Type="http://schemas.openxmlformats.org/officeDocument/2006/relationships/hyperlink" Target="http://commerciaux.celca.caisse-epargne.fr/download/171/tempo-2020/16352/lexique-du-suivi-quotidien-de-la-part-variable-sur-objectifs-2020.docx" TargetMode="External"/><Relationship Id="rId5" Type="http://schemas.openxmlformats.org/officeDocument/2006/relationships/printerSettings" Target="../printerSettings/printerSettings15.bin"/><Relationship Id="rId4" Type="http://schemas.openxmlformats.org/officeDocument/2006/relationships/hyperlink" Target="http://commerciaux.celca.caisse-epargne.fr/download/171/tempo-2020/16352/lexique-du-suivi-quotidien-de-la-part-variable-sur-objectifs-2020.docx" TargetMode="Externa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T92"/>
  <sheetViews>
    <sheetView showGridLines="0" workbookViewId="0">
      <selection activeCell="C34" sqref="C34"/>
    </sheetView>
  </sheetViews>
  <sheetFormatPr baseColWidth="10" defaultRowHeight="15" x14ac:dyDescent="0.25"/>
  <cols>
    <col min="1" max="1" width="0.7109375" customWidth="1"/>
    <col min="2" max="2" width="3.5703125" customWidth="1"/>
    <col min="3" max="3" width="10.85546875" customWidth="1"/>
    <col min="4" max="14" width="8.85546875" customWidth="1"/>
    <col min="15" max="15" width="5.140625" customWidth="1"/>
    <col min="16" max="16" width="2.5703125" style="194" customWidth="1"/>
    <col min="17" max="19" width="11.42578125" style="194"/>
  </cols>
  <sheetData>
    <row r="1" spans="2:20" ht="28.5" customHeight="1" x14ac:dyDescent="0.25">
      <c r="B1" s="265" t="s">
        <v>642</v>
      </c>
      <c r="C1" s="265"/>
      <c r="D1" s="265"/>
      <c r="E1" s="265"/>
      <c r="F1" s="265"/>
      <c r="G1" s="265"/>
      <c r="H1" s="265"/>
      <c r="I1" s="265"/>
      <c r="J1" s="265"/>
      <c r="K1" s="265"/>
      <c r="L1" s="265"/>
      <c r="M1" s="265"/>
      <c r="N1" s="265"/>
      <c r="O1" s="265"/>
      <c r="P1" s="193"/>
      <c r="Q1" s="193"/>
      <c r="R1" s="195"/>
      <c r="S1" s="195"/>
      <c r="T1" s="196"/>
    </row>
    <row r="2" spans="2:20" s="194" customFormat="1" ht="14.25" customHeight="1" x14ac:dyDescent="0.25">
      <c r="B2" s="197"/>
      <c r="C2" s="197"/>
      <c r="D2" s="197"/>
      <c r="E2" s="197"/>
      <c r="F2" s="197"/>
      <c r="G2" s="197"/>
      <c r="H2" s="197"/>
      <c r="I2" s="197"/>
      <c r="J2" s="197"/>
      <c r="K2" s="197"/>
      <c r="L2" s="197"/>
      <c r="M2" s="197"/>
      <c r="N2" s="197"/>
      <c r="O2" s="197"/>
      <c r="P2" s="195"/>
      <c r="Q2" s="195"/>
      <c r="R2" s="195"/>
      <c r="S2" s="195"/>
      <c r="T2" s="196"/>
    </row>
    <row r="3" spans="2:20" x14ac:dyDescent="0.25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</row>
    <row r="4" spans="2:20" ht="9" customHeight="1" x14ac:dyDescent="0.25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</row>
    <row r="5" spans="2:20" ht="40.5" customHeight="1" x14ac:dyDescent="0.25">
      <c r="B5" s="1"/>
      <c r="C5" s="264" t="s">
        <v>643</v>
      </c>
      <c r="D5" s="264"/>
      <c r="E5" s="264"/>
      <c r="F5" s="264"/>
      <c r="G5" s="264"/>
      <c r="H5" s="264"/>
      <c r="I5" s="264"/>
      <c r="J5" s="264"/>
      <c r="K5" s="264"/>
      <c r="L5" s="264"/>
      <c r="M5" s="264"/>
      <c r="N5" s="264"/>
      <c r="O5" s="264"/>
    </row>
    <row r="6" spans="2:20" ht="9.9499999999999993" customHeight="1" x14ac:dyDescent="0.25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</row>
    <row r="7" spans="2:20" ht="32.25" customHeight="1" x14ac:dyDescent="0.25">
      <c r="B7" s="1"/>
      <c r="C7" s="264" t="s">
        <v>644</v>
      </c>
      <c r="D7" s="264"/>
      <c r="E7" s="264"/>
      <c r="F7" s="264"/>
      <c r="G7" s="264"/>
      <c r="H7" s="264"/>
      <c r="I7" s="264"/>
      <c r="J7" s="264"/>
      <c r="K7" s="264"/>
      <c r="L7" s="264"/>
      <c r="M7" s="264"/>
      <c r="N7" s="264"/>
      <c r="O7" s="264"/>
    </row>
    <row r="8" spans="2:20" ht="9.9499999999999993" customHeight="1" x14ac:dyDescent="0.25"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</row>
    <row r="9" spans="2:20" ht="30.75" customHeight="1" x14ac:dyDescent="0.25">
      <c r="B9" s="1"/>
      <c r="C9" s="266" t="s">
        <v>645</v>
      </c>
      <c r="D9" s="266"/>
      <c r="E9" s="266"/>
      <c r="F9" s="266"/>
      <c r="G9" s="266"/>
      <c r="H9" s="266"/>
      <c r="I9" s="266"/>
      <c r="J9" s="266"/>
      <c r="K9" s="266"/>
      <c r="L9" s="266"/>
      <c r="M9" s="266"/>
      <c r="N9" s="266"/>
      <c r="O9" s="266"/>
    </row>
    <row r="10" spans="2:20" x14ac:dyDescent="0.25"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</row>
    <row r="11" spans="2:20" x14ac:dyDescent="0.25">
      <c r="B11" s="1"/>
      <c r="C11" s="267" t="s">
        <v>649</v>
      </c>
      <c r="D11" s="267"/>
      <c r="E11" s="267"/>
      <c r="F11" s="267"/>
      <c r="G11" s="267"/>
      <c r="H11" s="1"/>
      <c r="I11" s="267" t="s">
        <v>652</v>
      </c>
      <c r="J11" s="267"/>
      <c r="K11" s="267"/>
      <c r="L11" s="267"/>
      <c r="M11" s="267"/>
      <c r="N11" s="267"/>
      <c r="O11" s="1"/>
    </row>
    <row r="12" spans="2:20" x14ac:dyDescent="0.25">
      <c r="B12" s="1"/>
      <c r="C12" s="268" t="s">
        <v>650</v>
      </c>
      <c r="D12" s="268"/>
      <c r="E12" s="268"/>
      <c r="F12" s="268"/>
      <c r="G12" s="268"/>
      <c r="H12" s="1"/>
      <c r="I12" s="268" t="s">
        <v>651</v>
      </c>
      <c r="J12" s="268"/>
      <c r="K12" s="268"/>
      <c r="L12" s="268"/>
      <c r="M12" s="268"/>
      <c r="N12" s="268"/>
      <c r="O12" s="1"/>
    </row>
    <row r="13" spans="2:20" x14ac:dyDescent="0.25"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</row>
    <row r="14" spans="2:20" ht="5.25" customHeight="1" x14ac:dyDescent="0.25"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</row>
    <row r="15" spans="2:20" x14ac:dyDescent="0.25"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</row>
    <row r="16" spans="2:20" ht="4.5" customHeight="1" x14ac:dyDescent="0.25"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</row>
    <row r="17" spans="2:15" x14ac:dyDescent="0.25">
      <c r="B17" s="1"/>
      <c r="C17" s="200" t="s">
        <v>646</v>
      </c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</row>
    <row r="18" spans="2:15" ht="9.9499999999999993" customHeight="1" x14ac:dyDescent="0.25">
      <c r="B18" s="1"/>
      <c r="C18" s="200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</row>
    <row r="19" spans="2:15" x14ac:dyDescent="0.25">
      <c r="B19" s="1"/>
      <c r="C19" s="263" t="s">
        <v>673</v>
      </c>
      <c r="D19" s="263"/>
      <c r="E19" s="263"/>
      <c r="F19" s="263"/>
      <c r="G19" s="263"/>
      <c r="H19" s="263"/>
      <c r="I19" s="263"/>
      <c r="J19" s="263"/>
      <c r="K19" s="263"/>
      <c r="L19" s="263"/>
      <c r="M19" s="263"/>
      <c r="N19" s="263"/>
      <c r="O19" s="263"/>
    </row>
    <row r="20" spans="2:15" x14ac:dyDescent="0.25">
      <c r="B20" s="1"/>
      <c r="C20" s="1"/>
      <c r="D20" s="201"/>
      <c r="E20" s="202"/>
      <c r="F20" s="263" t="s">
        <v>674</v>
      </c>
      <c r="G20" s="263"/>
      <c r="H20" s="263"/>
      <c r="I20" s="263"/>
      <c r="J20" s="263"/>
      <c r="K20" s="263"/>
      <c r="L20" s="263"/>
      <c r="M20" s="263"/>
      <c r="N20" s="263"/>
      <c r="O20" s="201"/>
    </row>
    <row r="21" spans="2:15" ht="9.9499999999999993" customHeight="1" x14ac:dyDescent="0.25"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</row>
    <row r="22" spans="2:15" x14ac:dyDescent="0.25">
      <c r="B22" s="1"/>
      <c r="C22" s="200" t="s">
        <v>661</v>
      </c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</row>
    <row r="23" spans="2:15" x14ac:dyDescent="0.25">
      <c r="B23" s="1"/>
      <c r="C23" s="1" t="s">
        <v>675</v>
      </c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</row>
    <row r="24" spans="2:15" x14ac:dyDescent="0.25">
      <c r="B24" s="1"/>
      <c r="C24" s="203" t="s">
        <v>648</v>
      </c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</row>
    <row r="25" spans="2:15" x14ac:dyDescent="0.25">
      <c r="B25" s="1"/>
      <c r="C25" s="203" t="s">
        <v>676</v>
      </c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</row>
    <row r="26" spans="2:15" ht="9.9499999999999993" customHeight="1" x14ac:dyDescent="0.25">
      <c r="B26" s="1"/>
      <c r="C26" s="1"/>
      <c r="D26" s="1"/>
      <c r="E26" s="1"/>
      <c r="F26" s="1"/>
      <c r="G26" s="203"/>
      <c r="H26" s="1"/>
      <c r="I26" s="1"/>
      <c r="J26" s="1"/>
      <c r="K26" s="1"/>
      <c r="L26" s="1"/>
      <c r="M26" s="1"/>
      <c r="N26" s="1"/>
      <c r="O26" s="1"/>
    </row>
    <row r="27" spans="2:15" x14ac:dyDescent="0.25">
      <c r="B27" s="1"/>
      <c r="C27" s="204" t="s">
        <v>677</v>
      </c>
      <c r="D27" s="1"/>
      <c r="E27" s="1"/>
      <c r="F27" s="1"/>
      <c r="G27" s="203"/>
      <c r="H27" s="1"/>
      <c r="I27" s="1"/>
      <c r="J27" s="1"/>
      <c r="K27" s="1"/>
      <c r="L27" s="1"/>
      <c r="M27" s="1"/>
      <c r="N27" s="1"/>
      <c r="O27" s="1"/>
    </row>
    <row r="28" spans="2:15" x14ac:dyDescent="0.25">
      <c r="B28" s="1"/>
      <c r="C28" s="1" t="s">
        <v>662</v>
      </c>
      <c r="D28" s="203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</row>
    <row r="29" spans="2:15" ht="9.9499999999999993" customHeight="1" x14ac:dyDescent="0.25">
      <c r="B29" s="1"/>
      <c r="C29" s="1"/>
      <c r="D29" s="203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</row>
    <row r="30" spans="2:15" x14ac:dyDescent="0.25">
      <c r="B30" s="1"/>
      <c r="C30" s="200" t="s">
        <v>678</v>
      </c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</row>
    <row r="31" spans="2:15" ht="9.9499999999999993" customHeight="1" x14ac:dyDescent="0.25"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</row>
    <row r="32" spans="2:15" x14ac:dyDescent="0.25">
      <c r="B32" s="1"/>
      <c r="C32" s="200" t="s">
        <v>679</v>
      </c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</row>
    <row r="33" spans="2:19" ht="9.9499999999999993" customHeight="1" x14ac:dyDescent="0.25"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</row>
    <row r="34" spans="2:19" x14ac:dyDescent="0.25">
      <c r="B34" s="1"/>
      <c r="C34" s="200" t="s">
        <v>663</v>
      </c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</row>
    <row r="35" spans="2:19" x14ac:dyDescent="0.25">
      <c r="B35" s="1"/>
      <c r="C35" s="200" t="s">
        <v>664</v>
      </c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</row>
    <row r="36" spans="2:19" x14ac:dyDescent="0.25">
      <c r="B36" s="1"/>
      <c r="C36" s="1" t="s">
        <v>665</v>
      </c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</row>
    <row r="37" spans="2:19" ht="4.5" customHeight="1" x14ac:dyDescent="0.25"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</row>
    <row r="38" spans="2:19" x14ac:dyDescent="0.25">
      <c r="B38" s="1"/>
      <c r="C38" s="198" t="s">
        <v>653</v>
      </c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</row>
    <row r="39" spans="2:19" ht="36" customHeight="1" x14ac:dyDescent="0.25">
      <c r="B39" s="1"/>
      <c r="C39" s="264" t="s">
        <v>666</v>
      </c>
      <c r="D39" s="264"/>
      <c r="E39" s="264"/>
      <c r="F39" s="264"/>
      <c r="G39" s="264"/>
      <c r="H39" s="264"/>
      <c r="I39" s="264"/>
      <c r="J39" s="264"/>
      <c r="K39" s="264"/>
      <c r="L39" s="264"/>
      <c r="M39" s="264"/>
      <c r="N39" s="264"/>
      <c r="O39" s="264"/>
    </row>
    <row r="40" spans="2:19" s="4" customFormat="1" x14ac:dyDescent="0.25">
      <c r="B40" s="15"/>
      <c r="C40" s="15" t="s">
        <v>654</v>
      </c>
      <c r="D40" s="15"/>
      <c r="E40" s="15"/>
      <c r="F40" s="15"/>
      <c r="G40" s="15"/>
      <c r="H40" s="15"/>
      <c r="I40" s="15"/>
      <c r="J40" s="15"/>
      <c r="K40" s="15"/>
      <c r="L40" s="15"/>
      <c r="M40" s="15"/>
      <c r="N40" s="15"/>
      <c r="O40" s="15"/>
      <c r="P40" s="199"/>
      <c r="Q40" s="199"/>
      <c r="R40" s="199"/>
      <c r="S40" s="199"/>
    </row>
    <row r="41" spans="2:19" ht="31.5" customHeight="1" x14ac:dyDescent="0.25">
      <c r="B41" s="1"/>
      <c r="C41" s="264" t="s">
        <v>668</v>
      </c>
      <c r="D41" s="264"/>
      <c r="E41" s="264"/>
      <c r="F41" s="264"/>
      <c r="G41" s="264"/>
      <c r="H41" s="264"/>
      <c r="I41" s="264"/>
      <c r="J41" s="264"/>
      <c r="K41" s="264"/>
      <c r="L41" s="264"/>
      <c r="M41" s="264"/>
      <c r="N41" s="264"/>
      <c r="O41" s="264"/>
    </row>
    <row r="42" spans="2:19" x14ac:dyDescent="0.25">
      <c r="B42" s="1"/>
      <c r="C42" s="1" t="s">
        <v>667</v>
      </c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</row>
    <row r="43" spans="2:19" x14ac:dyDescent="0.25">
      <c r="B43" s="1"/>
      <c r="C43" s="205" t="s">
        <v>671</v>
      </c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</row>
    <row r="44" spans="2:19" x14ac:dyDescent="0.25"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</row>
    <row r="45" spans="2:19" ht="6.75" customHeight="1" x14ac:dyDescent="0.25"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</row>
    <row r="46" spans="2:19" ht="9" customHeight="1" x14ac:dyDescent="0.25"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</row>
    <row r="47" spans="2:19" ht="12" customHeight="1" x14ac:dyDescent="0.25"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</row>
    <row r="48" spans="2:19" ht="30" customHeight="1" x14ac:dyDescent="0.25">
      <c r="B48" s="1"/>
      <c r="C48" s="261" t="s">
        <v>647</v>
      </c>
      <c r="D48" s="261"/>
      <c r="E48" s="261"/>
      <c r="F48" s="261"/>
      <c r="G48" s="261"/>
      <c r="H48" s="261"/>
      <c r="I48" s="261"/>
      <c r="J48" s="261"/>
      <c r="K48" s="261"/>
      <c r="L48" s="261"/>
      <c r="M48" s="261"/>
      <c r="N48" s="261"/>
      <c r="O48" s="261"/>
    </row>
    <row r="49" spans="2:15" ht="27.75" customHeight="1" x14ac:dyDescent="0.25">
      <c r="B49" s="1"/>
      <c r="C49" s="262" t="s">
        <v>655</v>
      </c>
      <c r="D49" s="262"/>
      <c r="E49" s="262"/>
      <c r="F49" s="262"/>
      <c r="G49" s="262"/>
      <c r="H49" s="262"/>
      <c r="I49" s="262"/>
      <c r="J49" s="262"/>
      <c r="K49" s="262"/>
      <c r="L49" s="262"/>
      <c r="M49" s="262"/>
      <c r="N49" s="262"/>
      <c r="O49" s="262"/>
    </row>
    <row r="50" spans="2:15" ht="7.5" customHeight="1" x14ac:dyDescent="0.25"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</row>
    <row r="51" spans="2:15" ht="30" customHeight="1" x14ac:dyDescent="0.25">
      <c r="B51" s="1"/>
      <c r="C51" s="261" t="s">
        <v>656</v>
      </c>
      <c r="D51" s="261"/>
      <c r="E51" s="261"/>
      <c r="F51" s="261"/>
      <c r="G51" s="261"/>
      <c r="H51" s="261"/>
      <c r="I51" s="261"/>
      <c r="J51" s="261"/>
      <c r="K51" s="261"/>
      <c r="L51" s="261"/>
      <c r="M51" s="261"/>
      <c r="N51" s="261"/>
      <c r="O51" s="261"/>
    </row>
    <row r="52" spans="2:15" ht="37.5" customHeight="1" x14ac:dyDescent="0.25">
      <c r="B52" s="1"/>
      <c r="C52" s="262" t="s">
        <v>657</v>
      </c>
      <c r="D52" s="262"/>
      <c r="E52" s="262"/>
      <c r="F52" s="262"/>
      <c r="G52" s="262"/>
      <c r="H52" s="262"/>
      <c r="I52" s="262"/>
      <c r="J52" s="262"/>
      <c r="K52" s="262"/>
      <c r="L52" s="262"/>
      <c r="M52" s="262"/>
      <c r="N52" s="262"/>
      <c r="O52" s="262"/>
    </row>
    <row r="53" spans="2:15" ht="29.25" customHeight="1" x14ac:dyDescent="0.25">
      <c r="B53" s="1"/>
      <c r="C53" s="262" t="s">
        <v>658</v>
      </c>
      <c r="D53" s="262"/>
      <c r="E53" s="262"/>
      <c r="F53" s="262"/>
      <c r="G53" s="262"/>
      <c r="H53" s="262"/>
      <c r="I53" s="262"/>
      <c r="J53" s="262"/>
      <c r="K53" s="262"/>
      <c r="L53" s="262"/>
      <c r="M53" s="262"/>
      <c r="N53" s="262"/>
      <c r="O53" s="262"/>
    </row>
    <row r="54" spans="2:15" ht="7.5" customHeight="1" x14ac:dyDescent="0.25"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</row>
    <row r="55" spans="2:15" ht="30" customHeight="1" x14ac:dyDescent="0.25">
      <c r="B55" s="1"/>
      <c r="C55" s="261" t="s">
        <v>659</v>
      </c>
      <c r="D55" s="261"/>
      <c r="E55" s="261"/>
      <c r="F55" s="261"/>
      <c r="G55" s="261"/>
      <c r="H55" s="261"/>
      <c r="I55" s="261"/>
      <c r="J55" s="261"/>
      <c r="K55" s="261"/>
      <c r="L55" s="261"/>
      <c r="M55" s="261"/>
      <c r="N55" s="261"/>
      <c r="O55" s="261"/>
    </row>
    <row r="56" spans="2:15" x14ac:dyDescent="0.25">
      <c r="B56" s="1"/>
      <c r="C56" s="206" t="s">
        <v>660</v>
      </c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</row>
    <row r="57" spans="2:15" x14ac:dyDescent="0.25">
      <c r="B57" s="1"/>
      <c r="C57" s="198" t="s">
        <v>680</v>
      </c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</row>
    <row r="58" spans="2:15" x14ac:dyDescent="0.25">
      <c r="B58" s="1"/>
      <c r="C58" s="198" t="s">
        <v>681</v>
      </c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</row>
    <row r="59" spans="2:15" ht="6" customHeight="1" x14ac:dyDescent="0.25"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</row>
    <row r="60" spans="2:15" x14ac:dyDescent="0.25">
      <c r="B60" s="1"/>
      <c r="C60" s="261" t="s">
        <v>669</v>
      </c>
      <c r="D60" s="261"/>
      <c r="E60" s="261"/>
      <c r="F60" s="261"/>
      <c r="G60" s="261"/>
      <c r="H60" s="261"/>
      <c r="I60" s="261"/>
      <c r="J60" s="261"/>
      <c r="K60" s="261"/>
      <c r="L60" s="261"/>
      <c r="M60" s="261"/>
      <c r="N60" s="261"/>
      <c r="O60" s="261"/>
    </row>
    <row r="61" spans="2:15" x14ac:dyDescent="0.25">
      <c r="B61" s="1"/>
      <c r="C61" s="262" t="s">
        <v>670</v>
      </c>
      <c r="D61" s="262"/>
      <c r="E61" s="262"/>
      <c r="F61" s="262"/>
      <c r="G61" s="262"/>
      <c r="H61" s="262"/>
      <c r="I61" s="262"/>
      <c r="J61" s="262"/>
      <c r="K61" s="262"/>
      <c r="L61" s="262"/>
      <c r="M61" s="262"/>
      <c r="N61" s="262"/>
      <c r="O61" s="262"/>
    </row>
    <row r="62" spans="2:15" x14ac:dyDescent="0.25"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</row>
    <row r="63" spans="2:15" x14ac:dyDescent="0.25"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</row>
    <row r="64" spans="2:15" x14ac:dyDescent="0.25"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</row>
    <row r="65" spans="2:15" x14ac:dyDescent="0.25"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</row>
    <row r="66" spans="2:15" x14ac:dyDescent="0.25"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</row>
    <row r="67" spans="2:15" x14ac:dyDescent="0.25"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</row>
    <row r="68" spans="2:15" x14ac:dyDescent="0.25"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</row>
    <row r="69" spans="2:15" x14ac:dyDescent="0.25"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</row>
    <row r="70" spans="2:15" x14ac:dyDescent="0.25"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</row>
    <row r="71" spans="2:15" x14ac:dyDescent="0.25"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</row>
    <row r="72" spans="2:15" x14ac:dyDescent="0.25"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</row>
    <row r="73" spans="2:15" x14ac:dyDescent="0.25"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</row>
    <row r="74" spans="2:15" x14ac:dyDescent="0.25"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</row>
    <row r="75" spans="2:15" x14ac:dyDescent="0.25"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</row>
    <row r="76" spans="2:15" x14ac:dyDescent="0.25"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</row>
    <row r="77" spans="2:15" x14ac:dyDescent="0.25"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</row>
    <row r="78" spans="2:15" x14ac:dyDescent="0.25"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</row>
    <row r="79" spans="2:15" x14ac:dyDescent="0.25"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</row>
    <row r="80" spans="2:15" x14ac:dyDescent="0.25"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</row>
    <row r="81" spans="2:15" x14ac:dyDescent="0.25"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</row>
    <row r="82" spans="2:15" x14ac:dyDescent="0.25"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</row>
    <row r="83" spans="2:15" x14ac:dyDescent="0.25"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</row>
    <row r="84" spans="2:15" x14ac:dyDescent="0.25"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</row>
    <row r="85" spans="2:15" x14ac:dyDescent="0.25"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</row>
    <row r="86" spans="2:15" x14ac:dyDescent="0.25"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</row>
    <row r="87" spans="2:15" x14ac:dyDescent="0.25"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</row>
    <row r="88" spans="2:15" x14ac:dyDescent="0.25"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</row>
    <row r="89" spans="2:15" x14ac:dyDescent="0.25"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</row>
    <row r="90" spans="2:15" x14ac:dyDescent="0.25"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</row>
    <row r="91" spans="2:15" x14ac:dyDescent="0.25"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</row>
    <row r="92" spans="2:15" x14ac:dyDescent="0.25"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</row>
  </sheetData>
  <mergeCells count="20">
    <mergeCell ref="F20:N20"/>
    <mergeCell ref="C39:O39"/>
    <mergeCell ref="C41:O41"/>
    <mergeCell ref="C48:O48"/>
    <mergeCell ref="B1:O1"/>
    <mergeCell ref="C5:O5"/>
    <mergeCell ref="C19:O19"/>
    <mergeCell ref="C7:O7"/>
    <mergeCell ref="C9:O9"/>
    <mergeCell ref="C11:G11"/>
    <mergeCell ref="C12:G12"/>
    <mergeCell ref="I11:N11"/>
    <mergeCell ref="I12:N12"/>
    <mergeCell ref="C60:O60"/>
    <mergeCell ref="C61:O61"/>
    <mergeCell ref="C49:O49"/>
    <mergeCell ref="C51:O51"/>
    <mergeCell ref="C52:O52"/>
    <mergeCell ref="C53:O53"/>
    <mergeCell ref="C55:O55"/>
  </mergeCells>
  <hyperlinks>
    <hyperlink ref="C12" r:id="rId1"/>
    <hyperlink ref="I12" r:id="rId2"/>
  </hyperlinks>
  <printOptions horizontalCentered="1"/>
  <pageMargins left="7.874015748031496E-2" right="7.874015748031496E-2" top="0.19685039370078741" bottom="0.19685039370078741" header="0.31496062992125984" footer="0.31496062992125984"/>
  <pageSetup paperSize="9" scale="80" orientation="portrait" r:id="rId3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AA59"/>
  <sheetViews>
    <sheetView showGridLines="0" tabSelected="1" zoomScale="90" zoomScaleNormal="90" workbookViewId="0">
      <selection activeCell="T12" sqref="T12"/>
    </sheetView>
  </sheetViews>
  <sheetFormatPr baseColWidth="10" defaultRowHeight="15" x14ac:dyDescent="0.25"/>
  <cols>
    <col min="1" max="1" width="5.140625" customWidth="1"/>
    <col min="2" max="2" width="4.7109375" customWidth="1"/>
    <col min="3" max="3" width="11.7109375" bestFit="1" customWidth="1"/>
    <col min="4" max="9" width="7.7109375" customWidth="1"/>
    <col min="10" max="10" width="3.5703125" customWidth="1"/>
    <col min="11" max="11" width="10.7109375" customWidth="1"/>
    <col min="12" max="12" width="9.28515625" customWidth="1"/>
    <col min="13" max="13" width="1.85546875" customWidth="1"/>
    <col min="14" max="14" width="7.7109375" customWidth="1"/>
    <col min="15" max="15" width="1.7109375" customWidth="1"/>
    <col min="16" max="16" width="13.5703125" customWidth="1"/>
    <col min="17" max="17" width="9" customWidth="1"/>
    <col min="18" max="18" width="7.140625" customWidth="1"/>
    <col min="19" max="19" width="3" customWidth="1"/>
    <col min="23" max="23" width="0" hidden="1" customWidth="1"/>
    <col min="24" max="24" width="21.42578125" hidden="1" customWidth="1"/>
    <col min="25" max="25" width="12.85546875" hidden="1" customWidth="1"/>
    <col min="26" max="26" width="22.5703125" hidden="1" customWidth="1"/>
    <col min="27" max="30" width="0" hidden="1" customWidth="1"/>
  </cols>
  <sheetData>
    <row r="1" spans="2:27" s="4" customFormat="1" ht="27.75" customHeight="1" x14ac:dyDescent="0.25">
      <c r="B1" s="2"/>
      <c r="C1" s="308" t="s">
        <v>1</v>
      </c>
      <c r="D1" s="308"/>
      <c r="E1" s="308"/>
      <c r="F1" s="308"/>
      <c r="G1" s="3"/>
      <c r="H1" s="308" t="s">
        <v>2</v>
      </c>
      <c r="I1" s="308"/>
      <c r="J1" s="308"/>
      <c r="K1" s="308"/>
      <c r="L1" s="308"/>
      <c r="M1" s="3"/>
      <c r="N1" s="308" t="s">
        <v>3</v>
      </c>
      <c r="O1" s="308"/>
      <c r="P1" s="308"/>
      <c r="Q1" s="308"/>
      <c r="R1" s="308"/>
      <c r="S1" s="2"/>
    </row>
    <row r="2" spans="2:27" s="4" customFormat="1" x14ac:dyDescent="0.25">
      <c r="B2" s="2"/>
      <c r="C2" s="309" t="s">
        <v>437</v>
      </c>
      <c r="D2" s="309"/>
      <c r="E2" s="309"/>
      <c r="F2" s="309"/>
      <c r="G2" s="2"/>
      <c r="H2" s="309" t="s">
        <v>201</v>
      </c>
      <c r="I2" s="309"/>
      <c r="J2" s="309"/>
      <c r="K2" s="309"/>
      <c r="L2" s="309"/>
      <c r="M2" s="2"/>
      <c r="N2" s="309" t="s">
        <v>207</v>
      </c>
      <c r="O2" s="309"/>
      <c r="P2" s="309"/>
      <c r="Q2" s="309"/>
      <c r="R2" s="309"/>
      <c r="S2" s="2"/>
      <c r="X2" s="126" t="s">
        <v>559</v>
      </c>
      <c r="Y2" s="187">
        <v>45</v>
      </c>
      <c r="Z2" s="166">
        <f ca="1">WEEKNUM(TODAY())</f>
        <v>45</v>
      </c>
      <c r="AA2" s="188" t="s">
        <v>619</v>
      </c>
    </row>
    <row r="3" spans="2:27" s="4" customFormat="1" x14ac:dyDescent="0.25"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U3" s="15"/>
      <c r="X3" s="126" t="s">
        <v>558</v>
      </c>
      <c r="Y3" s="192">
        <f>50-Y2+1</f>
        <v>6</v>
      </c>
      <c r="Z3" s="168" t="s">
        <v>560</v>
      </c>
    </row>
    <row r="4" spans="2:27" ht="26.25" customHeight="1" x14ac:dyDescent="0.25">
      <c r="B4" s="305" t="s">
        <v>682</v>
      </c>
      <c r="C4" s="306"/>
      <c r="D4" s="306"/>
      <c r="E4" s="306"/>
      <c r="F4" s="306"/>
      <c r="G4" s="306"/>
      <c r="H4" s="306"/>
      <c r="I4" s="306"/>
      <c r="J4" s="306"/>
      <c r="K4" s="306"/>
      <c r="L4" s="306"/>
      <c r="M4" s="306"/>
      <c r="N4" s="306"/>
      <c r="O4" s="306"/>
      <c r="P4" s="306"/>
      <c r="Q4" s="306"/>
      <c r="R4" s="306"/>
      <c r="S4" s="307"/>
      <c r="X4" s="167" t="s">
        <v>553</v>
      </c>
      <c r="Y4" s="174">
        <f>VLOOKUP(N2,'ETP Challenge'!D:F,3,0)</f>
        <v>551314</v>
      </c>
      <c r="Z4" s="127"/>
      <c r="AA4" s="126"/>
    </row>
    <row r="5" spans="2:27" ht="26.25" customHeight="1" thickBot="1" x14ac:dyDescent="0.35">
      <c r="B5" s="40"/>
      <c r="C5" s="41"/>
      <c r="D5" s="41"/>
      <c r="E5" s="41"/>
      <c r="F5" s="41"/>
      <c r="G5" s="41"/>
      <c r="H5" s="41"/>
      <c r="I5" s="41"/>
      <c r="J5" s="41"/>
      <c r="K5" s="41"/>
      <c r="L5" s="41"/>
      <c r="M5" s="41"/>
      <c r="N5" s="41"/>
      <c r="O5" s="41"/>
      <c r="P5" s="41"/>
      <c r="Q5" s="41"/>
      <c r="R5" s="41"/>
      <c r="S5" s="42"/>
    </row>
    <row r="6" spans="2:27" ht="15.75" customHeight="1" x14ac:dyDescent="0.25">
      <c r="B6" s="26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27"/>
      <c r="X6" s="92" t="s">
        <v>377</v>
      </c>
      <c r="Y6" s="93"/>
      <c r="Z6" s="93"/>
    </row>
    <row r="7" spans="2:27" x14ac:dyDescent="0.25">
      <c r="B7" s="26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27"/>
      <c r="X7" s="94" t="s">
        <v>371</v>
      </c>
      <c r="Y7" s="95"/>
      <c r="Z7" s="95">
        <v>80</v>
      </c>
    </row>
    <row r="8" spans="2:27" ht="15" customHeight="1" x14ac:dyDescent="0.25">
      <c r="B8" s="26"/>
      <c r="C8" s="1"/>
      <c r="D8" s="1"/>
      <c r="E8" s="1"/>
      <c r="F8" s="1"/>
      <c r="G8" s="269" t="s">
        <v>672</v>
      </c>
      <c r="H8" s="270"/>
      <c r="I8" s="271"/>
      <c r="J8" s="1"/>
      <c r="K8" s="1"/>
      <c r="L8" s="17"/>
      <c r="M8" s="17"/>
      <c r="N8" s="17"/>
      <c r="O8" s="17"/>
      <c r="P8" s="17"/>
      <c r="Q8" s="17"/>
      <c r="R8" s="17"/>
      <c r="S8" s="27"/>
      <c r="X8" s="94" t="s">
        <v>372</v>
      </c>
      <c r="Y8" s="95"/>
      <c r="Z8" s="95">
        <v>20</v>
      </c>
    </row>
    <row r="9" spans="2:27" ht="15" customHeight="1" x14ac:dyDescent="0.25">
      <c r="B9" s="26"/>
      <c r="C9" s="1"/>
      <c r="D9" s="1"/>
      <c r="E9" s="1"/>
      <c r="F9" s="1"/>
      <c r="G9" s="272"/>
      <c r="H9" s="273"/>
      <c r="I9" s="274"/>
      <c r="J9" s="1"/>
      <c r="K9" s="312" t="s">
        <v>17</v>
      </c>
      <c r="L9" s="312"/>
      <c r="M9" s="43"/>
      <c r="N9" s="284" t="str">
        <f>"2 MRH4 par ETP par semaine, soit "&amp;ROUND(2*SUMIF('ETP Challenge'!$D:$D,$N$2,'ETP Challenge'!$E:$E),0)*6 &amp; " contrats pour mon agence entre le 4 novembre et le 15 décembre"</f>
        <v>2 MRH4 par ETP par semaine, soit 36 contrats pour mon agence entre le 4 novembre et le 15 décembre</v>
      </c>
      <c r="O9" s="284"/>
      <c r="P9" s="284"/>
      <c r="Q9" s="284"/>
      <c r="R9" s="43"/>
      <c r="S9" s="27"/>
      <c r="X9" s="94" t="s">
        <v>373</v>
      </c>
      <c r="Y9" s="95"/>
      <c r="Z9" s="95">
        <v>20</v>
      </c>
    </row>
    <row r="10" spans="2:27" ht="15" customHeight="1" x14ac:dyDescent="0.25">
      <c r="B10" s="26"/>
      <c r="C10" s="1"/>
      <c r="D10" s="1"/>
      <c r="E10" s="1"/>
      <c r="F10" s="1"/>
      <c r="G10" s="272"/>
      <c r="H10" s="273"/>
      <c r="I10" s="274"/>
      <c r="J10" s="1"/>
      <c r="K10" s="312"/>
      <c r="L10" s="312"/>
      <c r="M10" s="43"/>
      <c r="N10" s="284"/>
      <c r="O10" s="284"/>
      <c r="P10" s="284"/>
      <c r="Q10" s="284"/>
      <c r="R10" s="43"/>
      <c r="S10" s="27"/>
      <c r="X10" s="94"/>
      <c r="Y10" s="96"/>
      <c r="Z10" s="96">
        <f>SUM(Z7:Z9)</f>
        <v>120</v>
      </c>
    </row>
    <row r="11" spans="2:27" ht="15" customHeight="1" x14ac:dyDescent="0.25">
      <c r="B11" s="26"/>
      <c r="C11" s="1"/>
      <c r="D11" s="1"/>
      <c r="E11" s="1"/>
      <c r="F11" s="1"/>
      <c r="G11" s="277" t="str">
        <f>ROUND(VLOOKUP(N2,'Meilleures perf'!C:G,3,0),1) &amp; " contrats par ETP"</f>
        <v>5,7 contrats par ETP</v>
      </c>
      <c r="H11" s="278"/>
      <c r="I11" s="279"/>
      <c r="J11" s="1"/>
      <c r="K11" s="312"/>
      <c r="L11" s="312"/>
      <c r="N11" s="284"/>
      <c r="O11" s="284"/>
      <c r="P11" s="284"/>
      <c r="Q11" s="284"/>
      <c r="R11" s="43"/>
      <c r="S11" s="27"/>
      <c r="X11" s="94"/>
      <c r="Y11" s="95"/>
      <c r="Z11" s="95"/>
    </row>
    <row r="12" spans="2:27" ht="15.75" customHeight="1" x14ac:dyDescent="0.25">
      <c r="B12" s="26"/>
      <c r="C12" s="1"/>
      <c r="D12" s="1"/>
      <c r="E12" s="1"/>
      <c r="F12" s="1"/>
      <c r="G12" s="277"/>
      <c r="H12" s="278"/>
      <c r="I12" s="279"/>
      <c r="J12" s="1"/>
      <c r="K12" s="312"/>
      <c r="L12" s="312"/>
      <c r="N12" s="284"/>
      <c r="O12" s="284"/>
      <c r="P12" s="284"/>
      <c r="Q12" s="284"/>
      <c r="R12" s="43"/>
      <c r="S12" s="27"/>
      <c r="X12" s="97" t="s">
        <v>378</v>
      </c>
      <c r="Y12" s="101">
        <f>ROUND(VLOOKUP(N2,'Coller ici dernier suivi PV'!C:BR,35,0)*100,1)</f>
        <v>94.3</v>
      </c>
      <c r="Z12" s="101">
        <f>IF(Y12&gt;=120,120,Y12)</f>
        <v>94.3</v>
      </c>
    </row>
    <row r="13" spans="2:27" ht="15" customHeight="1" x14ac:dyDescent="0.25">
      <c r="B13" s="26"/>
      <c r="C13" s="275" t="str">
        <f>Y12 &amp; "%"</f>
        <v>94,3%</v>
      </c>
      <c r="D13" s="276"/>
      <c r="E13" s="276"/>
      <c r="F13" s="1"/>
      <c r="G13" s="280"/>
      <c r="H13" s="281"/>
      <c r="I13" s="282"/>
      <c r="J13" s="1"/>
      <c r="K13" s="273"/>
      <c r="L13" s="273"/>
      <c r="M13" s="1"/>
      <c r="N13" s="284"/>
      <c r="O13" s="284"/>
      <c r="P13" s="284"/>
      <c r="Q13" s="284"/>
      <c r="R13" s="18"/>
      <c r="S13" s="27"/>
      <c r="X13" s="94" t="s">
        <v>374</v>
      </c>
      <c r="Y13" s="102"/>
      <c r="Z13" s="95">
        <v>1</v>
      </c>
    </row>
    <row r="14" spans="2:27" ht="15.75" thickBot="1" x14ac:dyDescent="0.3">
      <c r="B14" s="26"/>
      <c r="C14" s="1"/>
      <c r="E14" s="1"/>
      <c r="F14" s="1"/>
      <c r="G14" s="1"/>
      <c r="H14" s="1"/>
      <c r="I14" s="1"/>
      <c r="J14" s="1"/>
      <c r="K14" s="18"/>
      <c r="L14" s="18"/>
      <c r="M14" s="5"/>
      <c r="N14" s="23"/>
      <c r="O14" s="24"/>
      <c r="P14" s="17"/>
      <c r="Q14" s="17"/>
      <c r="R14" s="18"/>
      <c r="S14" s="27"/>
      <c r="X14" s="98" t="s">
        <v>375</v>
      </c>
      <c r="Y14" s="103"/>
      <c r="Z14" s="99">
        <f>SUM($Z$7:$Z$10)-(Z13+Z12)</f>
        <v>144.69999999999999</v>
      </c>
    </row>
    <row r="15" spans="2:27" x14ac:dyDescent="0.25">
      <c r="B15" s="26"/>
      <c r="C15" s="1"/>
      <c r="D15" s="1"/>
      <c r="E15" s="1"/>
      <c r="F15" s="1"/>
      <c r="G15" s="1"/>
      <c r="H15" s="1"/>
      <c r="I15" s="1"/>
      <c r="J15" s="1"/>
      <c r="K15" s="1"/>
      <c r="L15" s="1"/>
      <c r="M15" s="5"/>
      <c r="N15" s="190"/>
      <c r="O15" s="24"/>
      <c r="P15" s="17"/>
      <c r="Q15" s="17"/>
      <c r="R15" s="22"/>
      <c r="S15" s="27"/>
      <c r="X15" s="97" t="s">
        <v>379</v>
      </c>
      <c r="Y15" s="101">
        <f>ROUND(VLOOKUP(N2,'Coller ici dernier suivi PV'!C:BR,25,0)*100,1)</f>
        <v>112.2</v>
      </c>
      <c r="Z15" s="101">
        <f>IF(Y15&gt;=120,120,Y15)</f>
        <v>112.2</v>
      </c>
    </row>
    <row r="16" spans="2:27" ht="30" customHeight="1" x14ac:dyDescent="0.25">
      <c r="B16" s="26"/>
      <c r="C16" s="1"/>
      <c r="D16" s="295" t="s">
        <v>443</v>
      </c>
      <c r="E16" s="295"/>
      <c r="F16" s="295"/>
      <c r="G16" s="295"/>
      <c r="H16" s="295"/>
      <c r="I16" s="295"/>
      <c r="J16" s="1"/>
      <c r="K16" s="302" t="s">
        <v>612</v>
      </c>
      <c r="L16" s="303"/>
      <c r="M16" s="5"/>
      <c r="N16" s="300" t="s">
        <v>641</v>
      </c>
      <c r="O16" s="17"/>
      <c r="P16" s="302" t="s">
        <v>618</v>
      </c>
      <c r="Q16" s="310"/>
      <c r="R16" s="303"/>
      <c r="S16" s="27"/>
      <c r="X16" s="94" t="s">
        <v>374</v>
      </c>
      <c r="Y16" s="102"/>
      <c r="Z16" s="95">
        <v>1</v>
      </c>
    </row>
    <row r="17" spans="2:26" ht="18.95" customHeight="1" thickBot="1" x14ac:dyDescent="0.3">
      <c r="B17" s="26"/>
      <c r="C17" s="1"/>
      <c r="D17" s="121" t="s">
        <v>6</v>
      </c>
      <c r="E17" s="121" t="s">
        <v>7</v>
      </c>
      <c r="F17" s="121" t="s">
        <v>8</v>
      </c>
      <c r="G17" s="121" t="s">
        <v>9</v>
      </c>
      <c r="H17" s="121" t="s">
        <v>10</v>
      </c>
      <c r="I17" s="121" t="s">
        <v>11</v>
      </c>
      <c r="J17" s="1"/>
      <c r="K17" s="304"/>
      <c r="L17" s="289"/>
      <c r="M17" s="1"/>
      <c r="N17" s="301"/>
      <c r="O17" s="23"/>
      <c r="P17" s="304"/>
      <c r="Q17" s="311"/>
      <c r="R17" s="289"/>
      <c r="S17" s="27"/>
      <c r="U17" s="1"/>
      <c r="X17" s="98" t="s">
        <v>375</v>
      </c>
      <c r="Y17" s="103"/>
      <c r="Z17" s="99">
        <f>SUM($Z$7:$Z$10)-(Z16+Z15)</f>
        <v>126.8</v>
      </c>
    </row>
    <row r="18" spans="2:26" s="4" customFormat="1" ht="18.95" customHeight="1" x14ac:dyDescent="0.25">
      <c r="B18" s="31"/>
      <c r="C18" s="125" t="s">
        <v>12</v>
      </c>
      <c r="D18" s="120">
        <f>(VLOOKUP($N$2,'CUMUL résultats semaine'!$A:$BL,3,0)/SUMIF('ETP Challenge'!$D:$D,$N$2,'ETP Challenge'!$E:$E))/6</f>
        <v>0.52264808362369342</v>
      </c>
      <c r="E18" s="120">
        <f>IF(ISNUMBER(D$20),(VLOOKUP($N$2,'CUMUL résultats semaine'!$A:$BL,12,0)/SUMIF('ETP Challenge'!$D:$D,$N$2,'ETP Challenge'!$E:$E))/5,D18)</f>
        <v>0.52264808362369342</v>
      </c>
      <c r="F18" s="120">
        <f>IF(ISNUMBER(E$20),(VLOOKUP($N$2,'CUMUL résultats semaine'!$A:$BL,21,0)/SUMIF('ETP Challenge'!$D:$D,$N$2,'ETP Challenge'!$E:$E))/4,E18)</f>
        <v>0.52264808362369342</v>
      </c>
      <c r="G18" s="120">
        <f>IF(ISNUMBER(F$20),(VLOOKUP($N$2,'CUMUL résultats semaine'!$A:$BL,30,0)/SUMIF('ETP Challenge'!$D:$D,$N$2,'ETP Challenge'!$E:$E))/3,F18)</f>
        <v>0.52264808362369342</v>
      </c>
      <c r="H18" s="120">
        <f>IF(ISNUMBER(G$20),(VLOOKUP($N$2,'CUMUL résultats semaine'!$A:$BL,39,0)/SUMIF('ETP Challenge'!$D:$D,$N$2,'ETP Challenge'!$E:$E))/2,G18)</f>
        <v>0.52264808362369342</v>
      </c>
      <c r="I18" s="120">
        <f>IF(ISNUMBER(H$20),(VLOOKUP($N$2,'CUMUL résultats semaine'!$A:$BL,48,0)/SUMIF('ETP Challenge'!$D:$D,$N$2,'ETP Challenge'!$E:$E)),H18)</f>
        <v>0.52264808362369342</v>
      </c>
      <c r="J18" s="15"/>
      <c r="K18" s="32" t="s">
        <v>3</v>
      </c>
      <c r="L18" s="33" t="s">
        <v>18</v>
      </c>
      <c r="M18" s="21"/>
      <c r="N18" s="301"/>
      <c r="O18" s="23"/>
      <c r="P18" s="32" t="s">
        <v>3</v>
      </c>
      <c r="Q18" s="289" t="s">
        <v>18</v>
      </c>
      <c r="R18" s="289"/>
      <c r="S18" s="34"/>
      <c r="X18" s="97" t="s">
        <v>380</v>
      </c>
      <c r="Y18" s="101">
        <f>ROUND(VLOOKUP(N2,'Coller ici dernier suivi PV'!C:BR,55,0)*100,1)</f>
        <v>204.8</v>
      </c>
      <c r="Z18" s="101">
        <f>IF(Y18&gt;=120,120,Y18)</f>
        <v>120</v>
      </c>
    </row>
    <row r="19" spans="2:26" s="4" customFormat="1" ht="18.95" customHeight="1" x14ac:dyDescent="0.25">
      <c r="B19" s="31"/>
      <c r="C19" s="125" t="s">
        <v>13</v>
      </c>
      <c r="D19" s="120">
        <f>(VLOOKUP($N$2,'CUMUL résultats semaine'!$A:$BL,4,0)/SUMIF('ETP Challenge'!$D:$D,$N$2,'ETP Challenge'!$E:$E))/6</f>
        <v>2.264808362369338</v>
      </c>
      <c r="E19" s="120">
        <f>IF(ISNUMBER(D$20),(VLOOKUP($N$2,'CUMUL résultats semaine'!$A:$BL,13,0)/SUMIF('ETP Challenge'!$D:$D,$N$2,'ETP Challenge'!$E:$E))/5,D19)</f>
        <v>2.264808362369338</v>
      </c>
      <c r="F19" s="120">
        <f>IF(ISNUMBER(E$20),(VLOOKUP($N$2,'CUMUL résultats semaine'!$A:$BL,22,0)/SUMIF('ETP Challenge'!$D:$D,$N$2,'ETP Challenge'!$E:$E))/4,E19)</f>
        <v>2.264808362369338</v>
      </c>
      <c r="G19" s="120">
        <f>IF(ISNUMBER(F$20),(VLOOKUP($N$2,'CUMUL résultats semaine'!$A:$BL,31,0)/SUMIF('ETP Challenge'!$D:$D,$N$2,'ETP Challenge'!$E:$E))/3,F19)</f>
        <v>2.264808362369338</v>
      </c>
      <c r="H19" s="120">
        <f>IF(ISNUMBER(G$20),(VLOOKUP($N$2,'CUMUL résultats semaine'!$A:$BL,40,0)/SUMIF('ETP Challenge'!$D:$D,$N$2,'ETP Challenge'!$E:$E))/2,G19)</f>
        <v>2.264808362369338</v>
      </c>
      <c r="I19" s="120">
        <f>IF(ISNUMBER(H$20),(VLOOKUP($N$2,'CUMUL résultats semaine'!$A:$BL,49,0)/SUMIF('ETP Challenge'!$D:$D,$N$2,'ETP Challenge'!$E:$E)),H19)</f>
        <v>2.264808362369338</v>
      </c>
      <c r="J19" s="15"/>
      <c r="K19" s="25">
        <f>IF(ISNUMBER(VLOOKUP(N2,'PROD MRH4'!D:E,2,0)),VLOOKUP(N2,'PROD MRH4'!D:E,2,0),0)</f>
        <v>0</v>
      </c>
      <c r="L19" s="184">
        <f>K19/SUMIF('ETP Challenge'!$D:$D,$N$2,'ETP Challenge'!$E:$E)</f>
        <v>0</v>
      </c>
      <c r="M19" s="21"/>
      <c r="N19" s="191">
        <f>IF(Y3=6,0,L19/(2*(6-Y3)))</f>
        <v>0</v>
      </c>
      <c r="O19" s="23"/>
      <c r="P19" s="185">
        <f>(ROUND(2*SUMIF('ETP Challenge'!$D:$D,$N$2,'ETP Challenge'!$E:$E),1)*6 - K19)/Y3</f>
        <v>5.7</v>
      </c>
      <c r="Q19" s="290">
        <f>P19/SUMIF('ETP Challenge'!$D:$D,$N$2,'ETP Challenge'!$E:$E)</f>
        <v>1.9860627177700347</v>
      </c>
      <c r="R19" s="291"/>
      <c r="S19" s="34"/>
      <c r="X19" s="94" t="s">
        <v>374</v>
      </c>
      <c r="Y19" s="102"/>
      <c r="Z19" s="95">
        <v>1</v>
      </c>
    </row>
    <row r="20" spans="2:26" s="4" customFormat="1" ht="18.95" customHeight="1" thickBot="1" x14ac:dyDescent="0.3">
      <c r="B20" s="31"/>
      <c r="C20" s="125" t="s">
        <v>442</v>
      </c>
      <c r="D20" s="120" t="str">
        <f>IF(ISNUMBER(VLOOKUP($N$2,'CUMUL résultats semaine'!A:BL,11,0)),(VLOOKUP($N$2,'CUMUL résultats semaine'!A:BL,11,0)-VLOOKUP($N$2,'CUMUL résultats semaine'!A:BL,2,0))/SUMIF('ETP Challenge'!$D:$D,$N$2,'ETP Challenge'!$E:$E),"-")</f>
        <v>-</v>
      </c>
      <c r="E20" s="120" t="str">
        <f>IF(ISNUMBER(VLOOKUP($N$2,'CUMUL résultats semaine'!A:BL,20,0)),(VLOOKUP($N$2,'CUMUL résultats semaine'!A:BL,20,0)-VLOOKUP($N$2,'CUMUL résultats semaine'!A:BL,11,0))/SUMIF('ETP Challenge'!$D:$D,$N$2,'ETP Challenge'!$E:$E),"-")</f>
        <v>-</v>
      </c>
      <c r="F20" s="120" t="str">
        <f>IF(ISNUMBER(VLOOKUP($N$2,'CUMUL résultats semaine'!A:BL,29,0)),(VLOOKUP($N$2,'CUMUL résultats semaine'!A:BL,29,0)-VLOOKUP($N$2,'CUMUL résultats semaine'!A:BL,20,0))/SUMIF('ETP Challenge'!$D:$D,$N$2,'ETP Challenge'!$E:$E),"-")</f>
        <v>-</v>
      </c>
      <c r="G20" s="120" t="str">
        <f>IF(ISNUMBER(VLOOKUP($N$2,'CUMUL résultats semaine'!A:BL,38,0)),(VLOOKUP($N$2,'CUMUL résultats semaine'!A:BL,38,0)-VLOOKUP($N$2,'CUMUL résultats semaine'!A:BL,29,0))/SUMIF('ETP Challenge'!$D:$D,$N$2,'ETP Challenge'!$E:$E),"-")</f>
        <v>-</v>
      </c>
      <c r="H20" s="120" t="str">
        <f>IF(ISNUMBER(VLOOKUP($N$2,'CUMUL résultats semaine'!A:BL,47,0)),(VLOOKUP($N$2,'CUMUL résultats semaine'!A:BL,47,0)-VLOOKUP($N$2,'CUMUL résultats semaine'!A:BL,38,0))/SUMIF('ETP Challenge'!$D:$D,$N$2,'ETP Challenge'!$E:$E),"-")</f>
        <v>-</v>
      </c>
      <c r="I20" s="120" t="str">
        <f>IF(ISNUMBER(VLOOKUP($N$2,'CUMUL résultats semaine'!A:BL,56,0)),(VLOOKUP($N$2,'CUMUL résultats semaine'!A:BL,56,0)-VLOOKUP($N$2,'CUMUL résultats semaine'!A:BL,47,0))/SUMIF('ETP Challenge'!$D:$D,$N$2,'ETP Challenge'!$E:$E),"-")</f>
        <v>-</v>
      </c>
      <c r="J20" s="15"/>
      <c r="K20" s="35"/>
      <c r="L20" s="36"/>
      <c r="M20" s="21"/>
      <c r="N20" s="189"/>
      <c r="O20" s="23"/>
      <c r="P20" s="37"/>
      <c r="Q20" s="38"/>
      <c r="R20" s="39"/>
      <c r="S20" s="34"/>
      <c r="X20" s="98" t="s">
        <v>375</v>
      </c>
      <c r="Y20" s="99"/>
      <c r="Z20" s="99">
        <f>SUM($Z$7:$Z$10)-(Z19+Z18)</f>
        <v>119</v>
      </c>
    </row>
    <row r="21" spans="2:26" x14ac:dyDescent="0.25">
      <c r="B21" s="26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27"/>
    </row>
    <row r="22" spans="2:26" ht="15.75" thickBot="1" x14ac:dyDescent="0.3">
      <c r="B22" s="26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27"/>
    </row>
    <row r="23" spans="2:26" ht="19.5" customHeight="1" x14ac:dyDescent="0.25">
      <c r="B23" s="26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27"/>
      <c r="X23" s="92" t="s">
        <v>554</v>
      </c>
      <c r="Y23" s="93" t="s">
        <v>555</v>
      </c>
      <c r="Z23" s="93" t="s">
        <v>561</v>
      </c>
    </row>
    <row r="24" spans="2:26" x14ac:dyDescent="0.25">
      <c r="B24" s="26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27"/>
      <c r="X24" s="94" t="str">
        <f>IF($N$27&gt;100,"TOP 100","TOP 50")</f>
        <v>TOP 100</v>
      </c>
      <c r="Y24" s="164">
        <f>IF(X24="TOP 100",VLOOKUP($Y$4,'BAROM CA UC'!$E:$Z,21,0),VLOOKUP($Y$4,'BAROM CA UC'!$E:$Z,20,0))</f>
        <v>966407.71304201684</v>
      </c>
      <c r="Z24" s="163">
        <f>IF(Y24&lt;=0,0,Y24/SUMIF('ETP Challenge'!$D:$D,$N$2,'ETP Challenge'!$E:$E)/1000)/$Y$3</f>
        <v>56.121237691174031</v>
      </c>
    </row>
    <row r="25" spans="2:26" x14ac:dyDescent="0.25">
      <c r="B25" s="26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27"/>
      <c r="X25" s="94" t="str">
        <f>IF($N$27&gt;100,"TOP 50","TOP 30")</f>
        <v>TOP 50</v>
      </c>
      <c r="Y25" s="164">
        <f>IF(X25="TOP 50",VLOOKUP($Y$4,'BAROM CA UC'!$E:$Z,20,0),VLOOKUP($Y$4,'BAROM CA UC'!$E:$Z,19,0))</f>
        <v>1324672.9948607117</v>
      </c>
      <c r="Z25" s="163">
        <f>IF(Y25&lt;=0,0,Y25/SUMIF('ETP Challenge'!$D:$D,$N$2,'ETP Challenge'!$E:$E)/1000)/$Y$3</f>
        <v>76.926422465778856</v>
      </c>
    </row>
    <row r="26" spans="2:26" ht="15" customHeight="1" x14ac:dyDescent="0.25">
      <c r="B26" s="26"/>
      <c r="C26" s="1"/>
      <c r="D26" s="1"/>
      <c r="E26" s="1"/>
      <c r="F26" s="1"/>
      <c r="G26" s="269" t="s">
        <v>672</v>
      </c>
      <c r="H26" s="270"/>
      <c r="I26" s="271"/>
      <c r="J26" s="1"/>
      <c r="K26" s="1"/>
      <c r="L26" s="1"/>
      <c r="M26" s="1"/>
      <c r="N26" s="1"/>
      <c r="O26" s="1"/>
      <c r="P26" s="1"/>
      <c r="Q26" s="1"/>
      <c r="R26" s="1"/>
      <c r="S26" s="27"/>
      <c r="X26" s="94" t="str">
        <f>IF(N27&lt;10,"TOP 1",IF($N$27&gt;100,"TOP 30","TOP 10"))</f>
        <v>TOP 30</v>
      </c>
      <c r="Y26" s="164">
        <f>IF(X26="TOP 1",VLOOKUP($Y$4,'BAROM CA UC'!$E:$Z,17,0),IF(X26="TOP 10",VLOOKUP($Y$4,'BAROM CA UC'!$E:$Z,18,0),VLOOKUP($Y$4,'BAROM CA UC'!$E:$Z,19,0)))</f>
        <v>1551077.8359477026</v>
      </c>
      <c r="Z26" s="163">
        <f>IF(Y26&lt;=0,0,Y26/SUMIF('ETP Challenge'!$D:$D,$N$2,'ETP Challenge'!$E:$E)/1000)/$Y$3</f>
        <v>90.074206501028016</v>
      </c>
    </row>
    <row r="27" spans="2:26" ht="15.75" thickBot="1" x14ac:dyDescent="0.3">
      <c r="B27" s="26"/>
      <c r="C27" s="1"/>
      <c r="D27" s="1"/>
      <c r="E27" s="1"/>
      <c r="F27" s="1"/>
      <c r="G27" s="272"/>
      <c r="H27" s="273"/>
      <c r="I27" s="274"/>
      <c r="J27" s="1"/>
      <c r="K27" s="294" t="s">
        <v>15</v>
      </c>
      <c r="L27" s="294"/>
      <c r="M27" s="294"/>
      <c r="N27" s="19">
        <f>VLOOKUP($Y$4,'BAROM CA UC'!$E:$Z,7,0)</f>
        <v>289</v>
      </c>
      <c r="O27" s="294" t="s">
        <v>16</v>
      </c>
      <c r="P27" s="294"/>
      <c r="Q27" s="294"/>
      <c r="R27" s="20">
        <f>VLOOKUP($Y$4,'BAROM CA UC'!$E:$Z,6,0)</f>
        <v>0.98551512610554159</v>
      </c>
      <c r="S27" s="27"/>
      <c r="X27" s="94"/>
      <c r="Y27" s="164"/>
      <c r="Z27" s="164"/>
    </row>
    <row r="28" spans="2:26" x14ac:dyDescent="0.25">
      <c r="B28" s="26"/>
      <c r="C28" s="1"/>
      <c r="D28" s="1"/>
      <c r="E28" s="1"/>
      <c r="F28" s="1"/>
      <c r="G28" s="272"/>
      <c r="H28" s="273"/>
      <c r="I28" s="274"/>
      <c r="J28" s="1"/>
      <c r="K28" s="1"/>
      <c r="L28" s="1"/>
      <c r="M28" s="1"/>
      <c r="N28" s="1"/>
      <c r="O28" s="1"/>
      <c r="P28" s="1"/>
      <c r="Q28" s="1"/>
      <c r="R28" s="16"/>
      <c r="S28" s="27"/>
      <c r="X28" s="92" t="s">
        <v>556</v>
      </c>
      <c r="Y28" s="93" t="s">
        <v>555</v>
      </c>
      <c r="Z28" s="93" t="s">
        <v>561</v>
      </c>
    </row>
    <row r="29" spans="2:26" x14ac:dyDescent="0.25">
      <c r="B29" s="26"/>
      <c r="C29" s="1"/>
      <c r="D29" s="1"/>
      <c r="E29" s="1"/>
      <c r="F29" s="1"/>
      <c r="G29" s="283" t="str">
        <f>ROUND(VLOOKUP(N2,'Meilleures perf'!C:G,4,0)/1000,1) &amp; "K€ d'engagements par ETP"</f>
        <v>34,7K€ d'engagements par ETP</v>
      </c>
      <c r="H29" s="284"/>
      <c r="I29" s="285"/>
      <c r="J29" s="1"/>
      <c r="K29" s="1"/>
      <c r="L29" s="1"/>
      <c r="M29" s="1"/>
      <c r="N29" s="1"/>
      <c r="O29" s="1"/>
      <c r="P29" s="1"/>
      <c r="Q29" s="1"/>
      <c r="R29" s="1"/>
      <c r="S29" s="27"/>
      <c r="X29" s="94" t="str">
        <f>IF($M$45&gt;100,"TOP 100","TOP 50")</f>
        <v>TOP 100</v>
      </c>
      <c r="Y29" s="165">
        <f>IF(X29="TOP 100",VLOOKUP($Y$4,'BAROM IZICARTES'!$E:$Z,22,0),VLOOKUP($Y$4,'BAROM IZICARTES'!$E:$Z,21,0))</f>
        <v>14.621579656632672</v>
      </c>
      <c r="Z29" s="165">
        <f>IF(Y29&lt;=0,0,Y29/SUMIF('ETP Challenge'!$D:$D,$N$2,'ETP Challenge'!$E:$E))/$Y$3</f>
        <v>0.84910450967669415</v>
      </c>
    </row>
    <row r="30" spans="2:26" ht="15" customHeight="1" x14ac:dyDescent="0.25">
      <c r="B30" s="26"/>
      <c r="C30" s="1"/>
      <c r="D30" s="1"/>
      <c r="E30" s="1"/>
      <c r="F30" s="1"/>
      <c r="G30" s="283"/>
      <c r="H30" s="284"/>
      <c r="I30" s="285"/>
      <c r="J30" s="1"/>
      <c r="K30" s="1"/>
      <c r="L30" s="1"/>
      <c r="M30" s="1"/>
      <c r="N30" s="1"/>
      <c r="O30" s="1"/>
      <c r="P30" s="1"/>
      <c r="Q30" s="1"/>
      <c r="R30" s="1"/>
      <c r="S30" s="27"/>
      <c r="X30" s="94" t="str">
        <f>IF($M$45&gt;100,"TOP 50","TOP 30")</f>
        <v>TOP 50</v>
      </c>
      <c r="Y30" s="165">
        <f>IF(X30="TOP 50",VLOOKUP($Y$4,'BAROM IZICARTES'!$E:$Z,21,0),VLOOKUP($Y$4,'BAROM IZICARTES'!$E:$Z,20,0))</f>
        <v>21.793993290777188</v>
      </c>
      <c r="Z30" s="165">
        <f>IF(Y30&lt;=0,0,Y30/SUMIF('ETP Challenge'!$D:$D,$N$2,'ETP Challenge'!$E:$E))/$Y$3</f>
        <v>1.2656209808813699</v>
      </c>
    </row>
    <row r="31" spans="2:26" ht="15" customHeight="1" x14ac:dyDescent="0.25">
      <c r="B31" s="26"/>
      <c r="C31" s="275" t="str">
        <f>Y15&amp; "%"</f>
        <v>112,2%</v>
      </c>
      <c r="D31" s="276"/>
      <c r="E31" s="276"/>
      <c r="F31" s="1"/>
      <c r="G31" s="286"/>
      <c r="H31" s="287"/>
      <c r="I31" s="288"/>
      <c r="J31" s="1"/>
      <c r="K31" s="1"/>
      <c r="L31" s="1"/>
      <c r="M31" s="1"/>
      <c r="N31" s="1"/>
      <c r="O31" s="1"/>
      <c r="P31" s="1"/>
      <c r="Q31" s="1"/>
      <c r="R31" s="1"/>
      <c r="S31" s="27"/>
      <c r="X31" s="94" t="str">
        <f>IF($M$45&lt;10,"TOP1",IF($M$45&gt;100,"TOP 30","TOP 10"))</f>
        <v>TOP 30</v>
      </c>
      <c r="Y31" s="165">
        <f>IF(X31="TOP 1",VLOOKUP($Y$4,'BAROM IZICARTES'!$E:$Z,18,0),IF(X31="TOP 10",VLOOKUP($Y$4,'BAROM IZICARTES'!$E:$Z,19,0),VLOOKUP($Y$4,'BAROM IZICARTES'!$E:$Z,20,0)))</f>
        <v>25.869760347334772</v>
      </c>
      <c r="Z31" s="165">
        <f>IF(Y31&lt;=0,0,Y31/SUMIF('ETP Challenge'!$D:$D,$N$2,'ETP Challenge'!$E:$E))/$Y$3</f>
        <v>1.502308963259859</v>
      </c>
    </row>
    <row r="32" spans="2:26" ht="15.75" thickBot="1" x14ac:dyDescent="0.3">
      <c r="B32" s="26"/>
      <c r="C32" s="1"/>
      <c r="D32" s="6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27"/>
      <c r="X32" s="94"/>
      <c r="Y32" s="164"/>
      <c r="Z32" s="164"/>
    </row>
    <row r="33" spans="2:26" x14ac:dyDescent="0.25">
      <c r="B33" s="26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27"/>
      <c r="X33" s="92" t="s">
        <v>557</v>
      </c>
      <c r="Y33" s="93" t="s">
        <v>555</v>
      </c>
      <c r="Z33" s="93" t="s">
        <v>561</v>
      </c>
    </row>
    <row r="34" spans="2:26" ht="30" customHeight="1" x14ac:dyDescent="0.25">
      <c r="B34" s="26"/>
      <c r="C34" s="1"/>
      <c r="D34" s="295" t="s">
        <v>444</v>
      </c>
      <c r="E34" s="295"/>
      <c r="F34" s="295"/>
      <c r="G34" s="295"/>
      <c r="H34" s="295"/>
      <c r="I34" s="295"/>
      <c r="J34" s="1"/>
      <c r="K34" s="1"/>
      <c r="L34" s="1"/>
      <c r="M34" s="1"/>
      <c r="N34" s="1"/>
      <c r="O34" s="1"/>
      <c r="P34" s="1"/>
      <c r="Q34" s="1"/>
      <c r="R34" s="1"/>
      <c r="S34" s="27"/>
      <c r="X34" s="94" t="str">
        <f>IF($R$45&gt;100,"TOP 100","TOP 50")</f>
        <v>TOP 100</v>
      </c>
      <c r="Y34" s="165">
        <f>IF(X34="TOP 100",VLOOKUP($Y$4,'BAROM CARTES HDG'!$E:$Z,22,0),VLOOKUP($Y$4,'BAROM CARTES HDG'!$E:$Z,21,0))</f>
        <v>11.211021492138984</v>
      </c>
      <c r="Z34" s="165">
        <f>IF(Y34&lt;=0,0,Y34/SUMIF('ETP Challenge'!$D:$D,$N$2,'ETP Challenge'!$E:$E))/$Y$3</f>
        <v>0.65104654425894215</v>
      </c>
    </row>
    <row r="35" spans="2:26" ht="18.95" customHeight="1" x14ac:dyDescent="0.25">
      <c r="B35" s="26"/>
      <c r="C35" s="15"/>
      <c r="D35" s="121" t="s">
        <v>6</v>
      </c>
      <c r="E35" s="121" t="s">
        <v>7</v>
      </c>
      <c r="F35" s="121" t="s">
        <v>8</v>
      </c>
      <c r="G35" s="121" t="s">
        <v>9</v>
      </c>
      <c r="H35" s="121" t="s">
        <v>10</v>
      </c>
      <c r="I35" s="121" t="s">
        <v>11</v>
      </c>
      <c r="J35" s="1"/>
      <c r="K35" s="1"/>
      <c r="L35" s="1"/>
      <c r="M35" s="1"/>
      <c r="N35" s="1"/>
      <c r="O35" s="1"/>
      <c r="P35" s="1"/>
      <c r="Q35" s="1"/>
      <c r="R35" s="1"/>
      <c r="S35" s="27"/>
      <c r="X35" s="94" t="str">
        <f>IF($R$45&gt;100,"TOP 50","TOP 30")</f>
        <v>TOP 50</v>
      </c>
      <c r="Y35" s="165">
        <f>IF(X35="TOP 50",VLOOKUP($Y$4,'BAROM CARTES HDG'!$E:$Z,21,0),VLOOKUP($Y$4,'BAROM CARTES HDG'!$E:$Z,20,0))</f>
        <v>26.357753366855047</v>
      </c>
      <c r="Z35" s="165">
        <f>IF(Y35&lt;=0,0,Y35/SUMIF('ETP Challenge'!$D:$D,$N$2,'ETP Challenge'!$E:$E))/$Y$3</f>
        <v>1.5306476984236379</v>
      </c>
    </row>
    <row r="36" spans="2:26" ht="18.95" customHeight="1" x14ac:dyDescent="0.25">
      <c r="B36" s="26"/>
      <c r="C36" s="125" t="s">
        <v>12</v>
      </c>
      <c r="D36" s="120">
        <f>(VLOOKUP($N$2,'CUMUL résultats semaine'!$A:$BL,6,0)/SUMIF('ETP Challenge'!$D:$D,$N$2,'ETP Challenge'!$E:$E))/6</f>
        <v>0</v>
      </c>
      <c r="E36" s="120">
        <f>IF(ISNUMBER(D$38),(VLOOKUP($N$2,'CUMUL résultats semaine'!$A:$BL,15,0)/SUMIF('ETP Challenge'!$D:$D,$N$2,'ETP Challenge'!$E:$E))/5,D36)</f>
        <v>0</v>
      </c>
      <c r="F36" s="120">
        <f>IF(ISNUMBER(E$20),(VLOOKUP($N$2,'CUMUL résultats semaine'!$A:$BL,24,0)/SUMIF('ETP Challenge'!$D:$D,$N$2,'ETP Challenge'!$E:$E))/4,E36)</f>
        <v>0</v>
      </c>
      <c r="G36" s="120">
        <f>IF(ISNUMBER(F$20),(VLOOKUP($N$2,'CUMUL résultats semaine'!$A:$BL,33,0)/SUMIF('ETP Challenge'!$D:$D,$N$2,'ETP Challenge'!$E:$E))/3,F36)</f>
        <v>0</v>
      </c>
      <c r="H36" s="120">
        <f>IF(ISNUMBER(G$20),(VLOOKUP($N$2,'CUMUL résultats semaine'!$A:$BL,42,0)/SUMIF('ETP Challenge'!$D:$D,$N$2,'ETP Challenge'!$E:$E))/2,G36)</f>
        <v>0</v>
      </c>
      <c r="I36" s="120">
        <f>IF(ISNUMBER(H$20),(VLOOKUP($N$2,'CUMUL résultats semaine'!$A:$BL,51,0)/SUMIF('ETP Challenge'!$D:$D,$N$2,'ETP Challenge'!$E:$E)),H36)</f>
        <v>0</v>
      </c>
      <c r="J36" s="1"/>
      <c r="K36" s="1"/>
      <c r="L36" s="1"/>
      <c r="M36" s="1"/>
      <c r="N36" s="1"/>
      <c r="O36" s="1"/>
      <c r="P36" s="1"/>
      <c r="Q36" s="1"/>
      <c r="R36" s="1"/>
      <c r="S36" s="27"/>
      <c r="X36" s="94" t="str">
        <f>IF($R$45&lt;10,"TOP1",IF($R$45&gt;100,"TOP 30","TOP 10"))</f>
        <v>TOP 30</v>
      </c>
      <c r="Y36" s="165">
        <f>IF(X36="TOP 1",VLOOKUP($Y$4,'BAROM CARTES HDG'!$E:$Z,18,0),IF(X36="TOP 10",VLOOKUP($Y$4,'BAROM CARTES HDG'!$E:$Z,19,0),VLOOKUP($Y$4,'BAROM CARTES HDG'!$E:$Z,20,0)))</f>
        <v>36.076047473003733</v>
      </c>
      <c r="Z36" s="165">
        <f>IF(Y36&lt;=0,0,Y36/SUMIF('ETP Challenge'!$D:$D,$N$2,'ETP Challenge'!$E:$E))/$Y$3</f>
        <v>2.0950085640536429</v>
      </c>
    </row>
    <row r="37" spans="2:26" ht="18.95" customHeight="1" x14ac:dyDescent="0.25">
      <c r="B37" s="26"/>
      <c r="C37" s="125" t="s">
        <v>13</v>
      </c>
      <c r="D37" s="120">
        <f>(VLOOKUP($N$2,'CUMUL résultats semaine'!$A:$BL,7,0)/SUMIF('ETP Challenge'!$D:$D,$N$2,'ETP Challenge'!$E:$E))/6</f>
        <v>6.2137049941927991</v>
      </c>
      <c r="E37" s="120">
        <f>IF(ISNUMBER(D$38),(VLOOKUP($N$2,'CUMUL résultats semaine'!$A:$BL,16,0)/SUMIF('ETP Challenge'!$D:$D,$N$2,'ETP Challenge'!$E:$E))/5,D37)</f>
        <v>6.2137049941927991</v>
      </c>
      <c r="F37" s="120">
        <f>IF(ISNUMBER(E$20),(VLOOKUP($N$2,'CUMUL résultats semaine'!$A:$BL,25,0)/SUMIF('ETP Challenge'!$D:$D,$N$2,'ETP Challenge'!$E:$E))/4,E37)</f>
        <v>6.2137049941927991</v>
      </c>
      <c r="G37" s="120">
        <f>IF(ISNUMBER(F$20),(VLOOKUP($N$2,'CUMUL résultats semaine'!$A:$BL,34,0)/SUMIF('ETP Challenge'!$D:$D,$N$2,'ETP Challenge'!$E:$E))/3,F37)</f>
        <v>6.2137049941927991</v>
      </c>
      <c r="H37" s="120">
        <f>IF(ISNUMBER(G$20),(VLOOKUP($N$2,'CUMUL résultats semaine'!$A:$BL,43,0)/SUMIF('ETP Challenge'!$D:$D,$N$2,'ETP Challenge'!$E:$E))/2,G37)</f>
        <v>6.2137049941927991</v>
      </c>
      <c r="I37" s="120">
        <f>IF(ISNUMBER(H$20),(VLOOKUP($N$2,'CUMUL résultats semaine'!$A:$BL,52,0)/SUMIF('ETP Challenge'!$D:$D,$N$2,'ETP Challenge'!$E:$E)),H37)</f>
        <v>6.2137049941927991</v>
      </c>
      <c r="J37" s="1"/>
      <c r="K37" s="1"/>
      <c r="L37" s="1"/>
      <c r="M37" s="1"/>
      <c r="N37" s="1"/>
      <c r="O37" s="1"/>
      <c r="P37" s="1"/>
      <c r="Q37" s="1"/>
      <c r="R37" s="1"/>
      <c r="S37" s="27"/>
    </row>
    <row r="38" spans="2:26" ht="18.95" customHeight="1" x14ac:dyDescent="0.25">
      <c r="B38" s="26"/>
      <c r="C38" s="125" t="s">
        <v>442</v>
      </c>
      <c r="D38" s="186" t="str">
        <f>IF(ISNUMBER(VLOOKUP($N$2,'CUMUL résultats semaine'!A:BL,14,0)),(VLOOKUP($N$2,'CUMUL résultats semaine'!A:BL,14,0)-VLOOKUP($N$2,'CUMUL résultats semaine'!A:BL,5,0))/SUMIF('ETP Challenge'!$D:$D,$N$2,'ETP Challenge'!$E:$E),"-")</f>
        <v>-</v>
      </c>
      <c r="E38" s="186" t="str">
        <f>IF(ISNUMBER(VLOOKUP($N$2,'CUMUL résultats semaine'!A:BL,23,0)),(VLOOKUP($N$2,'CUMUL résultats semaine'!A:BL,23,0)-VLOOKUP($N$2,'CUMUL résultats semaine'!A:BL,14,0))/SUMIF('ETP Challenge'!$D:$D,$N$2,'ETP Challenge'!$E:$E),"-")</f>
        <v>-</v>
      </c>
      <c r="F38" s="186" t="str">
        <f>IF(ISNUMBER(VLOOKUP($N$2,'CUMUL résultats semaine'!A:BL,32,0)),(VLOOKUP($N$2,'CUMUL résultats semaine'!A:BL,32,0)-VLOOKUP($N$2,'CUMUL résultats semaine'!A:BL,23,0))/SUMIF('ETP Challenge'!$D:$D,$N$2,'ETP Challenge'!$E:$E),"-")</f>
        <v>-</v>
      </c>
      <c r="G38" s="186" t="str">
        <f>IF(ISNUMBER(VLOOKUP($N$2,'CUMUL résultats semaine'!A:BL,41,0)),(VLOOKUP($N$2,'CUMUL résultats semaine'!A:BL,41,0)-VLOOKUP($N$2,'CUMUL résultats semaine'!A:BL,32,0))/SUMIF('ETP Challenge'!$D:$D,$N$2,'ETP Challenge'!$E:$E),"-")</f>
        <v>-</v>
      </c>
      <c r="H38" s="186" t="str">
        <f>IF(ISNUMBER(VLOOKUP($N$2,'CUMUL résultats semaine'!A:BL,50,0)),(VLOOKUP($N$2,'CUMUL résultats semaine'!A:BL,50,0)-VLOOKUP($N$2,'CUMUL résultats semaine'!A:BL,41,0))/SUMIF('ETP Challenge'!$D:$D,$N$2,'ETP Challenge'!$E:$E),"-")</f>
        <v>-</v>
      </c>
      <c r="I38" s="186" t="str">
        <f>IF(ISNUMBER(VLOOKUP($N$2,'CUMUL résultats semaine'!A:BL,59,0)),(VLOOKUP($N$2,'CUMUL résultats semaine'!A:BL,59,0)-VLOOKUP($N$2,'CUMUL résultats semaine'!A:BL,50,0))/SUMIF('ETP Challenge'!$D:$D,$N$2,'ETP Challenge'!$E:$E),"-")</f>
        <v>-</v>
      </c>
      <c r="J38" s="1"/>
      <c r="K38" s="1"/>
      <c r="L38" s="1"/>
      <c r="M38" s="1"/>
      <c r="N38" s="1"/>
      <c r="O38" s="1"/>
      <c r="P38" s="1"/>
      <c r="Q38" s="1"/>
      <c r="R38" s="1"/>
      <c r="S38" s="27"/>
    </row>
    <row r="39" spans="2:26" x14ac:dyDescent="0.25">
      <c r="B39" s="26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27"/>
    </row>
    <row r="40" spans="2:26" x14ac:dyDescent="0.25">
      <c r="B40" s="26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27"/>
    </row>
    <row r="41" spans="2:26" x14ac:dyDescent="0.25">
      <c r="B41" s="26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27"/>
    </row>
    <row r="42" spans="2:26" x14ac:dyDescent="0.25">
      <c r="B42" s="26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27"/>
    </row>
    <row r="43" spans="2:26" x14ac:dyDescent="0.25">
      <c r="B43" s="26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27"/>
    </row>
    <row r="44" spans="2:26" ht="15" customHeight="1" x14ac:dyDescent="0.25">
      <c r="B44" s="26"/>
      <c r="C44" s="1"/>
      <c r="D44" s="1"/>
      <c r="E44" s="1"/>
      <c r="F44" s="1"/>
      <c r="G44" s="269" t="s">
        <v>672</v>
      </c>
      <c r="H44" s="270"/>
      <c r="I44" s="271"/>
      <c r="J44" s="1"/>
      <c r="K44" s="7"/>
      <c r="L44" s="8"/>
      <c r="M44" s="8"/>
      <c r="N44" s="9"/>
      <c r="O44" s="1"/>
      <c r="P44" s="7"/>
      <c r="Q44" s="8"/>
      <c r="R44" s="9"/>
      <c r="S44" s="27"/>
    </row>
    <row r="45" spans="2:26" x14ac:dyDescent="0.25">
      <c r="B45" s="26"/>
      <c r="C45" s="1"/>
      <c r="D45" s="1"/>
      <c r="E45" s="1"/>
      <c r="F45" s="1"/>
      <c r="G45" s="272"/>
      <c r="H45" s="273"/>
      <c r="I45" s="274"/>
      <c r="J45" s="1"/>
      <c r="K45" s="296" t="s">
        <v>15</v>
      </c>
      <c r="L45" s="297"/>
      <c r="M45" s="292">
        <f>VLOOKUP($Y$4,'BAROM IZICARTES'!$E:$Z,7,0)</f>
        <v>257</v>
      </c>
      <c r="N45" s="293"/>
      <c r="O45" s="1"/>
      <c r="P45" s="296" t="s">
        <v>15</v>
      </c>
      <c r="Q45" s="297"/>
      <c r="R45" s="161">
        <f>VLOOKUP($Y$4,'BAROM CARTES HDG'!$E:$Z,7,0)</f>
        <v>162</v>
      </c>
      <c r="S45" s="27"/>
    </row>
    <row r="46" spans="2:26" x14ac:dyDescent="0.25">
      <c r="B46" s="26"/>
      <c r="C46" s="1"/>
      <c r="D46" s="1"/>
      <c r="E46" s="1"/>
      <c r="F46" s="1"/>
      <c r="G46" s="272"/>
      <c r="H46" s="273"/>
      <c r="I46" s="274"/>
      <c r="J46" s="1"/>
      <c r="K46" s="296" t="s">
        <v>16</v>
      </c>
      <c r="L46" s="297"/>
      <c r="M46" s="298">
        <f>VLOOKUP($Y$4,'BAROM IZICARTES'!$E:$Z,6,0)</f>
        <v>0.96052537237784519</v>
      </c>
      <c r="N46" s="299"/>
      <c r="O46" s="1"/>
      <c r="P46" s="296" t="s">
        <v>16</v>
      </c>
      <c r="Q46" s="297"/>
      <c r="R46" s="162">
        <f>VLOOKUP($Y$4,'BAROM CARTES HDG'!$E:$Z,6,0)</f>
        <v>0.83046113892606199</v>
      </c>
      <c r="S46" s="27"/>
    </row>
    <row r="47" spans="2:26" x14ac:dyDescent="0.25">
      <c r="B47" s="26"/>
      <c r="C47" s="1"/>
      <c r="D47" s="1"/>
      <c r="E47" s="1"/>
      <c r="F47" s="1"/>
      <c r="G47" s="277" t="str">
        <f>ROUND(VLOOKUP(N2,'Meilleures perf'!C:G,5,0),1) &amp; " contrats par ETP"</f>
        <v>5,1 contrats par ETP</v>
      </c>
      <c r="H47" s="278"/>
      <c r="I47" s="279"/>
      <c r="J47" s="1"/>
      <c r="K47" s="10"/>
      <c r="L47" s="1"/>
      <c r="M47" s="1"/>
      <c r="N47" s="11"/>
      <c r="O47" s="1"/>
      <c r="P47" s="10"/>
      <c r="Q47" s="1"/>
      <c r="R47" s="11"/>
      <c r="S47" s="27"/>
    </row>
    <row r="48" spans="2:26" ht="15" customHeight="1" x14ac:dyDescent="0.25">
      <c r="B48" s="26"/>
      <c r="C48" s="1"/>
      <c r="D48" s="1"/>
      <c r="E48" s="1"/>
      <c r="F48" s="1"/>
      <c r="G48" s="277"/>
      <c r="H48" s="278"/>
      <c r="I48" s="279"/>
      <c r="J48" s="1"/>
      <c r="K48" s="10"/>
      <c r="L48" s="1"/>
      <c r="M48" s="1"/>
      <c r="N48" s="11"/>
      <c r="O48" s="1"/>
      <c r="P48" s="10"/>
      <c r="Q48" s="1"/>
      <c r="R48" s="11"/>
      <c r="S48" s="27"/>
    </row>
    <row r="49" spans="2:19" ht="15" customHeight="1" x14ac:dyDescent="0.25">
      <c r="B49" s="26"/>
      <c r="C49" s="275" t="str">
        <f>Y18&amp; "%"</f>
        <v>204,8%</v>
      </c>
      <c r="D49" s="276"/>
      <c r="E49" s="276"/>
      <c r="F49" s="1"/>
      <c r="G49" s="280"/>
      <c r="H49" s="281"/>
      <c r="I49" s="282"/>
      <c r="J49" s="1"/>
      <c r="K49" s="10"/>
      <c r="L49" s="1"/>
      <c r="M49" s="1"/>
      <c r="N49" s="11"/>
      <c r="O49" s="1"/>
      <c r="P49" s="10"/>
      <c r="Q49" s="1"/>
      <c r="R49" s="11"/>
      <c r="S49" s="27"/>
    </row>
    <row r="50" spans="2:19" ht="9.75" customHeight="1" x14ac:dyDescent="0.25">
      <c r="B50" s="26"/>
      <c r="C50" s="1"/>
      <c r="E50" s="1"/>
      <c r="F50" s="1"/>
      <c r="G50" s="1"/>
      <c r="H50" s="1"/>
      <c r="I50" s="1"/>
      <c r="J50" s="1"/>
      <c r="K50" s="10"/>
      <c r="L50" s="1"/>
      <c r="M50" s="1"/>
      <c r="N50" s="11"/>
      <c r="O50" s="1"/>
      <c r="P50" s="10"/>
      <c r="Q50" s="1"/>
      <c r="R50" s="11"/>
      <c r="S50" s="27"/>
    </row>
    <row r="51" spans="2:19" ht="4.5" customHeight="1" x14ac:dyDescent="0.25">
      <c r="B51" s="26"/>
      <c r="C51" s="1"/>
      <c r="D51" s="1"/>
      <c r="E51" s="1"/>
      <c r="F51" s="1"/>
      <c r="G51" s="1"/>
      <c r="H51" s="1"/>
      <c r="I51" s="1"/>
      <c r="J51" s="1"/>
      <c r="K51" s="10"/>
      <c r="L51" s="1"/>
      <c r="M51" s="1"/>
      <c r="N51" s="11"/>
      <c r="O51" s="1"/>
      <c r="P51" s="10"/>
      <c r="Q51" s="1"/>
      <c r="R51" s="11"/>
      <c r="S51" s="27"/>
    </row>
    <row r="52" spans="2:19" ht="30" customHeight="1" x14ac:dyDescent="0.25">
      <c r="B52" s="26"/>
      <c r="C52" s="1"/>
      <c r="D52" s="295" t="s">
        <v>14</v>
      </c>
      <c r="E52" s="295"/>
      <c r="F52" s="295"/>
      <c r="G52" s="295"/>
      <c r="H52" s="295"/>
      <c r="I52" s="295"/>
      <c r="J52" s="1"/>
      <c r="K52" s="10"/>
      <c r="L52" s="1"/>
      <c r="M52" s="1"/>
      <c r="N52" s="11"/>
      <c r="O52" s="1"/>
      <c r="P52" s="10"/>
      <c r="Q52" s="1"/>
      <c r="R52" s="11"/>
      <c r="S52" s="27"/>
    </row>
    <row r="53" spans="2:19" ht="18.95" customHeight="1" x14ac:dyDescent="0.25">
      <c r="B53" s="26"/>
      <c r="C53" s="15"/>
      <c r="D53" s="121" t="s">
        <v>6</v>
      </c>
      <c r="E53" s="121" t="s">
        <v>7</v>
      </c>
      <c r="F53" s="121" t="s">
        <v>8</v>
      </c>
      <c r="G53" s="121" t="s">
        <v>9</v>
      </c>
      <c r="H53" s="121" t="s">
        <v>10</v>
      </c>
      <c r="I53" s="121" t="s">
        <v>11</v>
      </c>
      <c r="J53" s="1"/>
      <c r="K53" s="10"/>
      <c r="L53" s="1"/>
      <c r="M53" s="1"/>
      <c r="N53" s="11"/>
      <c r="O53" s="1"/>
      <c r="P53" s="10"/>
      <c r="Q53" s="1"/>
      <c r="R53" s="11"/>
      <c r="S53" s="27"/>
    </row>
    <row r="54" spans="2:19" ht="18.95" customHeight="1" x14ac:dyDescent="0.25">
      <c r="B54" s="26"/>
      <c r="C54" s="125" t="s">
        <v>12</v>
      </c>
      <c r="D54" s="120">
        <f>(VLOOKUP($N$2,'CUMUL résultats semaine'!$A:$BL,9,0)/SUMIF('ETP Challenge'!$D:$D,$N$2,'ETP Challenge'!$E:$E))/6</f>
        <v>0</v>
      </c>
      <c r="E54" s="120">
        <f>IF(ISNUMBER(D$56),(VLOOKUP($N$2,'CUMUL résultats semaine'!$A:$BL,18,0)/SUMIF('ETP Challenge'!$D:$D,$N$2,'ETP Challenge'!$E:$E))/5,D54)</f>
        <v>0</v>
      </c>
      <c r="F54" s="120">
        <f>IF(ISNUMBER(E$56),(VLOOKUP($N$2,'CUMUL résultats semaine'!$A:$BL,27,0)/SUMIF('ETP Challenge'!$D:$D,$N$2,'ETP Challenge'!$E:$E))/4,E54)</f>
        <v>0</v>
      </c>
      <c r="G54" s="120">
        <f>IF(ISNUMBER(F$56),(VLOOKUP($N$2,'CUMUL résultats semaine'!$A:$BL,36,0)/SUMIF('ETP Challenge'!$D:$D,$N$2,'ETP Challenge'!$E:$E))/3,F54)</f>
        <v>0</v>
      </c>
      <c r="H54" s="120">
        <f>IF(ISNUMBER(G$56),(VLOOKUP($N$2,'CUMUL résultats semaine'!$A:$BL,45,0)/SUMIF('ETP Challenge'!$D:$D,$N$2,'ETP Challenge'!$E:$E))/2,G54)</f>
        <v>0</v>
      </c>
      <c r="I54" s="120">
        <f>IF(ISNUMBER(H$56),(VLOOKUP($N$2,'CUMUL résultats semaine'!$A:$BL,54,0)/SUMIF('ETP Challenge'!$D:$D,$N$2,'ETP Challenge'!$E:$E)),H54)</f>
        <v>0</v>
      </c>
      <c r="J54" s="1"/>
      <c r="K54" s="10"/>
      <c r="L54" s="1"/>
      <c r="M54" s="1"/>
      <c r="N54" s="11"/>
      <c r="O54" s="1"/>
      <c r="P54" s="10"/>
      <c r="Q54" s="1"/>
      <c r="R54" s="11"/>
      <c r="S54" s="27"/>
    </row>
    <row r="55" spans="2:19" ht="18.95" customHeight="1" x14ac:dyDescent="0.25">
      <c r="B55" s="26"/>
      <c r="C55" s="125" t="s">
        <v>13</v>
      </c>
      <c r="D55" s="120">
        <f>(VLOOKUP($N$2,'CUMUL résultats semaine'!$A:$BL,10,0)/SUMIF('ETP Challenge'!$D:$D,$N$2,'ETP Challenge'!$E:$E))/6</f>
        <v>0</v>
      </c>
      <c r="E55" s="120">
        <f>IF(ISNUMBER(D$56),(VLOOKUP($N$2,'CUMUL résultats semaine'!$A:$BL,19,0)/SUMIF('ETP Challenge'!$D:$D,$N$2,'ETP Challenge'!$E:$E))/5,D55)</f>
        <v>0</v>
      </c>
      <c r="F55" s="120">
        <f>IF(ISNUMBER(E$56),(VLOOKUP($N$2,'CUMUL résultats semaine'!$A:$BL,28,0)/SUMIF('ETP Challenge'!$D:$D,$N$2,'ETP Challenge'!$E:$E))/4,E55)</f>
        <v>0</v>
      </c>
      <c r="G55" s="120">
        <f>IF(ISNUMBER(F$56),(VLOOKUP($N$2,'CUMUL résultats semaine'!$A:$BL,37,0)/SUMIF('ETP Challenge'!$D:$D,$N$2,'ETP Challenge'!$E:$E))/3,F55)</f>
        <v>0</v>
      </c>
      <c r="H55" s="120">
        <f>IF(ISNUMBER(G$56),(VLOOKUP($N$2,'CUMUL résultats semaine'!$A:$BL,46,0)/SUMIF('ETP Challenge'!$D:$D,$N$2,'ETP Challenge'!$E:$E))/2,G55)</f>
        <v>0</v>
      </c>
      <c r="I55" s="120">
        <f>IF(ISNUMBER(H$56),(VLOOKUP($N$2,'CUMUL résultats semaine'!$A:$BL,55,0)/SUMIF('ETP Challenge'!$D:$D,$N$2,'ETP Challenge'!$E:$E)),H55)</f>
        <v>0</v>
      </c>
      <c r="J55" s="1"/>
      <c r="K55" s="10"/>
      <c r="L55" s="1"/>
      <c r="M55" s="1"/>
      <c r="N55" s="11"/>
      <c r="O55" s="1"/>
      <c r="P55" s="10"/>
      <c r="Q55" s="1"/>
      <c r="R55" s="11"/>
      <c r="S55" s="27"/>
    </row>
    <row r="56" spans="2:19" ht="18.95" customHeight="1" x14ac:dyDescent="0.25">
      <c r="B56" s="26"/>
      <c r="C56" s="125" t="s">
        <v>442</v>
      </c>
      <c r="D56" s="186" t="str">
        <f>IF(ISNUMBER(VLOOKUP($N$2,'CUMUL résultats semaine'!A:BL,17,0)),(VLOOKUP($N$2,'CUMUL résultats semaine'!A:BL,17,0)-VLOOKUP($N$2,'CUMUL résultats semaine'!A:BL,8,0))/SUMIF('ETP Challenge'!$D:$D,$N$2,'ETP Challenge'!$E:$E),"-")</f>
        <v>-</v>
      </c>
      <c r="E56" s="186" t="str">
        <f>IF(ISNUMBER(VLOOKUP($N$2,'CUMUL résultats semaine'!A:BL,26,0)),(VLOOKUP($N$2,'CUMUL résultats semaine'!A:BL,26,0)-VLOOKUP($N$2,'CUMUL résultats semaine'!A:BL,17,0))/SUMIF('ETP Challenge'!$D:$D,$N$2,'ETP Challenge'!$E:$E),"-")</f>
        <v>-</v>
      </c>
      <c r="F56" s="186" t="str">
        <f>IF(ISNUMBER(VLOOKUP($N$2,'CUMUL résultats semaine'!A:BL,35,0)),(VLOOKUP($N$2,'CUMUL résultats semaine'!A:BL,35,0)-VLOOKUP($N$2,'CUMUL résultats semaine'!A:BL,26,0))/SUMIF('ETP Challenge'!$D:$D,$N$2,'ETP Challenge'!$E:$E),"-")</f>
        <v>-</v>
      </c>
      <c r="G56" s="186" t="str">
        <f>IF(ISNUMBER(VLOOKUP($N$2,'CUMUL résultats semaine'!A:BL,44,0)),(VLOOKUP($N$2,'CUMUL résultats semaine'!A:BL,44,0)-VLOOKUP($N$2,'CUMUL résultats semaine'!A:BL,35,0))/SUMIF('ETP Challenge'!$D:$D,$N$2,'ETP Challenge'!$E:$E),"-")</f>
        <v>-</v>
      </c>
      <c r="H56" s="186" t="str">
        <f>IF(ISNUMBER(VLOOKUP($N$2,'CUMUL résultats semaine'!A:BL,53,0)),(VLOOKUP($N$2,'CUMUL résultats semaine'!A:BL,53,0)-VLOOKUP($N$2,'CUMUL résultats semaine'!A:BL,44,0))/SUMIF('ETP Challenge'!$D:$D,$N$2,'ETP Challenge'!$E:$E),"-")</f>
        <v>-</v>
      </c>
      <c r="I56" s="186" t="str">
        <f>IF(ISNUMBER(VLOOKUP($N$2,'CUMUL résultats semaine'!A:BL,62,0)),(VLOOKUP($N$2,'CUMUL résultats semaine'!A:BL,62,0)-VLOOKUP($N$2,'CUMUL résultats semaine'!A:BL,53,0))/SUMIF('ETP Challenge'!$D:$D,$N$2,'ETP Challenge'!$E:$E),"-")</f>
        <v>-</v>
      </c>
      <c r="J56" s="1"/>
      <c r="K56" s="10"/>
      <c r="L56" s="1"/>
      <c r="M56" s="1"/>
      <c r="N56" s="11"/>
      <c r="O56" s="1"/>
      <c r="P56" s="10"/>
      <c r="Q56" s="1"/>
      <c r="R56" s="11"/>
      <c r="S56" s="27"/>
    </row>
    <row r="57" spans="2:19" x14ac:dyDescent="0.25">
      <c r="B57" s="26"/>
      <c r="C57" s="1"/>
      <c r="D57" s="1"/>
      <c r="E57" s="1"/>
      <c r="F57" s="1"/>
      <c r="G57" s="1"/>
      <c r="H57" s="1"/>
      <c r="I57" s="1"/>
      <c r="J57" s="1"/>
      <c r="K57" s="12"/>
      <c r="L57" s="13"/>
      <c r="M57" s="13"/>
      <c r="N57" s="14"/>
      <c r="O57" s="1"/>
      <c r="P57" s="12"/>
      <c r="Q57" s="13"/>
      <c r="R57" s="14"/>
      <c r="S57" s="27"/>
    </row>
    <row r="58" spans="2:19" x14ac:dyDescent="0.25">
      <c r="B58" s="26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27"/>
    </row>
    <row r="59" spans="2:19" x14ac:dyDescent="0.25">
      <c r="B59" s="28"/>
      <c r="C59" s="29"/>
      <c r="D59" s="29"/>
      <c r="E59" s="29"/>
      <c r="F59" s="29"/>
      <c r="G59" s="29"/>
      <c r="H59" s="29"/>
      <c r="I59" s="29"/>
      <c r="J59" s="29"/>
      <c r="K59" s="29"/>
      <c r="L59" s="29"/>
      <c r="M59" s="29"/>
      <c r="N59" s="29"/>
      <c r="O59" s="29"/>
      <c r="P59" s="29"/>
      <c r="Q59" s="29"/>
      <c r="R59" s="29"/>
      <c r="S59" s="30"/>
    </row>
  </sheetData>
  <mergeCells count="35">
    <mergeCell ref="B4:S4"/>
    <mergeCell ref="D16:I16"/>
    <mergeCell ref="C1:F1"/>
    <mergeCell ref="H1:L1"/>
    <mergeCell ref="N1:R1"/>
    <mergeCell ref="C2:F2"/>
    <mergeCell ref="N2:R2"/>
    <mergeCell ref="H2:L2"/>
    <mergeCell ref="P16:R17"/>
    <mergeCell ref="N9:Q13"/>
    <mergeCell ref="K13:L13"/>
    <mergeCell ref="K9:L12"/>
    <mergeCell ref="C13:E13"/>
    <mergeCell ref="Q18:R18"/>
    <mergeCell ref="Q19:R19"/>
    <mergeCell ref="M45:N45"/>
    <mergeCell ref="O27:Q27"/>
    <mergeCell ref="D52:I52"/>
    <mergeCell ref="D34:I34"/>
    <mergeCell ref="P45:Q45"/>
    <mergeCell ref="P46:Q46"/>
    <mergeCell ref="M46:N46"/>
    <mergeCell ref="K27:M27"/>
    <mergeCell ref="C49:E49"/>
    <mergeCell ref="N16:N18"/>
    <mergeCell ref="K16:L17"/>
    <mergeCell ref="K46:L46"/>
    <mergeCell ref="K45:L45"/>
    <mergeCell ref="G47:I49"/>
    <mergeCell ref="G44:I46"/>
    <mergeCell ref="C31:E31"/>
    <mergeCell ref="G8:I10"/>
    <mergeCell ref="G11:I13"/>
    <mergeCell ref="G26:I28"/>
    <mergeCell ref="G29:I31"/>
  </mergeCells>
  <conditionalFormatting sqref="D54:I55 D36:I37 D18:I19">
    <cfRule type="cellIs" dxfId="5" priority="1" operator="equal">
      <formula>0</formula>
    </cfRule>
  </conditionalFormatting>
  <dataValidations count="2">
    <dataValidation type="list" allowBlank="1" showInputMessage="1" showErrorMessage="1" sqref="H2:L2">
      <formula1>INDIRECT($C$2)</formula1>
    </dataValidation>
    <dataValidation type="list" allowBlank="1" showInputMessage="1" showErrorMessage="1" sqref="N2:R2">
      <formula1>INDIRECT($H$2)</formula1>
    </dataValidation>
  </dataValidations>
  <printOptions horizontalCentered="1" verticalCentered="1"/>
  <pageMargins left="0.23622047244094491" right="0.23622047244094491" top="0.74803149606299213" bottom="0.74803149606299213" header="0.31496062992125984" footer="0.31496062992125984"/>
  <pageSetup paperSize="9" scale="75" orientation="portrait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'Structures EDS'!$A$3:$A$9</xm:f>
          </x14:formula1>
          <xm:sqref>C2:F2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DW296"/>
  <sheetViews>
    <sheetView workbookViewId="0">
      <selection activeCell="B3" sqref="B3"/>
    </sheetView>
  </sheetViews>
  <sheetFormatPr baseColWidth="10" defaultRowHeight="12.75" x14ac:dyDescent="0.2"/>
  <cols>
    <col min="1" max="1" width="27.42578125" style="117" bestFit="1" customWidth="1"/>
    <col min="2" max="64" width="10.5703125" style="116" customWidth="1"/>
    <col min="65" max="72" width="9.7109375" style="116" customWidth="1"/>
    <col min="73" max="127" width="11.42578125" style="116"/>
    <col min="128" max="16384" width="11.42578125" style="117"/>
  </cols>
  <sheetData>
    <row r="1" spans="1:127" x14ac:dyDescent="0.2">
      <c r="A1" s="117">
        <v>1</v>
      </c>
      <c r="B1" s="117">
        <v>2</v>
      </c>
      <c r="C1" s="117">
        <v>3</v>
      </c>
      <c r="D1" s="117">
        <v>4</v>
      </c>
      <c r="E1" s="117">
        <v>5</v>
      </c>
      <c r="F1" s="117">
        <v>6</v>
      </c>
      <c r="G1" s="117">
        <v>7</v>
      </c>
      <c r="H1" s="117">
        <v>8</v>
      </c>
      <c r="I1" s="117">
        <v>9</v>
      </c>
      <c r="J1" s="117">
        <v>10</v>
      </c>
      <c r="K1" s="117">
        <v>11</v>
      </c>
      <c r="L1" s="117">
        <v>12</v>
      </c>
      <c r="M1" s="117">
        <v>13</v>
      </c>
      <c r="N1" s="117">
        <v>14</v>
      </c>
      <c r="O1" s="117">
        <v>15</v>
      </c>
      <c r="P1" s="117">
        <v>16</v>
      </c>
      <c r="Q1" s="117">
        <v>17</v>
      </c>
      <c r="R1" s="117">
        <v>18</v>
      </c>
      <c r="S1" s="117">
        <v>19</v>
      </c>
      <c r="T1" s="117">
        <v>20</v>
      </c>
      <c r="U1" s="117">
        <v>21</v>
      </c>
      <c r="V1" s="117">
        <v>22</v>
      </c>
      <c r="W1" s="117">
        <v>23</v>
      </c>
      <c r="X1" s="117">
        <v>24</v>
      </c>
      <c r="Y1" s="117">
        <v>25</v>
      </c>
      <c r="Z1" s="117">
        <v>26</v>
      </c>
      <c r="AA1" s="117">
        <v>27</v>
      </c>
      <c r="AB1" s="117">
        <v>28</v>
      </c>
      <c r="AC1" s="117">
        <v>29</v>
      </c>
      <c r="AD1" s="117">
        <v>30</v>
      </c>
      <c r="AE1" s="117">
        <v>31</v>
      </c>
      <c r="AF1" s="117">
        <v>32</v>
      </c>
      <c r="AG1" s="117">
        <v>33</v>
      </c>
      <c r="AH1" s="117">
        <v>34</v>
      </c>
      <c r="AI1" s="117">
        <v>35</v>
      </c>
      <c r="AJ1" s="117">
        <v>36</v>
      </c>
      <c r="AK1" s="117">
        <v>37</v>
      </c>
      <c r="AL1" s="117">
        <v>38</v>
      </c>
      <c r="AM1" s="117">
        <v>39</v>
      </c>
      <c r="AN1" s="117">
        <v>40</v>
      </c>
      <c r="AO1" s="117">
        <v>41</v>
      </c>
      <c r="AP1" s="117">
        <v>42</v>
      </c>
      <c r="AQ1" s="117">
        <v>43</v>
      </c>
      <c r="AR1" s="117">
        <v>44</v>
      </c>
      <c r="AS1" s="117">
        <v>45</v>
      </c>
      <c r="AT1" s="117">
        <v>46</v>
      </c>
      <c r="AU1" s="117">
        <v>47</v>
      </c>
      <c r="AV1" s="117">
        <v>48</v>
      </c>
      <c r="AW1" s="117">
        <v>49</v>
      </c>
      <c r="AX1" s="117">
        <v>50</v>
      </c>
      <c r="AY1" s="117">
        <v>51</v>
      </c>
      <c r="AZ1" s="117">
        <v>52</v>
      </c>
      <c r="BA1" s="117">
        <v>53</v>
      </c>
      <c r="BB1" s="117">
        <v>54</v>
      </c>
      <c r="BC1" s="117">
        <v>55</v>
      </c>
      <c r="BD1" s="117">
        <v>56</v>
      </c>
      <c r="BE1" s="117">
        <v>57</v>
      </c>
      <c r="BF1" s="117">
        <v>58</v>
      </c>
      <c r="BG1" s="117">
        <v>59</v>
      </c>
      <c r="BH1" s="117">
        <v>60</v>
      </c>
      <c r="BI1" s="117">
        <v>61</v>
      </c>
      <c r="BJ1" s="117">
        <v>62</v>
      </c>
      <c r="BK1" s="117">
        <v>63</v>
      </c>
      <c r="BL1" s="117">
        <v>64</v>
      </c>
    </row>
    <row r="2" spans="1:127" s="114" customFormat="1" ht="47.25" customHeight="1" x14ac:dyDescent="0.2">
      <c r="A2" s="108" t="s">
        <v>21</v>
      </c>
      <c r="B2" s="109" t="s">
        <v>620</v>
      </c>
      <c r="C2" s="109" t="s">
        <v>381</v>
      </c>
      <c r="D2" s="109" t="s">
        <v>382</v>
      </c>
      <c r="E2" s="110" t="s">
        <v>621</v>
      </c>
      <c r="F2" s="110" t="s">
        <v>383</v>
      </c>
      <c r="G2" s="110" t="s">
        <v>384</v>
      </c>
      <c r="H2" s="111" t="s">
        <v>622</v>
      </c>
      <c r="I2" s="111" t="s">
        <v>385</v>
      </c>
      <c r="J2" s="111" t="s">
        <v>386</v>
      </c>
      <c r="K2" s="109" t="s">
        <v>623</v>
      </c>
      <c r="L2" s="109" t="s">
        <v>387</v>
      </c>
      <c r="M2" s="109" t="s">
        <v>388</v>
      </c>
      <c r="N2" s="110" t="s">
        <v>624</v>
      </c>
      <c r="O2" s="110" t="s">
        <v>389</v>
      </c>
      <c r="P2" s="110" t="s">
        <v>390</v>
      </c>
      <c r="Q2" s="111" t="s">
        <v>625</v>
      </c>
      <c r="R2" s="111" t="s">
        <v>391</v>
      </c>
      <c r="S2" s="111" t="s">
        <v>392</v>
      </c>
      <c r="T2" s="109" t="s">
        <v>626</v>
      </c>
      <c r="U2" s="109" t="s">
        <v>393</v>
      </c>
      <c r="V2" s="109" t="s">
        <v>394</v>
      </c>
      <c r="W2" s="110" t="s">
        <v>627</v>
      </c>
      <c r="X2" s="110" t="s">
        <v>395</v>
      </c>
      <c r="Y2" s="110" t="s">
        <v>396</v>
      </c>
      <c r="Z2" s="111" t="s">
        <v>628</v>
      </c>
      <c r="AA2" s="111" t="s">
        <v>397</v>
      </c>
      <c r="AB2" s="111" t="s">
        <v>398</v>
      </c>
      <c r="AC2" s="109" t="s">
        <v>629</v>
      </c>
      <c r="AD2" s="109" t="s">
        <v>399</v>
      </c>
      <c r="AE2" s="109" t="s">
        <v>400</v>
      </c>
      <c r="AF2" s="110" t="s">
        <v>630</v>
      </c>
      <c r="AG2" s="110" t="s">
        <v>401</v>
      </c>
      <c r="AH2" s="110" t="s">
        <v>402</v>
      </c>
      <c r="AI2" s="111" t="s">
        <v>631</v>
      </c>
      <c r="AJ2" s="111" t="s">
        <v>403</v>
      </c>
      <c r="AK2" s="111" t="s">
        <v>404</v>
      </c>
      <c r="AL2" s="109" t="s">
        <v>632</v>
      </c>
      <c r="AM2" s="109" t="s">
        <v>405</v>
      </c>
      <c r="AN2" s="109" t="s">
        <v>406</v>
      </c>
      <c r="AO2" s="110" t="s">
        <v>633</v>
      </c>
      <c r="AP2" s="110" t="s">
        <v>407</v>
      </c>
      <c r="AQ2" s="110" t="s">
        <v>408</v>
      </c>
      <c r="AR2" s="111" t="s">
        <v>634</v>
      </c>
      <c r="AS2" s="111" t="s">
        <v>409</v>
      </c>
      <c r="AT2" s="111" t="s">
        <v>410</v>
      </c>
      <c r="AU2" s="109" t="s">
        <v>635</v>
      </c>
      <c r="AV2" s="109" t="s">
        <v>411</v>
      </c>
      <c r="AW2" s="109" t="s">
        <v>412</v>
      </c>
      <c r="AX2" s="110" t="s">
        <v>636</v>
      </c>
      <c r="AY2" s="110" t="s">
        <v>413</v>
      </c>
      <c r="AZ2" s="110" t="s">
        <v>414</v>
      </c>
      <c r="BA2" s="111" t="s">
        <v>637</v>
      </c>
      <c r="BB2" s="111" t="s">
        <v>415</v>
      </c>
      <c r="BC2" s="111" t="s">
        <v>416</v>
      </c>
      <c r="BD2" s="109" t="s">
        <v>638</v>
      </c>
      <c r="BE2" s="109" t="s">
        <v>417</v>
      </c>
      <c r="BF2" s="109" t="s">
        <v>418</v>
      </c>
      <c r="BG2" s="110" t="s">
        <v>639</v>
      </c>
      <c r="BH2" s="110" t="s">
        <v>419</v>
      </c>
      <c r="BI2" s="110" t="s">
        <v>420</v>
      </c>
      <c r="BJ2" s="111" t="s">
        <v>640</v>
      </c>
      <c r="BK2" s="111" t="s">
        <v>421</v>
      </c>
      <c r="BL2" s="111" t="s">
        <v>422</v>
      </c>
      <c r="BM2" s="113"/>
      <c r="BN2" s="113"/>
      <c r="BO2" s="113"/>
      <c r="BP2" s="113"/>
      <c r="BQ2" s="113"/>
      <c r="BR2" s="113"/>
      <c r="BS2" s="113"/>
      <c r="BT2" s="113"/>
      <c r="BU2" s="113"/>
      <c r="BV2" s="113"/>
      <c r="BW2" s="113"/>
      <c r="BX2" s="113"/>
      <c r="BY2" s="113"/>
      <c r="BZ2" s="113"/>
      <c r="CA2" s="113"/>
      <c r="CB2" s="113"/>
      <c r="CC2" s="113"/>
      <c r="CD2" s="113"/>
      <c r="CE2" s="113"/>
      <c r="CF2" s="113"/>
      <c r="CG2" s="113"/>
      <c r="CH2" s="113"/>
      <c r="CI2" s="113"/>
      <c r="CJ2" s="113"/>
      <c r="CK2" s="113"/>
      <c r="CL2" s="113"/>
      <c r="CM2" s="113"/>
      <c r="CN2" s="113"/>
      <c r="CO2" s="113"/>
      <c r="CP2" s="113"/>
      <c r="CQ2" s="113"/>
      <c r="CR2" s="113"/>
      <c r="CS2" s="113"/>
      <c r="CT2" s="113"/>
      <c r="CU2" s="113"/>
      <c r="CV2" s="113"/>
      <c r="CW2" s="113"/>
      <c r="CX2" s="113"/>
      <c r="CY2" s="113"/>
      <c r="CZ2" s="113"/>
      <c r="DA2" s="113"/>
      <c r="DB2" s="113"/>
      <c r="DC2" s="113"/>
      <c r="DD2" s="113"/>
      <c r="DE2" s="113"/>
      <c r="DF2" s="113"/>
      <c r="DG2" s="113"/>
      <c r="DH2" s="113"/>
      <c r="DI2" s="113"/>
      <c r="DJ2" s="113"/>
      <c r="DK2" s="113"/>
      <c r="DL2" s="113"/>
      <c r="DM2" s="113"/>
      <c r="DN2" s="113"/>
      <c r="DO2" s="113"/>
      <c r="DP2" s="113"/>
      <c r="DQ2" s="113"/>
      <c r="DR2" s="113"/>
      <c r="DS2" s="113"/>
      <c r="DT2" s="113"/>
      <c r="DU2" s="113"/>
      <c r="DV2" s="113"/>
      <c r="DW2" s="113"/>
    </row>
    <row r="3" spans="1:127" x14ac:dyDescent="0.2">
      <c r="A3" s="106" t="s">
        <v>5</v>
      </c>
      <c r="B3" s="107">
        <f>VLOOKUP($A3,'S0 remplacer avec S44'!$C:$BQ,32,0)</f>
        <v>116.1</v>
      </c>
      <c r="C3" s="107">
        <f>VLOOKUP($A3,'S0 remplacer avec S44'!$C:$BQ,39,0)</f>
        <v>4</v>
      </c>
      <c r="D3" s="107">
        <f>VLOOKUP($A3,'S0 remplacer avec S44'!$C:$BQ,40,0)</f>
        <v>28</v>
      </c>
      <c r="E3" s="107">
        <f>VLOOKUP($A3,'S0 remplacer avec S44'!$C:$BQ,22,0)</f>
        <v>1524.2224349999999</v>
      </c>
      <c r="F3" s="115">
        <f>VLOOKUP($A3,'S0 remplacer avec S44'!$C:$BQ,29,0)</f>
        <v>0</v>
      </c>
      <c r="G3" s="115">
        <f>VLOOKUP($A3,'S0 remplacer avec S44'!$C:$BQ,30,0)</f>
        <v>0</v>
      </c>
      <c r="H3" s="115">
        <f>VLOOKUP($A3,'S0 remplacer avec S44'!$C:$BQ,52,0)</f>
        <v>65.400000000000006</v>
      </c>
      <c r="I3" s="115">
        <f>VLOOKUP($A3,'S0 remplacer avec S44'!$C:$BQ,59,0)</f>
        <v>0</v>
      </c>
      <c r="J3" s="115">
        <f>VLOOKUP($A3,'S0 remplacer avec S44'!$C:$BQ,60,0)</f>
        <v>8</v>
      </c>
      <c r="K3" s="107" t="e">
        <f>VLOOKUP($A3,'S45'!$C:$BQ,32,0)</f>
        <v>#N/A</v>
      </c>
      <c r="L3" s="107" t="e">
        <f>VLOOKUP($A3,'S45'!$C:$BQ,39,0)</f>
        <v>#N/A</v>
      </c>
      <c r="M3" s="107" t="e">
        <f>VLOOKUP($A3,'S45'!$C:$BQ,40,0)</f>
        <v>#N/A</v>
      </c>
      <c r="N3" s="107" t="e">
        <f>VLOOKUP($A3,'S45'!$C:$BQ,22,0)</f>
        <v>#N/A</v>
      </c>
      <c r="O3" s="115" t="e">
        <f>VLOOKUP($A3,'S45'!$C:$BQ,29,0)</f>
        <v>#N/A</v>
      </c>
      <c r="P3" s="115" t="e">
        <f>VLOOKUP($A3,'S45'!$C:$BQ,30,0)</f>
        <v>#N/A</v>
      </c>
      <c r="Q3" s="115" t="e">
        <f>VLOOKUP($A3,'S45'!$C:$BQ,52,0)</f>
        <v>#N/A</v>
      </c>
      <c r="R3" s="115" t="e">
        <f>VLOOKUP($A3,'S45'!$C:$BQ,59,0)</f>
        <v>#N/A</v>
      </c>
      <c r="S3" s="115" t="e">
        <f>VLOOKUP($A3,'S45'!$C:$BQ,60,0)</f>
        <v>#N/A</v>
      </c>
      <c r="T3" s="107" t="e">
        <f>VLOOKUP($A3,'S46'!$C:$BQ,32,0)</f>
        <v>#N/A</v>
      </c>
      <c r="U3" s="107" t="e">
        <f>VLOOKUP($A3,'S46'!$C:$BQ,39,0)</f>
        <v>#N/A</v>
      </c>
      <c r="V3" s="107" t="e">
        <f>VLOOKUP($A3,'S46'!$C:$BQ,40,0)</f>
        <v>#N/A</v>
      </c>
      <c r="W3" s="107" t="e">
        <f>VLOOKUP($A3,'S46'!$C:$BQ,22,0)</f>
        <v>#N/A</v>
      </c>
      <c r="X3" s="115" t="e">
        <f>VLOOKUP($A3,'S46'!$C:$BQ,29,0)</f>
        <v>#N/A</v>
      </c>
      <c r="Y3" s="115" t="e">
        <f>VLOOKUP($A3,'S46'!$C:$BQ,30,0)</f>
        <v>#N/A</v>
      </c>
      <c r="Z3" s="115" t="e">
        <f>VLOOKUP($A3,'S46'!$C:$BQ,52,0)</f>
        <v>#N/A</v>
      </c>
      <c r="AA3" s="115" t="e">
        <f>VLOOKUP($A3,'S46'!$C:$BQ,59,0)</f>
        <v>#N/A</v>
      </c>
      <c r="AB3" s="115" t="e">
        <f>VLOOKUP($A3,'S46'!$C:$BQ,60,0)</f>
        <v>#N/A</v>
      </c>
      <c r="AC3" s="107" t="e">
        <f>VLOOKUP($A3,'S47'!$C:$BQ,32,0)</f>
        <v>#N/A</v>
      </c>
      <c r="AD3" s="107" t="e">
        <f>VLOOKUP($A3,'S47'!$C:$BQ,39,0)</f>
        <v>#N/A</v>
      </c>
      <c r="AE3" s="107" t="e">
        <f>VLOOKUP($A3,'S47'!$C:$BQ,40,0)</f>
        <v>#N/A</v>
      </c>
      <c r="AF3" s="107" t="e">
        <f>VLOOKUP($A3,'S47'!$C:$BQ,22,0)</f>
        <v>#N/A</v>
      </c>
      <c r="AG3" s="115" t="e">
        <f>VLOOKUP($A3,'S47'!$C:$BQ,29,0)</f>
        <v>#N/A</v>
      </c>
      <c r="AH3" s="115" t="e">
        <f>VLOOKUP($A3,'S47'!$C:$BQ,30,0)</f>
        <v>#N/A</v>
      </c>
      <c r="AI3" s="115" t="e">
        <f>VLOOKUP($A3,'S47'!$C:$BQ,52,0)</f>
        <v>#N/A</v>
      </c>
      <c r="AJ3" s="115" t="e">
        <f>VLOOKUP($A3,'S47'!$C:$BQ,59,0)</f>
        <v>#N/A</v>
      </c>
      <c r="AK3" s="115" t="e">
        <f>VLOOKUP($A3,'S47'!$C:$BQ,60,0)</f>
        <v>#N/A</v>
      </c>
      <c r="AL3" s="107" t="e">
        <f>VLOOKUP($A3,'S48'!$C:$BQ,32,0)</f>
        <v>#N/A</v>
      </c>
      <c r="AM3" s="107" t="e">
        <f>VLOOKUP($A3,'S48'!$C:$BQ,39,0)</f>
        <v>#N/A</v>
      </c>
      <c r="AN3" s="107" t="e">
        <f>VLOOKUP($A3,'S48'!$C:$BQ,40,0)</f>
        <v>#N/A</v>
      </c>
      <c r="AO3" s="107" t="e">
        <f>VLOOKUP($A3,'S48'!$C:$BQ,22,0)</f>
        <v>#N/A</v>
      </c>
      <c r="AP3" s="115" t="e">
        <f>VLOOKUP($A3,'S48'!$C:$BQ,29,0)</f>
        <v>#N/A</v>
      </c>
      <c r="AQ3" s="115" t="e">
        <f>VLOOKUP($A3,'S48'!$C:$BQ,30,0)</f>
        <v>#N/A</v>
      </c>
      <c r="AR3" s="115" t="e">
        <f>VLOOKUP($A3,'S48'!$C:$BQ,52,0)</f>
        <v>#N/A</v>
      </c>
      <c r="AS3" s="115" t="e">
        <f>VLOOKUP($A3,'S48'!$C:$BQ,59,0)</f>
        <v>#N/A</v>
      </c>
      <c r="AT3" s="115" t="e">
        <f>VLOOKUP($A3,'S48'!$C:$BQ,60,0)</f>
        <v>#N/A</v>
      </c>
      <c r="AU3" s="107" t="e">
        <f>VLOOKUP($A3,'S49'!$C:$BQ,32,0)</f>
        <v>#N/A</v>
      </c>
      <c r="AV3" s="107" t="e">
        <f>VLOOKUP($A3,'S49'!$C:$BQ,39,0)</f>
        <v>#N/A</v>
      </c>
      <c r="AW3" s="107" t="e">
        <f>VLOOKUP($A3,'S49'!$C:$BQ,40,0)</f>
        <v>#N/A</v>
      </c>
      <c r="AX3" s="107" t="e">
        <f>VLOOKUP($A3,'S49'!$C:$BQ,22,0)</f>
        <v>#N/A</v>
      </c>
      <c r="AY3" s="115" t="e">
        <f>VLOOKUP($A3,'S49'!$C:$BQ,29,0)</f>
        <v>#N/A</v>
      </c>
      <c r="AZ3" s="115" t="e">
        <f>VLOOKUP($A3,'S49'!$C:$BQ,30,0)</f>
        <v>#N/A</v>
      </c>
      <c r="BA3" s="115" t="e">
        <f>VLOOKUP($A3,'S49'!$C:$BQ,52,0)</f>
        <v>#N/A</v>
      </c>
      <c r="BB3" s="115" t="e">
        <f>VLOOKUP($A3,'S49'!$C:$BQ,59,0)</f>
        <v>#N/A</v>
      </c>
      <c r="BC3" s="115" t="e">
        <f>VLOOKUP($A3,'S49'!$C:$BQ,60,0)</f>
        <v>#N/A</v>
      </c>
      <c r="BD3" s="107" t="e">
        <f>VLOOKUP($A3,'S50'!$C:$BQ,32,0)</f>
        <v>#N/A</v>
      </c>
      <c r="BE3" s="107" t="e">
        <f>VLOOKUP($A3,'S50'!$C:$BQ,39,0)</f>
        <v>#N/A</v>
      </c>
      <c r="BF3" s="107" t="e">
        <f>VLOOKUP($A3,'S50'!$C:$BQ,40,0)</f>
        <v>#N/A</v>
      </c>
      <c r="BG3" s="107" t="e">
        <f>VLOOKUP($A3,'S50'!$C:$BQ,22,0)</f>
        <v>#N/A</v>
      </c>
      <c r="BH3" s="115" t="e">
        <f>VLOOKUP($A3,'S50'!$C:$BQ,29,0)</f>
        <v>#N/A</v>
      </c>
      <c r="BI3" s="115" t="e">
        <f>VLOOKUP($A3,'S50'!$C:$BQ,30,0)</f>
        <v>#N/A</v>
      </c>
      <c r="BJ3" s="115" t="e">
        <f>VLOOKUP($A3,'S50'!$C:$BQ,52,0)</f>
        <v>#N/A</v>
      </c>
      <c r="BK3" s="115" t="e">
        <f>VLOOKUP($A3,'S50'!$C:$BQ,59,0)</f>
        <v>#N/A</v>
      </c>
      <c r="BL3" s="115" t="e">
        <f>VLOOKUP($A3,'S50'!$C:$BQ,60,0)</f>
        <v>#N/A</v>
      </c>
    </row>
    <row r="4" spans="1:127" x14ac:dyDescent="0.2">
      <c r="A4" s="106" t="s">
        <v>56</v>
      </c>
      <c r="B4" s="107">
        <f>VLOOKUP($A4,'S0 remplacer avec S44'!$C:$BQ,32,0)</f>
        <v>462.15</v>
      </c>
      <c r="C4" s="107">
        <f>VLOOKUP($A4,'S0 remplacer avec S44'!$C:$BQ,39,0)</f>
        <v>117</v>
      </c>
      <c r="D4" s="107">
        <f>VLOOKUP($A4,'S0 remplacer avec S44'!$C:$BQ,40,0)</f>
        <v>233</v>
      </c>
      <c r="E4" s="107">
        <f>VLOOKUP($A4,'S0 remplacer avec S44'!$C:$BQ,22,0)</f>
        <v>5969.496365</v>
      </c>
      <c r="F4" s="115">
        <f>VLOOKUP($A4,'S0 remplacer avec S44'!$C:$BQ,29,0)</f>
        <v>0</v>
      </c>
      <c r="G4" s="115">
        <f>VLOOKUP($A4,'S0 remplacer avec S44'!$C:$BQ,30,0)</f>
        <v>351</v>
      </c>
      <c r="H4" s="115">
        <f>VLOOKUP($A4,'S0 remplacer avec S44'!$C:$BQ,52,0)</f>
        <v>382</v>
      </c>
      <c r="I4" s="115">
        <f>VLOOKUP($A4,'S0 remplacer avec S44'!$C:$BQ,59,0)</f>
        <v>0</v>
      </c>
      <c r="J4" s="115">
        <f>VLOOKUP($A4,'S0 remplacer avec S44'!$C:$BQ,60,0)</f>
        <v>0</v>
      </c>
      <c r="K4" s="107" t="e">
        <f>VLOOKUP($A4,'S45'!$C:$BQ,32,0)</f>
        <v>#N/A</v>
      </c>
      <c r="L4" s="107" t="e">
        <f>VLOOKUP($A4,'S45'!$C:$BQ,39,0)</f>
        <v>#N/A</v>
      </c>
      <c r="M4" s="107" t="e">
        <f>VLOOKUP($A4,'S45'!$C:$BQ,40,0)</f>
        <v>#N/A</v>
      </c>
      <c r="N4" s="107" t="e">
        <f>VLOOKUP($A4,'S45'!$C:$BQ,22,0)</f>
        <v>#N/A</v>
      </c>
      <c r="O4" s="115" t="e">
        <f>VLOOKUP($A4,'S45'!$C:$BQ,29,0)</f>
        <v>#N/A</v>
      </c>
      <c r="P4" s="115" t="e">
        <f>VLOOKUP($A4,'S45'!$C:$BQ,30,0)</f>
        <v>#N/A</v>
      </c>
      <c r="Q4" s="115" t="e">
        <f>VLOOKUP($A4,'S45'!$C:$BQ,52,0)</f>
        <v>#N/A</v>
      </c>
      <c r="R4" s="115" t="e">
        <f>VLOOKUP($A4,'S45'!$C:$BQ,59,0)</f>
        <v>#N/A</v>
      </c>
      <c r="S4" s="115" t="e">
        <f>VLOOKUP($A4,'S45'!$C:$BQ,60,0)</f>
        <v>#N/A</v>
      </c>
      <c r="T4" s="107" t="e">
        <f>VLOOKUP($A4,'S46'!$C:$BQ,32,0)</f>
        <v>#N/A</v>
      </c>
      <c r="U4" s="107" t="e">
        <f>VLOOKUP($A4,'S46'!$C:$BQ,39,0)</f>
        <v>#N/A</v>
      </c>
      <c r="V4" s="107" t="e">
        <f>VLOOKUP($A4,'S46'!$C:$BQ,40,0)</f>
        <v>#N/A</v>
      </c>
      <c r="W4" s="107" t="e">
        <f>VLOOKUP($A4,'S46'!$C:$BQ,22,0)</f>
        <v>#N/A</v>
      </c>
      <c r="X4" s="115" t="e">
        <f>VLOOKUP($A4,'S46'!$C:$BQ,29,0)</f>
        <v>#N/A</v>
      </c>
      <c r="Y4" s="115" t="e">
        <f>VLOOKUP($A4,'S46'!$C:$BQ,30,0)</f>
        <v>#N/A</v>
      </c>
      <c r="Z4" s="115" t="e">
        <f>VLOOKUP($A4,'S46'!$C:$BQ,52,0)</f>
        <v>#N/A</v>
      </c>
      <c r="AA4" s="115" t="e">
        <f>VLOOKUP($A4,'S46'!$C:$BQ,59,0)</f>
        <v>#N/A</v>
      </c>
      <c r="AB4" s="115" t="e">
        <f>VLOOKUP($A4,'S46'!$C:$BQ,60,0)</f>
        <v>#N/A</v>
      </c>
      <c r="AC4" s="107" t="e">
        <f>VLOOKUP($A4,'S47'!$C:$BQ,32,0)</f>
        <v>#N/A</v>
      </c>
      <c r="AD4" s="107" t="e">
        <f>VLOOKUP($A4,'S47'!$C:$BQ,39,0)</f>
        <v>#N/A</v>
      </c>
      <c r="AE4" s="107" t="e">
        <f>VLOOKUP($A4,'S47'!$C:$BQ,40,0)</f>
        <v>#N/A</v>
      </c>
      <c r="AF4" s="107" t="e">
        <f>VLOOKUP($A4,'S47'!$C:$BQ,22,0)</f>
        <v>#N/A</v>
      </c>
      <c r="AG4" s="115" t="e">
        <f>VLOOKUP($A4,'S47'!$C:$BQ,29,0)</f>
        <v>#N/A</v>
      </c>
      <c r="AH4" s="115" t="e">
        <f>VLOOKUP($A4,'S47'!$C:$BQ,30,0)</f>
        <v>#N/A</v>
      </c>
      <c r="AI4" s="115" t="e">
        <f>VLOOKUP($A4,'S47'!$C:$BQ,52,0)</f>
        <v>#N/A</v>
      </c>
      <c r="AJ4" s="115" t="e">
        <f>VLOOKUP($A4,'S47'!$C:$BQ,59,0)</f>
        <v>#N/A</v>
      </c>
      <c r="AK4" s="115" t="e">
        <f>VLOOKUP($A4,'S47'!$C:$BQ,60,0)</f>
        <v>#N/A</v>
      </c>
      <c r="AL4" s="107" t="e">
        <f>VLOOKUP($A4,'S48'!$C:$BQ,32,0)</f>
        <v>#N/A</v>
      </c>
      <c r="AM4" s="107" t="e">
        <f>VLOOKUP($A4,'S48'!$C:$BQ,39,0)</f>
        <v>#N/A</v>
      </c>
      <c r="AN4" s="107" t="e">
        <f>VLOOKUP($A4,'S48'!$C:$BQ,40,0)</f>
        <v>#N/A</v>
      </c>
      <c r="AO4" s="107" t="e">
        <f>VLOOKUP($A4,'S48'!$C:$BQ,22,0)</f>
        <v>#N/A</v>
      </c>
      <c r="AP4" s="115" t="e">
        <f>VLOOKUP($A4,'S48'!$C:$BQ,29,0)</f>
        <v>#N/A</v>
      </c>
      <c r="AQ4" s="115" t="e">
        <f>VLOOKUP($A4,'S48'!$C:$BQ,30,0)</f>
        <v>#N/A</v>
      </c>
      <c r="AR4" s="115" t="e">
        <f>VLOOKUP($A4,'S48'!$C:$BQ,52,0)</f>
        <v>#N/A</v>
      </c>
      <c r="AS4" s="115" t="e">
        <f>VLOOKUP($A4,'S48'!$C:$BQ,59,0)</f>
        <v>#N/A</v>
      </c>
      <c r="AT4" s="115" t="e">
        <f>VLOOKUP($A4,'S48'!$C:$BQ,60,0)</f>
        <v>#N/A</v>
      </c>
      <c r="AU4" s="107" t="e">
        <f>VLOOKUP($A4,'S49'!$C:$BQ,32,0)</f>
        <v>#N/A</v>
      </c>
      <c r="AV4" s="107" t="e">
        <f>VLOOKUP($A4,'S49'!$C:$BQ,39,0)</f>
        <v>#N/A</v>
      </c>
      <c r="AW4" s="107" t="e">
        <f>VLOOKUP($A4,'S49'!$C:$BQ,40,0)</f>
        <v>#N/A</v>
      </c>
      <c r="AX4" s="107" t="e">
        <f>VLOOKUP($A4,'S49'!$C:$BQ,22,0)</f>
        <v>#N/A</v>
      </c>
      <c r="AY4" s="115" t="e">
        <f>VLOOKUP($A4,'S49'!$C:$BQ,29,0)</f>
        <v>#N/A</v>
      </c>
      <c r="AZ4" s="115" t="e">
        <f>VLOOKUP($A4,'S49'!$C:$BQ,30,0)</f>
        <v>#N/A</v>
      </c>
      <c r="BA4" s="115" t="e">
        <f>VLOOKUP($A4,'S49'!$C:$BQ,52,0)</f>
        <v>#N/A</v>
      </c>
      <c r="BB4" s="115" t="e">
        <f>VLOOKUP($A4,'S49'!$C:$BQ,59,0)</f>
        <v>#N/A</v>
      </c>
      <c r="BC4" s="115" t="e">
        <f>VLOOKUP($A4,'S49'!$C:$BQ,60,0)</f>
        <v>#N/A</v>
      </c>
      <c r="BD4" s="107" t="e">
        <f>VLOOKUP($A4,'S50'!$C:$BQ,32,0)</f>
        <v>#N/A</v>
      </c>
      <c r="BE4" s="107" t="e">
        <f>VLOOKUP($A4,'S50'!$C:$BQ,39,0)</f>
        <v>#N/A</v>
      </c>
      <c r="BF4" s="107" t="e">
        <f>VLOOKUP($A4,'S50'!$C:$BQ,40,0)</f>
        <v>#N/A</v>
      </c>
      <c r="BG4" s="107" t="e">
        <f>VLOOKUP($A4,'S50'!$C:$BQ,22,0)</f>
        <v>#N/A</v>
      </c>
      <c r="BH4" s="115" t="e">
        <f>VLOOKUP($A4,'S50'!$C:$BQ,29,0)</f>
        <v>#N/A</v>
      </c>
      <c r="BI4" s="115" t="e">
        <f>VLOOKUP($A4,'S50'!$C:$BQ,30,0)</f>
        <v>#N/A</v>
      </c>
      <c r="BJ4" s="115" t="e">
        <f>VLOOKUP($A4,'S50'!$C:$BQ,52,0)</f>
        <v>#N/A</v>
      </c>
      <c r="BK4" s="115" t="e">
        <f>VLOOKUP($A4,'S50'!$C:$BQ,59,0)</f>
        <v>#N/A</v>
      </c>
      <c r="BL4" s="115" t="e">
        <f>VLOOKUP($A4,'S50'!$C:$BQ,60,0)</f>
        <v>#N/A</v>
      </c>
    </row>
    <row r="5" spans="1:127" x14ac:dyDescent="0.2">
      <c r="A5" s="106" t="s">
        <v>57</v>
      </c>
      <c r="B5" s="107">
        <f>VLOOKUP($A5,'S0 remplacer avec S44'!$C:$BQ,32,0)</f>
        <v>105.85</v>
      </c>
      <c r="C5" s="107">
        <f>VLOOKUP($A5,'S0 remplacer avec S44'!$C:$BQ,39,0)</f>
        <v>47</v>
      </c>
      <c r="D5" s="107">
        <f>VLOOKUP($A5,'S0 remplacer avec S44'!$C:$BQ,40,0)</f>
        <v>77</v>
      </c>
      <c r="E5" s="107">
        <f>VLOOKUP($A5,'S0 remplacer avec S44'!$C:$BQ,22,0)</f>
        <v>2180.3409649999999</v>
      </c>
      <c r="F5" s="115">
        <f>VLOOKUP($A5,'S0 remplacer avec S44'!$C:$BQ,29,0)</f>
        <v>0</v>
      </c>
      <c r="G5" s="115">
        <f>VLOOKUP($A5,'S0 remplacer avec S44'!$C:$BQ,30,0)</f>
        <v>0</v>
      </c>
      <c r="H5" s="115">
        <f>VLOOKUP($A5,'S0 remplacer avec S44'!$C:$BQ,52,0)</f>
        <v>105.8</v>
      </c>
      <c r="I5" s="115">
        <f>VLOOKUP($A5,'S0 remplacer avec S44'!$C:$BQ,59,0)</f>
        <v>0</v>
      </c>
      <c r="J5" s="115">
        <f>VLOOKUP($A5,'S0 remplacer avec S44'!$C:$BQ,60,0)</f>
        <v>0</v>
      </c>
      <c r="K5" s="107" t="e">
        <f>VLOOKUP($A5,'S45'!$C:$BQ,32,0)</f>
        <v>#N/A</v>
      </c>
      <c r="L5" s="107" t="e">
        <f>VLOOKUP($A5,'S45'!$C:$BQ,39,0)</f>
        <v>#N/A</v>
      </c>
      <c r="M5" s="107" t="e">
        <f>VLOOKUP($A5,'S45'!$C:$BQ,40,0)</f>
        <v>#N/A</v>
      </c>
      <c r="N5" s="107" t="e">
        <f>VLOOKUP($A5,'S45'!$C:$BQ,22,0)</f>
        <v>#N/A</v>
      </c>
      <c r="O5" s="115" t="e">
        <f>VLOOKUP($A5,'S45'!$C:$BQ,29,0)</f>
        <v>#N/A</v>
      </c>
      <c r="P5" s="115" t="e">
        <f>VLOOKUP($A5,'S45'!$C:$BQ,30,0)</f>
        <v>#N/A</v>
      </c>
      <c r="Q5" s="115" t="e">
        <f>VLOOKUP($A5,'S45'!$C:$BQ,52,0)</f>
        <v>#N/A</v>
      </c>
      <c r="R5" s="115" t="e">
        <f>VLOOKUP($A5,'S45'!$C:$BQ,59,0)</f>
        <v>#N/A</v>
      </c>
      <c r="S5" s="115" t="e">
        <f>VLOOKUP($A5,'S45'!$C:$BQ,60,0)</f>
        <v>#N/A</v>
      </c>
      <c r="T5" s="107" t="e">
        <f>VLOOKUP($A5,'S46'!$C:$BQ,32,0)</f>
        <v>#N/A</v>
      </c>
      <c r="U5" s="107" t="e">
        <f>VLOOKUP($A5,'S46'!$C:$BQ,39,0)</f>
        <v>#N/A</v>
      </c>
      <c r="V5" s="107" t="e">
        <f>VLOOKUP($A5,'S46'!$C:$BQ,40,0)</f>
        <v>#N/A</v>
      </c>
      <c r="W5" s="107" t="e">
        <f>VLOOKUP($A5,'S46'!$C:$BQ,22,0)</f>
        <v>#N/A</v>
      </c>
      <c r="X5" s="115" t="e">
        <f>VLOOKUP($A5,'S46'!$C:$BQ,29,0)</f>
        <v>#N/A</v>
      </c>
      <c r="Y5" s="115" t="e">
        <f>VLOOKUP($A5,'S46'!$C:$BQ,30,0)</f>
        <v>#N/A</v>
      </c>
      <c r="Z5" s="115" t="e">
        <f>VLOOKUP($A5,'S46'!$C:$BQ,52,0)</f>
        <v>#N/A</v>
      </c>
      <c r="AA5" s="115" t="e">
        <f>VLOOKUP($A5,'S46'!$C:$BQ,59,0)</f>
        <v>#N/A</v>
      </c>
      <c r="AB5" s="115" t="e">
        <f>VLOOKUP($A5,'S46'!$C:$BQ,60,0)</f>
        <v>#N/A</v>
      </c>
      <c r="AC5" s="107" t="e">
        <f>VLOOKUP($A5,'S47'!$C:$BQ,32,0)</f>
        <v>#N/A</v>
      </c>
      <c r="AD5" s="107" t="e">
        <f>VLOOKUP($A5,'S47'!$C:$BQ,39,0)</f>
        <v>#N/A</v>
      </c>
      <c r="AE5" s="107" t="e">
        <f>VLOOKUP($A5,'S47'!$C:$BQ,40,0)</f>
        <v>#N/A</v>
      </c>
      <c r="AF5" s="107" t="e">
        <f>VLOOKUP($A5,'S47'!$C:$BQ,22,0)</f>
        <v>#N/A</v>
      </c>
      <c r="AG5" s="115" t="e">
        <f>VLOOKUP($A5,'S47'!$C:$BQ,29,0)</f>
        <v>#N/A</v>
      </c>
      <c r="AH5" s="115" t="e">
        <f>VLOOKUP($A5,'S47'!$C:$BQ,30,0)</f>
        <v>#N/A</v>
      </c>
      <c r="AI5" s="115" t="e">
        <f>VLOOKUP($A5,'S47'!$C:$BQ,52,0)</f>
        <v>#N/A</v>
      </c>
      <c r="AJ5" s="115" t="e">
        <f>VLOOKUP($A5,'S47'!$C:$BQ,59,0)</f>
        <v>#N/A</v>
      </c>
      <c r="AK5" s="115" t="e">
        <f>VLOOKUP($A5,'S47'!$C:$BQ,60,0)</f>
        <v>#N/A</v>
      </c>
      <c r="AL5" s="107" t="e">
        <f>VLOOKUP($A5,'S48'!$C:$BQ,32,0)</f>
        <v>#N/A</v>
      </c>
      <c r="AM5" s="107" t="e">
        <f>VLOOKUP($A5,'S48'!$C:$BQ,39,0)</f>
        <v>#N/A</v>
      </c>
      <c r="AN5" s="107" t="e">
        <f>VLOOKUP($A5,'S48'!$C:$BQ,40,0)</f>
        <v>#N/A</v>
      </c>
      <c r="AO5" s="107" t="e">
        <f>VLOOKUP($A5,'S48'!$C:$BQ,22,0)</f>
        <v>#N/A</v>
      </c>
      <c r="AP5" s="115" t="e">
        <f>VLOOKUP($A5,'S48'!$C:$BQ,29,0)</f>
        <v>#N/A</v>
      </c>
      <c r="AQ5" s="115" t="e">
        <f>VLOOKUP($A5,'S48'!$C:$BQ,30,0)</f>
        <v>#N/A</v>
      </c>
      <c r="AR5" s="115" t="e">
        <f>VLOOKUP($A5,'S48'!$C:$BQ,52,0)</f>
        <v>#N/A</v>
      </c>
      <c r="AS5" s="115" t="e">
        <f>VLOOKUP($A5,'S48'!$C:$BQ,59,0)</f>
        <v>#N/A</v>
      </c>
      <c r="AT5" s="115" t="e">
        <f>VLOOKUP($A5,'S48'!$C:$BQ,60,0)</f>
        <v>#N/A</v>
      </c>
      <c r="AU5" s="107" t="e">
        <f>VLOOKUP($A5,'S49'!$C:$BQ,32,0)</f>
        <v>#N/A</v>
      </c>
      <c r="AV5" s="107" t="e">
        <f>VLOOKUP($A5,'S49'!$C:$BQ,39,0)</f>
        <v>#N/A</v>
      </c>
      <c r="AW5" s="107" t="e">
        <f>VLOOKUP($A5,'S49'!$C:$BQ,40,0)</f>
        <v>#N/A</v>
      </c>
      <c r="AX5" s="107" t="e">
        <f>VLOOKUP($A5,'S49'!$C:$BQ,22,0)</f>
        <v>#N/A</v>
      </c>
      <c r="AY5" s="115" t="e">
        <f>VLOOKUP($A5,'S49'!$C:$BQ,29,0)</f>
        <v>#N/A</v>
      </c>
      <c r="AZ5" s="115" t="e">
        <f>VLOOKUP($A5,'S49'!$C:$BQ,30,0)</f>
        <v>#N/A</v>
      </c>
      <c r="BA5" s="115" t="e">
        <f>VLOOKUP($A5,'S49'!$C:$BQ,52,0)</f>
        <v>#N/A</v>
      </c>
      <c r="BB5" s="115" t="e">
        <f>VLOOKUP($A5,'S49'!$C:$BQ,59,0)</f>
        <v>#N/A</v>
      </c>
      <c r="BC5" s="115" t="e">
        <f>VLOOKUP($A5,'S49'!$C:$BQ,60,0)</f>
        <v>#N/A</v>
      </c>
      <c r="BD5" s="107" t="e">
        <f>VLOOKUP($A5,'S50'!$C:$BQ,32,0)</f>
        <v>#N/A</v>
      </c>
      <c r="BE5" s="107" t="e">
        <f>VLOOKUP($A5,'S50'!$C:$BQ,39,0)</f>
        <v>#N/A</v>
      </c>
      <c r="BF5" s="107" t="e">
        <f>VLOOKUP($A5,'S50'!$C:$BQ,40,0)</f>
        <v>#N/A</v>
      </c>
      <c r="BG5" s="107" t="e">
        <f>VLOOKUP($A5,'S50'!$C:$BQ,22,0)</f>
        <v>#N/A</v>
      </c>
      <c r="BH5" s="115" t="e">
        <f>VLOOKUP($A5,'S50'!$C:$BQ,29,0)</f>
        <v>#N/A</v>
      </c>
      <c r="BI5" s="115" t="e">
        <f>VLOOKUP($A5,'S50'!$C:$BQ,30,0)</f>
        <v>#N/A</v>
      </c>
      <c r="BJ5" s="115" t="e">
        <f>VLOOKUP($A5,'S50'!$C:$BQ,52,0)</f>
        <v>#N/A</v>
      </c>
      <c r="BK5" s="115" t="e">
        <f>VLOOKUP($A5,'S50'!$C:$BQ,59,0)</f>
        <v>#N/A</v>
      </c>
      <c r="BL5" s="115" t="e">
        <f>VLOOKUP($A5,'S50'!$C:$BQ,60,0)</f>
        <v>#N/A</v>
      </c>
    </row>
    <row r="6" spans="1:127" x14ac:dyDescent="0.2">
      <c r="A6" s="106" t="s">
        <v>58</v>
      </c>
      <c r="B6" s="107">
        <f>VLOOKUP($A6,'S0 remplacer avec S44'!$C:$BQ,32,0)</f>
        <v>97</v>
      </c>
      <c r="C6" s="107">
        <f>VLOOKUP($A6,'S0 remplacer avec S44'!$C:$BQ,39,0)</f>
        <v>81</v>
      </c>
      <c r="D6" s="107">
        <f>VLOOKUP($A6,'S0 remplacer avec S44'!$C:$BQ,40,0)</f>
        <v>116</v>
      </c>
      <c r="E6" s="107">
        <f>VLOOKUP($A6,'S0 remplacer avec S44'!$C:$BQ,22,0)</f>
        <v>1494.4233899999999</v>
      </c>
      <c r="F6" s="115">
        <f>VLOOKUP($A6,'S0 remplacer avec S44'!$C:$BQ,29,0)</f>
        <v>119</v>
      </c>
      <c r="G6" s="115">
        <f>VLOOKUP($A6,'S0 remplacer avec S44'!$C:$BQ,30,0)</f>
        <v>442</v>
      </c>
      <c r="H6" s="115">
        <f>VLOOKUP($A6,'S0 remplacer avec S44'!$C:$BQ,52,0)</f>
        <v>81</v>
      </c>
      <c r="I6" s="115">
        <f>VLOOKUP($A6,'S0 remplacer avec S44'!$C:$BQ,59,0)</f>
        <v>10</v>
      </c>
      <c r="J6" s="115">
        <f>VLOOKUP($A6,'S0 remplacer avec S44'!$C:$BQ,60,0)</f>
        <v>28</v>
      </c>
      <c r="K6" s="107" t="e">
        <f>VLOOKUP($A6,'S45'!$C:$BQ,32,0)</f>
        <v>#N/A</v>
      </c>
      <c r="L6" s="107" t="e">
        <f>VLOOKUP($A6,'S45'!$C:$BQ,39,0)</f>
        <v>#N/A</v>
      </c>
      <c r="M6" s="107" t="e">
        <f>VLOOKUP($A6,'S45'!$C:$BQ,40,0)</f>
        <v>#N/A</v>
      </c>
      <c r="N6" s="107" t="e">
        <f>VLOOKUP($A6,'S45'!$C:$BQ,22,0)</f>
        <v>#N/A</v>
      </c>
      <c r="O6" s="115" t="e">
        <f>VLOOKUP($A6,'S45'!$C:$BQ,29,0)</f>
        <v>#N/A</v>
      </c>
      <c r="P6" s="115" t="e">
        <f>VLOOKUP($A6,'S45'!$C:$BQ,30,0)</f>
        <v>#N/A</v>
      </c>
      <c r="Q6" s="115" t="e">
        <f>VLOOKUP($A6,'S45'!$C:$BQ,52,0)</f>
        <v>#N/A</v>
      </c>
      <c r="R6" s="115" t="e">
        <f>VLOOKUP($A6,'S45'!$C:$BQ,59,0)</f>
        <v>#N/A</v>
      </c>
      <c r="S6" s="115" t="e">
        <f>VLOOKUP($A6,'S45'!$C:$BQ,60,0)</f>
        <v>#N/A</v>
      </c>
      <c r="T6" s="107" t="e">
        <f>VLOOKUP($A6,'S46'!$C:$BQ,32,0)</f>
        <v>#N/A</v>
      </c>
      <c r="U6" s="107" t="e">
        <f>VLOOKUP($A6,'S46'!$C:$BQ,39,0)</f>
        <v>#N/A</v>
      </c>
      <c r="V6" s="107" t="e">
        <f>VLOOKUP($A6,'S46'!$C:$BQ,40,0)</f>
        <v>#N/A</v>
      </c>
      <c r="W6" s="107" t="e">
        <f>VLOOKUP($A6,'S46'!$C:$BQ,22,0)</f>
        <v>#N/A</v>
      </c>
      <c r="X6" s="115" t="e">
        <f>VLOOKUP($A6,'S46'!$C:$BQ,29,0)</f>
        <v>#N/A</v>
      </c>
      <c r="Y6" s="115" t="e">
        <f>VLOOKUP($A6,'S46'!$C:$BQ,30,0)</f>
        <v>#N/A</v>
      </c>
      <c r="Z6" s="115" t="e">
        <f>VLOOKUP($A6,'S46'!$C:$BQ,52,0)</f>
        <v>#N/A</v>
      </c>
      <c r="AA6" s="115" t="e">
        <f>VLOOKUP($A6,'S46'!$C:$BQ,59,0)</f>
        <v>#N/A</v>
      </c>
      <c r="AB6" s="115" t="e">
        <f>VLOOKUP($A6,'S46'!$C:$BQ,60,0)</f>
        <v>#N/A</v>
      </c>
      <c r="AC6" s="107" t="e">
        <f>VLOOKUP($A6,'S47'!$C:$BQ,32,0)</f>
        <v>#N/A</v>
      </c>
      <c r="AD6" s="107" t="e">
        <f>VLOOKUP($A6,'S47'!$C:$BQ,39,0)</f>
        <v>#N/A</v>
      </c>
      <c r="AE6" s="107" t="e">
        <f>VLOOKUP($A6,'S47'!$C:$BQ,40,0)</f>
        <v>#N/A</v>
      </c>
      <c r="AF6" s="107" t="e">
        <f>VLOOKUP($A6,'S47'!$C:$BQ,22,0)</f>
        <v>#N/A</v>
      </c>
      <c r="AG6" s="115" t="e">
        <f>VLOOKUP($A6,'S47'!$C:$BQ,29,0)</f>
        <v>#N/A</v>
      </c>
      <c r="AH6" s="115" t="e">
        <f>VLOOKUP($A6,'S47'!$C:$BQ,30,0)</f>
        <v>#N/A</v>
      </c>
      <c r="AI6" s="115" t="e">
        <f>VLOOKUP($A6,'S47'!$C:$BQ,52,0)</f>
        <v>#N/A</v>
      </c>
      <c r="AJ6" s="115" t="e">
        <f>VLOOKUP($A6,'S47'!$C:$BQ,59,0)</f>
        <v>#N/A</v>
      </c>
      <c r="AK6" s="115" t="e">
        <f>VLOOKUP($A6,'S47'!$C:$BQ,60,0)</f>
        <v>#N/A</v>
      </c>
      <c r="AL6" s="107" t="e">
        <f>VLOOKUP($A6,'S48'!$C:$BQ,32,0)</f>
        <v>#N/A</v>
      </c>
      <c r="AM6" s="107" t="e">
        <f>VLOOKUP($A6,'S48'!$C:$BQ,39,0)</f>
        <v>#N/A</v>
      </c>
      <c r="AN6" s="107" t="e">
        <f>VLOOKUP($A6,'S48'!$C:$BQ,40,0)</f>
        <v>#N/A</v>
      </c>
      <c r="AO6" s="107" t="e">
        <f>VLOOKUP($A6,'S48'!$C:$BQ,22,0)</f>
        <v>#N/A</v>
      </c>
      <c r="AP6" s="115" t="e">
        <f>VLOOKUP($A6,'S48'!$C:$BQ,29,0)</f>
        <v>#N/A</v>
      </c>
      <c r="AQ6" s="115" t="e">
        <f>VLOOKUP($A6,'S48'!$C:$BQ,30,0)</f>
        <v>#N/A</v>
      </c>
      <c r="AR6" s="115" t="e">
        <f>VLOOKUP($A6,'S48'!$C:$BQ,52,0)</f>
        <v>#N/A</v>
      </c>
      <c r="AS6" s="115" t="e">
        <f>VLOOKUP($A6,'S48'!$C:$BQ,59,0)</f>
        <v>#N/A</v>
      </c>
      <c r="AT6" s="115" t="e">
        <f>VLOOKUP($A6,'S48'!$C:$BQ,60,0)</f>
        <v>#N/A</v>
      </c>
      <c r="AU6" s="107" t="e">
        <f>VLOOKUP($A6,'S49'!$C:$BQ,32,0)</f>
        <v>#N/A</v>
      </c>
      <c r="AV6" s="107" t="e">
        <f>VLOOKUP($A6,'S49'!$C:$BQ,39,0)</f>
        <v>#N/A</v>
      </c>
      <c r="AW6" s="107" t="e">
        <f>VLOOKUP($A6,'S49'!$C:$BQ,40,0)</f>
        <v>#N/A</v>
      </c>
      <c r="AX6" s="107" t="e">
        <f>VLOOKUP($A6,'S49'!$C:$BQ,22,0)</f>
        <v>#N/A</v>
      </c>
      <c r="AY6" s="115" t="e">
        <f>VLOOKUP($A6,'S49'!$C:$BQ,29,0)</f>
        <v>#N/A</v>
      </c>
      <c r="AZ6" s="115" t="e">
        <f>VLOOKUP($A6,'S49'!$C:$BQ,30,0)</f>
        <v>#N/A</v>
      </c>
      <c r="BA6" s="115" t="e">
        <f>VLOOKUP($A6,'S49'!$C:$BQ,52,0)</f>
        <v>#N/A</v>
      </c>
      <c r="BB6" s="115" t="e">
        <f>VLOOKUP($A6,'S49'!$C:$BQ,59,0)</f>
        <v>#N/A</v>
      </c>
      <c r="BC6" s="115" t="e">
        <f>VLOOKUP($A6,'S49'!$C:$BQ,60,0)</f>
        <v>#N/A</v>
      </c>
      <c r="BD6" s="107" t="e">
        <f>VLOOKUP($A6,'S50'!$C:$BQ,32,0)</f>
        <v>#N/A</v>
      </c>
      <c r="BE6" s="107" t="e">
        <f>VLOOKUP($A6,'S50'!$C:$BQ,39,0)</f>
        <v>#N/A</v>
      </c>
      <c r="BF6" s="107" t="e">
        <f>VLOOKUP($A6,'S50'!$C:$BQ,40,0)</f>
        <v>#N/A</v>
      </c>
      <c r="BG6" s="107" t="e">
        <f>VLOOKUP($A6,'S50'!$C:$BQ,22,0)</f>
        <v>#N/A</v>
      </c>
      <c r="BH6" s="115" t="e">
        <f>VLOOKUP($A6,'S50'!$C:$BQ,29,0)</f>
        <v>#N/A</v>
      </c>
      <c r="BI6" s="115" t="e">
        <f>VLOOKUP($A6,'S50'!$C:$BQ,30,0)</f>
        <v>#N/A</v>
      </c>
      <c r="BJ6" s="115" t="e">
        <f>VLOOKUP($A6,'S50'!$C:$BQ,52,0)</f>
        <v>#N/A</v>
      </c>
      <c r="BK6" s="115" t="e">
        <f>VLOOKUP($A6,'S50'!$C:$BQ,59,0)</f>
        <v>#N/A</v>
      </c>
      <c r="BL6" s="115" t="e">
        <f>VLOOKUP($A6,'S50'!$C:$BQ,60,0)</f>
        <v>#N/A</v>
      </c>
    </row>
    <row r="7" spans="1:127" x14ac:dyDescent="0.2">
      <c r="A7" s="106" t="s">
        <v>59</v>
      </c>
      <c r="B7" s="107">
        <f>VLOOKUP($A7,'S0 remplacer avec S44'!$C:$BQ,32,0)</f>
        <v>409.2</v>
      </c>
      <c r="C7" s="107">
        <f>VLOOKUP($A7,'S0 remplacer avec S44'!$C:$BQ,39,0)</f>
        <v>12</v>
      </c>
      <c r="D7" s="107">
        <f>VLOOKUP($A7,'S0 remplacer avec S44'!$C:$BQ,40,0)</f>
        <v>96</v>
      </c>
      <c r="E7" s="107">
        <f>VLOOKUP($A7,'S0 remplacer avec S44'!$C:$BQ,22,0)</f>
        <v>4900.5916100000004</v>
      </c>
      <c r="F7" s="115">
        <f>VLOOKUP($A7,'S0 remplacer avec S44'!$C:$BQ,29,0)</f>
        <v>0</v>
      </c>
      <c r="G7" s="115">
        <f>VLOOKUP($A7,'S0 remplacer avec S44'!$C:$BQ,30,0)</f>
        <v>0</v>
      </c>
      <c r="H7" s="115">
        <f>VLOOKUP($A7,'S0 remplacer avec S44'!$C:$BQ,52,0)</f>
        <v>235.8</v>
      </c>
      <c r="I7" s="115">
        <f>VLOOKUP($A7,'S0 remplacer avec S44'!$C:$BQ,59,0)</f>
        <v>0</v>
      </c>
      <c r="J7" s="115">
        <f>VLOOKUP($A7,'S0 remplacer avec S44'!$C:$BQ,60,0)</f>
        <v>21</v>
      </c>
      <c r="K7" s="107" t="e">
        <f>VLOOKUP($A7,'S45'!$C:$BQ,32,0)</f>
        <v>#N/A</v>
      </c>
      <c r="L7" s="107" t="e">
        <f>VLOOKUP($A7,'S45'!$C:$BQ,39,0)</f>
        <v>#N/A</v>
      </c>
      <c r="M7" s="107" t="e">
        <f>VLOOKUP($A7,'S45'!$C:$BQ,40,0)</f>
        <v>#N/A</v>
      </c>
      <c r="N7" s="107" t="e">
        <f>VLOOKUP($A7,'S45'!$C:$BQ,22,0)</f>
        <v>#N/A</v>
      </c>
      <c r="O7" s="115" t="e">
        <f>VLOOKUP($A7,'S45'!$C:$BQ,29,0)</f>
        <v>#N/A</v>
      </c>
      <c r="P7" s="115" t="e">
        <f>VLOOKUP($A7,'S45'!$C:$BQ,30,0)</f>
        <v>#N/A</v>
      </c>
      <c r="Q7" s="115" t="e">
        <f>VLOOKUP($A7,'S45'!$C:$BQ,52,0)</f>
        <v>#N/A</v>
      </c>
      <c r="R7" s="115" t="e">
        <f>VLOOKUP($A7,'S45'!$C:$BQ,59,0)</f>
        <v>#N/A</v>
      </c>
      <c r="S7" s="115" t="e">
        <f>VLOOKUP($A7,'S45'!$C:$BQ,60,0)</f>
        <v>#N/A</v>
      </c>
      <c r="T7" s="107" t="e">
        <f>VLOOKUP($A7,'S46'!$C:$BQ,32,0)</f>
        <v>#N/A</v>
      </c>
      <c r="U7" s="107" t="e">
        <f>VLOOKUP($A7,'S46'!$C:$BQ,39,0)</f>
        <v>#N/A</v>
      </c>
      <c r="V7" s="107" t="e">
        <f>VLOOKUP($A7,'S46'!$C:$BQ,40,0)</f>
        <v>#N/A</v>
      </c>
      <c r="W7" s="107" t="e">
        <f>VLOOKUP($A7,'S46'!$C:$BQ,22,0)</f>
        <v>#N/A</v>
      </c>
      <c r="X7" s="115" t="e">
        <f>VLOOKUP($A7,'S46'!$C:$BQ,29,0)</f>
        <v>#N/A</v>
      </c>
      <c r="Y7" s="115" t="e">
        <f>VLOOKUP($A7,'S46'!$C:$BQ,30,0)</f>
        <v>#N/A</v>
      </c>
      <c r="Z7" s="115" t="e">
        <f>VLOOKUP($A7,'S46'!$C:$BQ,52,0)</f>
        <v>#N/A</v>
      </c>
      <c r="AA7" s="115" t="e">
        <f>VLOOKUP($A7,'S46'!$C:$BQ,59,0)</f>
        <v>#N/A</v>
      </c>
      <c r="AB7" s="115" t="e">
        <f>VLOOKUP($A7,'S46'!$C:$BQ,60,0)</f>
        <v>#N/A</v>
      </c>
      <c r="AC7" s="107" t="e">
        <f>VLOOKUP($A7,'S47'!$C:$BQ,32,0)</f>
        <v>#N/A</v>
      </c>
      <c r="AD7" s="107" t="e">
        <f>VLOOKUP($A7,'S47'!$C:$BQ,39,0)</f>
        <v>#N/A</v>
      </c>
      <c r="AE7" s="107" t="e">
        <f>VLOOKUP($A7,'S47'!$C:$BQ,40,0)</f>
        <v>#N/A</v>
      </c>
      <c r="AF7" s="107" t="e">
        <f>VLOOKUP($A7,'S47'!$C:$BQ,22,0)</f>
        <v>#N/A</v>
      </c>
      <c r="AG7" s="115" t="e">
        <f>VLOOKUP($A7,'S47'!$C:$BQ,29,0)</f>
        <v>#N/A</v>
      </c>
      <c r="AH7" s="115" t="e">
        <f>VLOOKUP($A7,'S47'!$C:$BQ,30,0)</f>
        <v>#N/A</v>
      </c>
      <c r="AI7" s="115" t="e">
        <f>VLOOKUP($A7,'S47'!$C:$BQ,52,0)</f>
        <v>#N/A</v>
      </c>
      <c r="AJ7" s="115" t="e">
        <f>VLOOKUP($A7,'S47'!$C:$BQ,59,0)</f>
        <v>#N/A</v>
      </c>
      <c r="AK7" s="115" t="e">
        <f>VLOOKUP($A7,'S47'!$C:$BQ,60,0)</f>
        <v>#N/A</v>
      </c>
      <c r="AL7" s="107" t="e">
        <f>VLOOKUP($A7,'S48'!$C:$BQ,32,0)</f>
        <v>#N/A</v>
      </c>
      <c r="AM7" s="107" t="e">
        <f>VLOOKUP($A7,'S48'!$C:$BQ,39,0)</f>
        <v>#N/A</v>
      </c>
      <c r="AN7" s="107" t="e">
        <f>VLOOKUP($A7,'S48'!$C:$BQ,40,0)</f>
        <v>#N/A</v>
      </c>
      <c r="AO7" s="107" t="e">
        <f>VLOOKUP($A7,'S48'!$C:$BQ,22,0)</f>
        <v>#N/A</v>
      </c>
      <c r="AP7" s="115" t="e">
        <f>VLOOKUP($A7,'S48'!$C:$BQ,29,0)</f>
        <v>#N/A</v>
      </c>
      <c r="AQ7" s="115" t="e">
        <f>VLOOKUP($A7,'S48'!$C:$BQ,30,0)</f>
        <v>#N/A</v>
      </c>
      <c r="AR7" s="115" t="e">
        <f>VLOOKUP($A7,'S48'!$C:$BQ,52,0)</f>
        <v>#N/A</v>
      </c>
      <c r="AS7" s="115" t="e">
        <f>VLOOKUP($A7,'S48'!$C:$BQ,59,0)</f>
        <v>#N/A</v>
      </c>
      <c r="AT7" s="115" t="e">
        <f>VLOOKUP($A7,'S48'!$C:$BQ,60,0)</f>
        <v>#N/A</v>
      </c>
      <c r="AU7" s="107" t="e">
        <f>VLOOKUP($A7,'S49'!$C:$BQ,32,0)</f>
        <v>#N/A</v>
      </c>
      <c r="AV7" s="107" t="e">
        <f>VLOOKUP($A7,'S49'!$C:$BQ,39,0)</f>
        <v>#N/A</v>
      </c>
      <c r="AW7" s="107" t="e">
        <f>VLOOKUP($A7,'S49'!$C:$BQ,40,0)</f>
        <v>#N/A</v>
      </c>
      <c r="AX7" s="107" t="e">
        <f>VLOOKUP($A7,'S49'!$C:$BQ,22,0)</f>
        <v>#N/A</v>
      </c>
      <c r="AY7" s="115" t="e">
        <f>VLOOKUP($A7,'S49'!$C:$BQ,29,0)</f>
        <v>#N/A</v>
      </c>
      <c r="AZ7" s="115" t="e">
        <f>VLOOKUP($A7,'S49'!$C:$BQ,30,0)</f>
        <v>#N/A</v>
      </c>
      <c r="BA7" s="115" t="e">
        <f>VLOOKUP($A7,'S49'!$C:$BQ,52,0)</f>
        <v>#N/A</v>
      </c>
      <c r="BB7" s="115" t="e">
        <f>VLOOKUP($A7,'S49'!$C:$BQ,59,0)</f>
        <v>#N/A</v>
      </c>
      <c r="BC7" s="115" t="e">
        <f>VLOOKUP($A7,'S49'!$C:$BQ,60,0)</f>
        <v>#N/A</v>
      </c>
      <c r="BD7" s="107" t="e">
        <f>VLOOKUP($A7,'S50'!$C:$BQ,32,0)</f>
        <v>#N/A</v>
      </c>
      <c r="BE7" s="107" t="e">
        <f>VLOOKUP($A7,'S50'!$C:$BQ,39,0)</f>
        <v>#N/A</v>
      </c>
      <c r="BF7" s="107" t="e">
        <f>VLOOKUP($A7,'S50'!$C:$BQ,40,0)</f>
        <v>#N/A</v>
      </c>
      <c r="BG7" s="107" t="e">
        <f>VLOOKUP($A7,'S50'!$C:$BQ,22,0)</f>
        <v>#N/A</v>
      </c>
      <c r="BH7" s="115" t="e">
        <f>VLOOKUP($A7,'S50'!$C:$BQ,29,0)</f>
        <v>#N/A</v>
      </c>
      <c r="BI7" s="115" t="e">
        <f>VLOOKUP($A7,'S50'!$C:$BQ,30,0)</f>
        <v>#N/A</v>
      </c>
      <c r="BJ7" s="115" t="e">
        <f>VLOOKUP($A7,'S50'!$C:$BQ,52,0)</f>
        <v>#N/A</v>
      </c>
      <c r="BK7" s="115" t="e">
        <f>VLOOKUP($A7,'S50'!$C:$BQ,59,0)</f>
        <v>#N/A</v>
      </c>
      <c r="BL7" s="115" t="e">
        <f>VLOOKUP($A7,'S50'!$C:$BQ,60,0)</f>
        <v>#N/A</v>
      </c>
    </row>
    <row r="8" spans="1:127" x14ac:dyDescent="0.2">
      <c r="A8" s="106" t="s">
        <v>60</v>
      </c>
      <c r="B8" s="107">
        <f>VLOOKUP($A8,'S0 remplacer avec S44'!$C:$BQ,32,0)</f>
        <v>128.5</v>
      </c>
      <c r="C8" s="107">
        <f>VLOOKUP($A8,'S0 remplacer avec S44'!$C:$BQ,39,0)</f>
        <v>3</v>
      </c>
      <c r="D8" s="107">
        <f>VLOOKUP($A8,'S0 remplacer avec S44'!$C:$BQ,40,0)</f>
        <v>29</v>
      </c>
      <c r="E8" s="107">
        <f>VLOOKUP($A8,'S0 remplacer avec S44'!$C:$BQ,22,0)</f>
        <v>1241.1084499999999</v>
      </c>
      <c r="F8" s="115">
        <f>VLOOKUP($A8,'S0 remplacer avec S44'!$C:$BQ,29,0)</f>
        <v>0</v>
      </c>
      <c r="G8" s="115">
        <f>VLOOKUP($A8,'S0 remplacer avec S44'!$C:$BQ,30,0)</f>
        <v>189</v>
      </c>
      <c r="H8" s="115">
        <f>VLOOKUP($A8,'S0 remplacer avec S44'!$C:$BQ,52,0)</f>
        <v>81.8</v>
      </c>
      <c r="I8" s="115">
        <f>VLOOKUP($A8,'S0 remplacer avec S44'!$C:$BQ,59,0)</f>
        <v>0</v>
      </c>
      <c r="J8" s="115">
        <f>VLOOKUP($A8,'S0 remplacer avec S44'!$C:$BQ,60,0)</f>
        <v>0</v>
      </c>
      <c r="K8" s="107" t="e">
        <f>VLOOKUP($A8,'S45'!$C:$BQ,32,0)</f>
        <v>#N/A</v>
      </c>
      <c r="L8" s="107" t="e">
        <f>VLOOKUP($A8,'S45'!$C:$BQ,39,0)</f>
        <v>#N/A</v>
      </c>
      <c r="M8" s="107" t="e">
        <f>VLOOKUP($A8,'S45'!$C:$BQ,40,0)</f>
        <v>#N/A</v>
      </c>
      <c r="N8" s="107" t="e">
        <f>VLOOKUP($A8,'S45'!$C:$BQ,22,0)</f>
        <v>#N/A</v>
      </c>
      <c r="O8" s="115" t="e">
        <f>VLOOKUP($A8,'S45'!$C:$BQ,29,0)</f>
        <v>#N/A</v>
      </c>
      <c r="P8" s="115" t="e">
        <f>VLOOKUP($A8,'S45'!$C:$BQ,30,0)</f>
        <v>#N/A</v>
      </c>
      <c r="Q8" s="115" t="e">
        <f>VLOOKUP($A8,'S45'!$C:$BQ,52,0)</f>
        <v>#N/A</v>
      </c>
      <c r="R8" s="115" t="e">
        <f>VLOOKUP($A8,'S45'!$C:$BQ,59,0)</f>
        <v>#N/A</v>
      </c>
      <c r="S8" s="115" t="e">
        <f>VLOOKUP($A8,'S45'!$C:$BQ,60,0)</f>
        <v>#N/A</v>
      </c>
      <c r="T8" s="107" t="e">
        <f>VLOOKUP($A8,'S46'!$C:$BQ,32,0)</f>
        <v>#N/A</v>
      </c>
      <c r="U8" s="107" t="e">
        <f>VLOOKUP($A8,'S46'!$C:$BQ,39,0)</f>
        <v>#N/A</v>
      </c>
      <c r="V8" s="107" t="e">
        <f>VLOOKUP($A8,'S46'!$C:$BQ,40,0)</f>
        <v>#N/A</v>
      </c>
      <c r="W8" s="107" t="e">
        <f>VLOOKUP($A8,'S46'!$C:$BQ,22,0)</f>
        <v>#N/A</v>
      </c>
      <c r="X8" s="115" t="e">
        <f>VLOOKUP($A8,'S46'!$C:$BQ,29,0)</f>
        <v>#N/A</v>
      </c>
      <c r="Y8" s="115" t="e">
        <f>VLOOKUP($A8,'S46'!$C:$BQ,30,0)</f>
        <v>#N/A</v>
      </c>
      <c r="Z8" s="115" t="e">
        <f>VLOOKUP($A8,'S46'!$C:$BQ,52,0)</f>
        <v>#N/A</v>
      </c>
      <c r="AA8" s="115" t="e">
        <f>VLOOKUP($A8,'S46'!$C:$BQ,59,0)</f>
        <v>#N/A</v>
      </c>
      <c r="AB8" s="115" t="e">
        <f>VLOOKUP($A8,'S46'!$C:$BQ,60,0)</f>
        <v>#N/A</v>
      </c>
      <c r="AC8" s="107" t="e">
        <f>VLOOKUP($A8,'S47'!$C:$BQ,32,0)</f>
        <v>#N/A</v>
      </c>
      <c r="AD8" s="107" t="e">
        <f>VLOOKUP($A8,'S47'!$C:$BQ,39,0)</f>
        <v>#N/A</v>
      </c>
      <c r="AE8" s="107" t="e">
        <f>VLOOKUP($A8,'S47'!$C:$BQ,40,0)</f>
        <v>#N/A</v>
      </c>
      <c r="AF8" s="107" t="e">
        <f>VLOOKUP($A8,'S47'!$C:$BQ,22,0)</f>
        <v>#N/A</v>
      </c>
      <c r="AG8" s="115" t="e">
        <f>VLOOKUP($A8,'S47'!$C:$BQ,29,0)</f>
        <v>#N/A</v>
      </c>
      <c r="AH8" s="115" t="e">
        <f>VLOOKUP($A8,'S47'!$C:$BQ,30,0)</f>
        <v>#N/A</v>
      </c>
      <c r="AI8" s="115" t="e">
        <f>VLOOKUP($A8,'S47'!$C:$BQ,52,0)</f>
        <v>#N/A</v>
      </c>
      <c r="AJ8" s="115" t="e">
        <f>VLOOKUP($A8,'S47'!$C:$BQ,59,0)</f>
        <v>#N/A</v>
      </c>
      <c r="AK8" s="115" t="e">
        <f>VLOOKUP($A8,'S47'!$C:$BQ,60,0)</f>
        <v>#N/A</v>
      </c>
      <c r="AL8" s="107" t="e">
        <f>VLOOKUP($A8,'S48'!$C:$BQ,32,0)</f>
        <v>#N/A</v>
      </c>
      <c r="AM8" s="107" t="e">
        <f>VLOOKUP($A8,'S48'!$C:$BQ,39,0)</f>
        <v>#N/A</v>
      </c>
      <c r="AN8" s="107" t="e">
        <f>VLOOKUP($A8,'S48'!$C:$BQ,40,0)</f>
        <v>#N/A</v>
      </c>
      <c r="AO8" s="107" t="e">
        <f>VLOOKUP($A8,'S48'!$C:$BQ,22,0)</f>
        <v>#N/A</v>
      </c>
      <c r="AP8" s="115" t="e">
        <f>VLOOKUP($A8,'S48'!$C:$BQ,29,0)</f>
        <v>#N/A</v>
      </c>
      <c r="AQ8" s="115" t="e">
        <f>VLOOKUP($A8,'S48'!$C:$BQ,30,0)</f>
        <v>#N/A</v>
      </c>
      <c r="AR8" s="115" t="e">
        <f>VLOOKUP($A8,'S48'!$C:$BQ,52,0)</f>
        <v>#N/A</v>
      </c>
      <c r="AS8" s="115" t="e">
        <f>VLOOKUP($A8,'S48'!$C:$BQ,59,0)</f>
        <v>#N/A</v>
      </c>
      <c r="AT8" s="115" t="e">
        <f>VLOOKUP($A8,'S48'!$C:$BQ,60,0)</f>
        <v>#N/A</v>
      </c>
      <c r="AU8" s="107" t="e">
        <f>VLOOKUP($A8,'S49'!$C:$BQ,32,0)</f>
        <v>#N/A</v>
      </c>
      <c r="AV8" s="107" t="e">
        <f>VLOOKUP($A8,'S49'!$C:$BQ,39,0)</f>
        <v>#N/A</v>
      </c>
      <c r="AW8" s="107" t="e">
        <f>VLOOKUP($A8,'S49'!$C:$BQ,40,0)</f>
        <v>#N/A</v>
      </c>
      <c r="AX8" s="107" t="e">
        <f>VLOOKUP($A8,'S49'!$C:$BQ,22,0)</f>
        <v>#N/A</v>
      </c>
      <c r="AY8" s="115" t="e">
        <f>VLOOKUP($A8,'S49'!$C:$BQ,29,0)</f>
        <v>#N/A</v>
      </c>
      <c r="AZ8" s="115" t="e">
        <f>VLOOKUP($A8,'S49'!$C:$BQ,30,0)</f>
        <v>#N/A</v>
      </c>
      <c r="BA8" s="115" t="e">
        <f>VLOOKUP($A8,'S49'!$C:$BQ,52,0)</f>
        <v>#N/A</v>
      </c>
      <c r="BB8" s="115" t="e">
        <f>VLOOKUP($A8,'S49'!$C:$BQ,59,0)</f>
        <v>#N/A</v>
      </c>
      <c r="BC8" s="115" t="e">
        <f>VLOOKUP($A8,'S49'!$C:$BQ,60,0)</f>
        <v>#N/A</v>
      </c>
      <c r="BD8" s="107" t="e">
        <f>VLOOKUP($A8,'S50'!$C:$BQ,32,0)</f>
        <v>#N/A</v>
      </c>
      <c r="BE8" s="107" t="e">
        <f>VLOOKUP($A8,'S50'!$C:$BQ,39,0)</f>
        <v>#N/A</v>
      </c>
      <c r="BF8" s="107" t="e">
        <f>VLOOKUP($A8,'S50'!$C:$BQ,40,0)</f>
        <v>#N/A</v>
      </c>
      <c r="BG8" s="107" t="e">
        <f>VLOOKUP($A8,'S50'!$C:$BQ,22,0)</f>
        <v>#N/A</v>
      </c>
      <c r="BH8" s="115" t="e">
        <f>VLOOKUP($A8,'S50'!$C:$BQ,29,0)</f>
        <v>#N/A</v>
      </c>
      <c r="BI8" s="115" t="e">
        <f>VLOOKUP($A8,'S50'!$C:$BQ,30,0)</f>
        <v>#N/A</v>
      </c>
      <c r="BJ8" s="115" t="e">
        <f>VLOOKUP($A8,'S50'!$C:$BQ,52,0)</f>
        <v>#N/A</v>
      </c>
      <c r="BK8" s="115" t="e">
        <f>VLOOKUP($A8,'S50'!$C:$BQ,59,0)</f>
        <v>#N/A</v>
      </c>
      <c r="BL8" s="115" t="e">
        <f>VLOOKUP($A8,'S50'!$C:$BQ,60,0)</f>
        <v>#N/A</v>
      </c>
    </row>
    <row r="9" spans="1:127" x14ac:dyDescent="0.2">
      <c r="A9" s="106" t="s">
        <v>61</v>
      </c>
      <c r="B9" s="107">
        <f>VLOOKUP($A9,'S0 remplacer avec S44'!$C:$BQ,32,0)</f>
        <v>307.39999999999998</v>
      </c>
      <c r="C9" s="107">
        <f>VLOOKUP($A9,'S0 remplacer avec S44'!$C:$BQ,39,0)</f>
        <v>34</v>
      </c>
      <c r="D9" s="107">
        <f>VLOOKUP($A9,'S0 remplacer avec S44'!$C:$BQ,40,0)</f>
        <v>103</v>
      </c>
      <c r="E9" s="107">
        <f>VLOOKUP($A9,'S0 remplacer avec S44'!$C:$BQ,22,0)</f>
        <v>3204.6095999999998</v>
      </c>
      <c r="F9" s="115">
        <f>VLOOKUP($A9,'S0 remplacer avec S44'!$C:$BQ,29,0)</f>
        <v>0</v>
      </c>
      <c r="G9" s="115">
        <f>VLOOKUP($A9,'S0 remplacer avec S44'!$C:$BQ,30,0)</f>
        <v>520</v>
      </c>
      <c r="H9" s="115">
        <f>VLOOKUP($A9,'S0 remplacer avec S44'!$C:$BQ,52,0)</f>
        <v>202.2</v>
      </c>
      <c r="I9" s="115">
        <f>VLOOKUP($A9,'S0 remplacer avec S44'!$C:$BQ,59,0)</f>
        <v>0</v>
      </c>
      <c r="J9" s="115">
        <f>VLOOKUP($A9,'S0 remplacer avec S44'!$C:$BQ,60,0)</f>
        <v>6</v>
      </c>
      <c r="K9" s="107" t="e">
        <f>VLOOKUP($A9,'S45'!$C:$BQ,32,0)</f>
        <v>#N/A</v>
      </c>
      <c r="L9" s="107" t="e">
        <f>VLOOKUP($A9,'S45'!$C:$BQ,39,0)</f>
        <v>#N/A</v>
      </c>
      <c r="M9" s="107" t="e">
        <f>VLOOKUP($A9,'S45'!$C:$BQ,40,0)</f>
        <v>#N/A</v>
      </c>
      <c r="N9" s="107" t="e">
        <f>VLOOKUP($A9,'S45'!$C:$BQ,22,0)</f>
        <v>#N/A</v>
      </c>
      <c r="O9" s="115" t="e">
        <f>VLOOKUP($A9,'S45'!$C:$BQ,29,0)</f>
        <v>#N/A</v>
      </c>
      <c r="P9" s="115" t="e">
        <f>VLOOKUP($A9,'S45'!$C:$BQ,30,0)</f>
        <v>#N/A</v>
      </c>
      <c r="Q9" s="115" t="e">
        <f>VLOOKUP($A9,'S45'!$C:$BQ,52,0)</f>
        <v>#N/A</v>
      </c>
      <c r="R9" s="115" t="e">
        <f>VLOOKUP($A9,'S45'!$C:$BQ,59,0)</f>
        <v>#N/A</v>
      </c>
      <c r="S9" s="115" t="e">
        <f>VLOOKUP($A9,'S45'!$C:$BQ,60,0)</f>
        <v>#N/A</v>
      </c>
      <c r="T9" s="107" t="e">
        <f>VLOOKUP($A9,'S46'!$C:$BQ,32,0)</f>
        <v>#N/A</v>
      </c>
      <c r="U9" s="107" t="e">
        <f>VLOOKUP($A9,'S46'!$C:$BQ,39,0)</f>
        <v>#N/A</v>
      </c>
      <c r="V9" s="107" t="e">
        <f>VLOOKUP($A9,'S46'!$C:$BQ,40,0)</f>
        <v>#N/A</v>
      </c>
      <c r="W9" s="107" t="e">
        <f>VLOOKUP($A9,'S46'!$C:$BQ,22,0)</f>
        <v>#N/A</v>
      </c>
      <c r="X9" s="115" t="e">
        <f>VLOOKUP($A9,'S46'!$C:$BQ,29,0)</f>
        <v>#N/A</v>
      </c>
      <c r="Y9" s="115" t="e">
        <f>VLOOKUP($A9,'S46'!$C:$BQ,30,0)</f>
        <v>#N/A</v>
      </c>
      <c r="Z9" s="115" t="e">
        <f>VLOOKUP($A9,'S46'!$C:$BQ,52,0)</f>
        <v>#N/A</v>
      </c>
      <c r="AA9" s="115" t="e">
        <f>VLOOKUP($A9,'S46'!$C:$BQ,59,0)</f>
        <v>#N/A</v>
      </c>
      <c r="AB9" s="115" t="e">
        <f>VLOOKUP($A9,'S46'!$C:$BQ,60,0)</f>
        <v>#N/A</v>
      </c>
      <c r="AC9" s="107" t="e">
        <f>VLOOKUP($A9,'S47'!$C:$BQ,32,0)</f>
        <v>#N/A</v>
      </c>
      <c r="AD9" s="107" t="e">
        <f>VLOOKUP($A9,'S47'!$C:$BQ,39,0)</f>
        <v>#N/A</v>
      </c>
      <c r="AE9" s="107" t="e">
        <f>VLOOKUP($A9,'S47'!$C:$BQ,40,0)</f>
        <v>#N/A</v>
      </c>
      <c r="AF9" s="107" t="e">
        <f>VLOOKUP($A9,'S47'!$C:$BQ,22,0)</f>
        <v>#N/A</v>
      </c>
      <c r="AG9" s="115" t="e">
        <f>VLOOKUP($A9,'S47'!$C:$BQ,29,0)</f>
        <v>#N/A</v>
      </c>
      <c r="AH9" s="115" t="e">
        <f>VLOOKUP($A9,'S47'!$C:$BQ,30,0)</f>
        <v>#N/A</v>
      </c>
      <c r="AI9" s="115" t="e">
        <f>VLOOKUP($A9,'S47'!$C:$BQ,52,0)</f>
        <v>#N/A</v>
      </c>
      <c r="AJ9" s="115" t="e">
        <f>VLOOKUP($A9,'S47'!$C:$BQ,59,0)</f>
        <v>#N/A</v>
      </c>
      <c r="AK9" s="115" t="e">
        <f>VLOOKUP($A9,'S47'!$C:$BQ,60,0)</f>
        <v>#N/A</v>
      </c>
      <c r="AL9" s="107" t="e">
        <f>VLOOKUP($A9,'S48'!$C:$BQ,32,0)</f>
        <v>#N/A</v>
      </c>
      <c r="AM9" s="107" t="e">
        <f>VLOOKUP($A9,'S48'!$C:$BQ,39,0)</f>
        <v>#N/A</v>
      </c>
      <c r="AN9" s="107" t="e">
        <f>VLOOKUP($A9,'S48'!$C:$BQ,40,0)</f>
        <v>#N/A</v>
      </c>
      <c r="AO9" s="107" t="e">
        <f>VLOOKUP($A9,'S48'!$C:$BQ,22,0)</f>
        <v>#N/A</v>
      </c>
      <c r="AP9" s="115" t="e">
        <f>VLOOKUP($A9,'S48'!$C:$BQ,29,0)</f>
        <v>#N/A</v>
      </c>
      <c r="AQ9" s="115" t="e">
        <f>VLOOKUP($A9,'S48'!$C:$BQ,30,0)</f>
        <v>#N/A</v>
      </c>
      <c r="AR9" s="115" t="e">
        <f>VLOOKUP($A9,'S48'!$C:$BQ,52,0)</f>
        <v>#N/A</v>
      </c>
      <c r="AS9" s="115" t="e">
        <f>VLOOKUP($A9,'S48'!$C:$BQ,59,0)</f>
        <v>#N/A</v>
      </c>
      <c r="AT9" s="115" t="e">
        <f>VLOOKUP($A9,'S48'!$C:$BQ,60,0)</f>
        <v>#N/A</v>
      </c>
      <c r="AU9" s="107" t="e">
        <f>VLOOKUP($A9,'S49'!$C:$BQ,32,0)</f>
        <v>#N/A</v>
      </c>
      <c r="AV9" s="107" t="e">
        <f>VLOOKUP($A9,'S49'!$C:$BQ,39,0)</f>
        <v>#N/A</v>
      </c>
      <c r="AW9" s="107" t="e">
        <f>VLOOKUP($A9,'S49'!$C:$BQ,40,0)</f>
        <v>#N/A</v>
      </c>
      <c r="AX9" s="107" t="e">
        <f>VLOOKUP($A9,'S49'!$C:$BQ,22,0)</f>
        <v>#N/A</v>
      </c>
      <c r="AY9" s="115" t="e">
        <f>VLOOKUP($A9,'S49'!$C:$BQ,29,0)</f>
        <v>#N/A</v>
      </c>
      <c r="AZ9" s="115" t="e">
        <f>VLOOKUP($A9,'S49'!$C:$BQ,30,0)</f>
        <v>#N/A</v>
      </c>
      <c r="BA9" s="115" t="e">
        <f>VLOOKUP($A9,'S49'!$C:$BQ,52,0)</f>
        <v>#N/A</v>
      </c>
      <c r="BB9" s="115" t="e">
        <f>VLOOKUP($A9,'S49'!$C:$BQ,59,0)</f>
        <v>#N/A</v>
      </c>
      <c r="BC9" s="115" t="e">
        <f>VLOOKUP($A9,'S49'!$C:$BQ,60,0)</f>
        <v>#N/A</v>
      </c>
      <c r="BD9" s="107" t="e">
        <f>VLOOKUP($A9,'S50'!$C:$BQ,32,0)</f>
        <v>#N/A</v>
      </c>
      <c r="BE9" s="107" t="e">
        <f>VLOOKUP($A9,'S50'!$C:$BQ,39,0)</f>
        <v>#N/A</v>
      </c>
      <c r="BF9" s="107" t="e">
        <f>VLOOKUP($A9,'S50'!$C:$BQ,40,0)</f>
        <v>#N/A</v>
      </c>
      <c r="BG9" s="107" t="e">
        <f>VLOOKUP($A9,'S50'!$C:$BQ,22,0)</f>
        <v>#N/A</v>
      </c>
      <c r="BH9" s="115" t="e">
        <f>VLOOKUP($A9,'S50'!$C:$BQ,29,0)</f>
        <v>#N/A</v>
      </c>
      <c r="BI9" s="115" t="e">
        <f>VLOOKUP($A9,'S50'!$C:$BQ,30,0)</f>
        <v>#N/A</v>
      </c>
      <c r="BJ9" s="115" t="e">
        <f>VLOOKUP($A9,'S50'!$C:$BQ,52,0)</f>
        <v>#N/A</v>
      </c>
      <c r="BK9" s="115" t="e">
        <f>VLOOKUP($A9,'S50'!$C:$BQ,59,0)</f>
        <v>#N/A</v>
      </c>
      <c r="BL9" s="115" t="e">
        <f>VLOOKUP($A9,'S50'!$C:$BQ,60,0)</f>
        <v>#N/A</v>
      </c>
    </row>
    <row r="10" spans="1:127" x14ac:dyDescent="0.2">
      <c r="A10" s="106" t="s">
        <v>62</v>
      </c>
      <c r="B10" s="107">
        <f>VLOOKUP($A10,'S0 remplacer avec S44'!$C:$BQ,32,0)</f>
        <v>171.85</v>
      </c>
      <c r="C10" s="107">
        <f>VLOOKUP($A10,'S0 remplacer avec S44'!$C:$BQ,39,0)</f>
        <v>0</v>
      </c>
      <c r="D10" s="107">
        <f>VLOOKUP($A10,'S0 remplacer avec S44'!$C:$BQ,40,0)</f>
        <v>20</v>
      </c>
      <c r="E10" s="107">
        <f>VLOOKUP($A10,'S0 remplacer avec S44'!$C:$BQ,22,0)</f>
        <v>2263.8560600000001</v>
      </c>
      <c r="F10" s="115">
        <f>VLOOKUP($A10,'S0 remplacer avec S44'!$C:$BQ,29,0)</f>
        <v>0</v>
      </c>
      <c r="G10" s="115">
        <f>VLOOKUP($A10,'S0 remplacer avec S44'!$C:$BQ,30,0)</f>
        <v>0</v>
      </c>
      <c r="H10" s="115">
        <f>VLOOKUP($A10,'S0 remplacer avec S44'!$C:$BQ,52,0)</f>
        <v>146.80000000000001</v>
      </c>
      <c r="I10" s="115">
        <f>VLOOKUP($A10,'S0 remplacer avec S44'!$C:$BQ,59,0)</f>
        <v>0</v>
      </c>
      <c r="J10" s="115">
        <f>VLOOKUP($A10,'S0 remplacer avec S44'!$C:$BQ,60,0)</f>
        <v>0</v>
      </c>
      <c r="K10" s="107" t="e">
        <f>VLOOKUP($A10,'S45'!$C:$BQ,32,0)</f>
        <v>#N/A</v>
      </c>
      <c r="L10" s="107" t="e">
        <f>VLOOKUP($A10,'S45'!$C:$BQ,39,0)</f>
        <v>#N/A</v>
      </c>
      <c r="M10" s="107" t="e">
        <f>VLOOKUP($A10,'S45'!$C:$BQ,40,0)</f>
        <v>#N/A</v>
      </c>
      <c r="N10" s="107" t="e">
        <f>VLOOKUP($A10,'S45'!$C:$BQ,22,0)</f>
        <v>#N/A</v>
      </c>
      <c r="O10" s="115" t="e">
        <f>VLOOKUP($A10,'S45'!$C:$BQ,29,0)</f>
        <v>#N/A</v>
      </c>
      <c r="P10" s="115" t="e">
        <f>VLOOKUP($A10,'S45'!$C:$BQ,30,0)</f>
        <v>#N/A</v>
      </c>
      <c r="Q10" s="115" t="e">
        <f>VLOOKUP($A10,'S45'!$C:$BQ,52,0)</f>
        <v>#N/A</v>
      </c>
      <c r="R10" s="115" t="e">
        <f>VLOOKUP($A10,'S45'!$C:$BQ,59,0)</f>
        <v>#N/A</v>
      </c>
      <c r="S10" s="115" t="e">
        <f>VLOOKUP($A10,'S45'!$C:$BQ,60,0)</f>
        <v>#N/A</v>
      </c>
      <c r="T10" s="107" t="e">
        <f>VLOOKUP($A10,'S46'!$C:$BQ,32,0)</f>
        <v>#N/A</v>
      </c>
      <c r="U10" s="107" t="e">
        <f>VLOOKUP($A10,'S46'!$C:$BQ,39,0)</f>
        <v>#N/A</v>
      </c>
      <c r="V10" s="107" t="e">
        <f>VLOOKUP($A10,'S46'!$C:$BQ,40,0)</f>
        <v>#N/A</v>
      </c>
      <c r="W10" s="107" t="e">
        <f>VLOOKUP($A10,'S46'!$C:$BQ,22,0)</f>
        <v>#N/A</v>
      </c>
      <c r="X10" s="115" t="e">
        <f>VLOOKUP($A10,'S46'!$C:$BQ,29,0)</f>
        <v>#N/A</v>
      </c>
      <c r="Y10" s="115" t="e">
        <f>VLOOKUP($A10,'S46'!$C:$BQ,30,0)</f>
        <v>#N/A</v>
      </c>
      <c r="Z10" s="115" t="e">
        <f>VLOOKUP($A10,'S46'!$C:$BQ,52,0)</f>
        <v>#N/A</v>
      </c>
      <c r="AA10" s="115" t="e">
        <f>VLOOKUP($A10,'S46'!$C:$BQ,59,0)</f>
        <v>#N/A</v>
      </c>
      <c r="AB10" s="115" t="e">
        <f>VLOOKUP($A10,'S46'!$C:$BQ,60,0)</f>
        <v>#N/A</v>
      </c>
      <c r="AC10" s="107" t="e">
        <f>VLOOKUP($A10,'S47'!$C:$BQ,32,0)</f>
        <v>#N/A</v>
      </c>
      <c r="AD10" s="107" t="e">
        <f>VLOOKUP($A10,'S47'!$C:$BQ,39,0)</f>
        <v>#N/A</v>
      </c>
      <c r="AE10" s="107" t="e">
        <f>VLOOKUP($A10,'S47'!$C:$BQ,40,0)</f>
        <v>#N/A</v>
      </c>
      <c r="AF10" s="107" t="e">
        <f>VLOOKUP($A10,'S47'!$C:$BQ,22,0)</f>
        <v>#N/A</v>
      </c>
      <c r="AG10" s="115" t="e">
        <f>VLOOKUP($A10,'S47'!$C:$BQ,29,0)</f>
        <v>#N/A</v>
      </c>
      <c r="AH10" s="115" t="e">
        <f>VLOOKUP($A10,'S47'!$C:$BQ,30,0)</f>
        <v>#N/A</v>
      </c>
      <c r="AI10" s="115" t="e">
        <f>VLOOKUP($A10,'S47'!$C:$BQ,52,0)</f>
        <v>#N/A</v>
      </c>
      <c r="AJ10" s="115" t="e">
        <f>VLOOKUP($A10,'S47'!$C:$BQ,59,0)</f>
        <v>#N/A</v>
      </c>
      <c r="AK10" s="115" t="e">
        <f>VLOOKUP($A10,'S47'!$C:$BQ,60,0)</f>
        <v>#N/A</v>
      </c>
      <c r="AL10" s="107" t="e">
        <f>VLOOKUP($A10,'S48'!$C:$BQ,32,0)</f>
        <v>#N/A</v>
      </c>
      <c r="AM10" s="107" t="e">
        <f>VLOOKUP($A10,'S48'!$C:$BQ,39,0)</f>
        <v>#N/A</v>
      </c>
      <c r="AN10" s="107" t="e">
        <f>VLOOKUP($A10,'S48'!$C:$BQ,40,0)</f>
        <v>#N/A</v>
      </c>
      <c r="AO10" s="107" t="e">
        <f>VLOOKUP($A10,'S48'!$C:$BQ,22,0)</f>
        <v>#N/A</v>
      </c>
      <c r="AP10" s="115" t="e">
        <f>VLOOKUP($A10,'S48'!$C:$BQ,29,0)</f>
        <v>#N/A</v>
      </c>
      <c r="AQ10" s="115" t="e">
        <f>VLOOKUP($A10,'S48'!$C:$BQ,30,0)</f>
        <v>#N/A</v>
      </c>
      <c r="AR10" s="115" t="e">
        <f>VLOOKUP($A10,'S48'!$C:$BQ,52,0)</f>
        <v>#N/A</v>
      </c>
      <c r="AS10" s="115" t="e">
        <f>VLOOKUP($A10,'S48'!$C:$BQ,59,0)</f>
        <v>#N/A</v>
      </c>
      <c r="AT10" s="115" t="e">
        <f>VLOOKUP($A10,'S48'!$C:$BQ,60,0)</f>
        <v>#N/A</v>
      </c>
      <c r="AU10" s="107" t="e">
        <f>VLOOKUP($A10,'S49'!$C:$BQ,32,0)</f>
        <v>#N/A</v>
      </c>
      <c r="AV10" s="107" t="e">
        <f>VLOOKUP($A10,'S49'!$C:$BQ,39,0)</f>
        <v>#N/A</v>
      </c>
      <c r="AW10" s="107" t="e">
        <f>VLOOKUP($A10,'S49'!$C:$BQ,40,0)</f>
        <v>#N/A</v>
      </c>
      <c r="AX10" s="107" t="e">
        <f>VLOOKUP($A10,'S49'!$C:$BQ,22,0)</f>
        <v>#N/A</v>
      </c>
      <c r="AY10" s="115" t="e">
        <f>VLOOKUP($A10,'S49'!$C:$BQ,29,0)</f>
        <v>#N/A</v>
      </c>
      <c r="AZ10" s="115" t="e">
        <f>VLOOKUP($A10,'S49'!$C:$BQ,30,0)</f>
        <v>#N/A</v>
      </c>
      <c r="BA10" s="115" t="e">
        <f>VLOOKUP($A10,'S49'!$C:$BQ,52,0)</f>
        <v>#N/A</v>
      </c>
      <c r="BB10" s="115" t="e">
        <f>VLOOKUP($A10,'S49'!$C:$BQ,59,0)</f>
        <v>#N/A</v>
      </c>
      <c r="BC10" s="115" t="e">
        <f>VLOOKUP($A10,'S49'!$C:$BQ,60,0)</f>
        <v>#N/A</v>
      </c>
      <c r="BD10" s="107" t="e">
        <f>VLOOKUP($A10,'S50'!$C:$BQ,32,0)</f>
        <v>#N/A</v>
      </c>
      <c r="BE10" s="107" t="e">
        <f>VLOOKUP($A10,'S50'!$C:$BQ,39,0)</f>
        <v>#N/A</v>
      </c>
      <c r="BF10" s="107" t="e">
        <f>VLOOKUP($A10,'S50'!$C:$BQ,40,0)</f>
        <v>#N/A</v>
      </c>
      <c r="BG10" s="107" t="e">
        <f>VLOOKUP($A10,'S50'!$C:$BQ,22,0)</f>
        <v>#N/A</v>
      </c>
      <c r="BH10" s="115" t="e">
        <f>VLOOKUP($A10,'S50'!$C:$BQ,29,0)</f>
        <v>#N/A</v>
      </c>
      <c r="BI10" s="115" t="e">
        <f>VLOOKUP($A10,'S50'!$C:$BQ,30,0)</f>
        <v>#N/A</v>
      </c>
      <c r="BJ10" s="115" t="e">
        <f>VLOOKUP($A10,'S50'!$C:$BQ,52,0)</f>
        <v>#N/A</v>
      </c>
      <c r="BK10" s="115" t="e">
        <f>VLOOKUP($A10,'S50'!$C:$BQ,59,0)</f>
        <v>#N/A</v>
      </c>
      <c r="BL10" s="115" t="e">
        <f>VLOOKUP($A10,'S50'!$C:$BQ,60,0)</f>
        <v>#N/A</v>
      </c>
    </row>
    <row r="11" spans="1:127" x14ac:dyDescent="0.2">
      <c r="A11" s="106" t="s">
        <v>63</v>
      </c>
      <c r="B11" s="107">
        <f>VLOOKUP($A11,'S0 remplacer avec S44'!$C:$BQ,32,0)</f>
        <v>147.19999999999999</v>
      </c>
      <c r="C11" s="107">
        <f>VLOOKUP($A11,'S0 remplacer avec S44'!$C:$BQ,39,0)</f>
        <v>31</v>
      </c>
      <c r="D11" s="107">
        <f>VLOOKUP($A11,'S0 remplacer avec S44'!$C:$BQ,40,0)</f>
        <v>66</v>
      </c>
      <c r="E11" s="107">
        <f>VLOOKUP($A11,'S0 remplacer avec S44'!$C:$BQ,22,0)</f>
        <v>2082.6028849999998</v>
      </c>
      <c r="F11" s="115">
        <f>VLOOKUP($A11,'S0 remplacer avec S44'!$C:$BQ,29,0)</f>
        <v>0</v>
      </c>
      <c r="G11" s="115">
        <f>VLOOKUP($A11,'S0 remplacer avec S44'!$C:$BQ,30,0)</f>
        <v>0</v>
      </c>
      <c r="H11" s="115">
        <f>VLOOKUP($A11,'S0 remplacer avec S44'!$C:$BQ,52,0)</f>
        <v>64.400000000000006</v>
      </c>
      <c r="I11" s="115">
        <f>VLOOKUP($A11,'S0 remplacer avec S44'!$C:$BQ,59,0)</f>
        <v>26</v>
      </c>
      <c r="J11" s="115">
        <f>VLOOKUP($A11,'S0 remplacer avec S44'!$C:$BQ,60,0)</f>
        <v>44</v>
      </c>
      <c r="K11" s="107" t="e">
        <f>VLOOKUP($A11,'S45'!$C:$BQ,32,0)</f>
        <v>#N/A</v>
      </c>
      <c r="L11" s="107" t="e">
        <f>VLOOKUP($A11,'S45'!$C:$BQ,39,0)</f>
        <v>#N/A</v>
      </c>
      <c r="M11" s="107" t="e">
        <f>VLOOKUP($A11,'S45'!$C:$BQ,40,0)</f>
        <v>#N/A</v>
      </c>
      <c r="N11" s="107" t="e">
        <f>VLOOKUP($A11,'S45'!$C:$BQ,22,0)</f>
        <v>#N/A</v>
      </c>
      <c r="O11" s="115" t="e">
        <f>VLOOKUP($A11,'S45'!$C:$BQ,29,0)</f>
        <v>#N/A</v>
      </c>
      <c r="P11" s="115" t="e">
        <f>VLOOKUP($A11,'S45'!$C:$BQ,30,0)</f>
        <v>#N/A</v>
      </c>
      <c r="Q11" s="115" t="e">
        <f>VLOOKUP($A11,'S45'!$C:$BQ,52,0)</f>
        <v>#N/A</v>
      </c>
      <c r="R11" s="115" t="e">
        <f>VLOOKUP($A11,'S45'!$C:$BQ,59,0)</f>
        <v>#N/A</v>
      </c>
      <c r="S11" s="115" t="e">
        <f>VLOOKUP($A11,'S45'!$C:$BQ,60,0)</f>
        <v>#N/A</v>
      </c>
      <c r="T11" s="107" t="e">
        <f>VLOOKUP($A11,'S46'!$C:$BQ,32,0)</f>
        <v>#N/A</v>
      </c>
      <c r="U11" s="107" t="e">
        <f>VLOOKUP($A11,'S46'!$C:$BQ,39,0)</f>
        <v>#N/A</v>
      </c>
      <c r="V11" s="107" t="e">
        <f>VLOOKUP($A11,'S46'!$C:$BQ,40,0)</f>
        <v>#N/A</v>
      </c>
      <c r="W11" s="107" t="e">
        <f>VLOOKUP($A11,'S46'!$C:$BQ,22,0)</f>
        <v>#N/A</v>
      </c>
      <c r="X11" s="115" t="e">
        <f>VLOOKUP($A11,'S46'!$C:$BQ,29,0)</f>
        <v>#N/A</v>
      </c>
      <c r="Y11" s="115" t="e">
        <f>VLOOKUP($A11,'S46'!$C:$BQ,30,0)</f>
        <v>#N/A</v>
      </c>
      <c r="Z11" s="115" t="e">
        <f>VLOOKUP($A11,'S46'!$C:$BQ,52,0)</f>
        <v>#N/A</v>
      </c>
      <c r="AA11" s="115" t="e">
        <f>VLOOKUP($A11,'S46'!$C:$BQ,59,0)</f>
        <v>#N/A</v>
      </c>
      <c r="AB11" s="115" t="e">
        <f>VLOOKUP($A11,'S46'!$C:$BQ,60,0)</f>
        <v>#N/A</v>
      </c>
      <c r="AC11" s="107" t="e">
        <f>VLOOKUP($A11,'S47'!$C:$BQ,32,0)</f>
        <v>#N/A</v>
      </c>
      <c r="AD11" s="107" t="e">
        <f>VLOOKUP($A11,'S47'!$C:$BQ,39,0)</f>
        <v>#N/A</v>
      </c>
      <c r="AE11" s="107" t="e">
        <f>VLOOKUP($A11,'S47'!$C:$BQ,40,0)</f>
        <v>#N/A</v>
      </c>
      <c r="AF11" s="107" t="e">
        <f>VLOOKUP($A11,'S47'!$C:$BQ,22,0)</f>
        <v>#N/A</v>
      </c>
      <c r="AG11" s="115" t="e">
        <f>VLOOKUP($A11,'S47'!$C:$BQ,29,0)</f>
        <v>#N/A</v>
      </c>
      <c r="AH11" s="115" t="e">
        <f>VLOOKUP($A11,'S47'!$C:$BQ,30,0)</f>
        <v>#N/A</v>
      </c>
      <c r="AI11" s="115" t="e">
        <f>VLOOKUP($A11,'S47'!$C:$BQ,52,0)</f>
        <v>#N/A</v>
      </c>
      <c r="AJ11" s="115" t="e">
        <f>VLOOKUP($A11,'S47'!$C:$BQ,59,0)</f>
        <v>#N/A</v>
      </c>
      <c r="AK11" s="115" t="e">
        <f>VLOOKUP($A11,'S47'!$C:$BQ,60,0)</f>
        <v>#N/A</v>
      </c>
      <c r="AL11" s="107" t="e">
        <f>VLOOKUP($A11,'S48'!$C:$BQ,32,0)</f>
        <v>#N/A</v>
      </c>
      <c r="AM11" s="107" t="e">
        <f>VLOOKUP($A11,'S48'!$C:$BQ,39,0)</f>
        <v>#N/A</v>
      </c>
      <c r="AN11" s="107" t="e">
        <f>VLOOKUP($A11,'S48'!$C:$BQ,40,0)</f>
        <v>#N/A</v>
      </c>
      <c r="AO11" s="107" t="e">
        <f>VLOOKUP($A11,'S48'!$C:$BQ,22,0)</f>
        <v>#N/A</v>
      </c>
      <c r="AP11" s="115" t="e">
        <f>VLOOKUP($A11,'S48'!$C:$BQ,29,0)</f>
        <v>#N/A</v>
      </c>
      <c r="AQ11" s="115" t="e">
        <f>VLOOKUP($A11,'S48'!$C:$BQ,30,0)</f>
        <v>#N/A</v>
      </c>
      <c r="AR11" s="115" t="e">
        <f>VLOOKUP($A11,'S48'!$C:$BQ,52,0)</f>
        <v>#N/A</v>
      </c>
      <c r="AS11" s="115" t="e">
        <f>VLOOKUP($A11,'S48'!$C:$BQ,59,0)</f>
        <v>#N/A</v>
      </c>
      <c r="AT11" s="115" t="e">
        <f>VLOOKUP($A11,'S48'!$C:$BQ,60,0)</f>
        <v>#N/A</v>
      </c>
      <c r="AU11" s="107" t="e">
        <f>VLOOKUP($A11,'S49'!$C:$BQ,32,0)</f>
        <v>#N/A</v>
      </c>
      <c r="AV11" s="107" t="e">
        <f>VLOOKUP($A11,'S49'!$C:$BQ,39,0)</f>
        <v>#N/A</v>
      </c>
      <c r="AW11" s="107" t="e">
        <f>VLOOKUP($A11,'S49'!$C:$BQ,40,0)</f>
        <v>#N/A</v>
      </c>
      <c r="AX11" s="107" t="e">
        <f>VLOOKUP($A11,'S49'!$C:$BQ,22,0)</f>
        <v>#N/A</v>
      </c>
      <c r="AY11" s="115" t="e">
        <f>VLOOKUP($A11,'S49'!$C:$BQ,29,0)</f>
        <v>#N/A</v>
      </c>
      <c r="AZ11" s="115" t="e">
        <f>VLOOKUP($A11,'S49'!$C:$BQ,30,0)</f>
        <v>#N/A</v>
      </c>
      <c r="BA11" s="115" t="e">
        <f>VLOOKUP($A11,'S49'!$C:$BQ,52,0)</f>
        <v>#N/A</v>
      </c>
      <c r="BB11" s="115" t="e">
        <f>VLOOKUP($A11,'S49'!$C:$BQ,59,0)</f>
        <v>#N/A</v>
      </c>
      <c r="BC11" s="115" t="e">
        <f>VLOOKUP($A11,'S49'!$C:$BQ,60,0)</f>
        <v>#N/A</v>
      </c>
      <c r="BD11" s="107" t="e">
        <f>VLOOKUP($A11,'S50'!$C:$BQ,32,0)</f>
        <v>#N/A</v>
      </c>
      <c r="BE11" s="107" t="e">
        <f>VLOOKUP($A11,'S50'!$C:$BQ,39,0)</f>
        <v>#N/A</v>
      </c>
      <c r="BF11" s="107" t="e">
        <f>VLOOKUP($A11,'S50'!$C:$BQ,40,0)</f>
        <v>#N/A</v>
      </c>
      <c r="BG11" s="107" t="e">
        <f>VLOOKUP($A11,'S50'!$C:$BQ,22,0)</f>
        <v>#N/A</v>
      </c>
      <c r="BH11" s="115" t="e">
        <f>VLOOKUP($A11,'S50'!$C:$BQ,29,0)</f>
        <v>#N/A</v>
      </c>
      <c r="BI11" s="115" t="e">
        <f>VLOOKUP($A11,'S50'!$C:$BQ,30,0)</f>
        <v>#N/A</v>
      </c>
      <c r="BJ11" s="115" t="e">
        <f>VLOOKUP($A11,'S50'!$C:$BQ,52,0)</f>
        <v>#N/A</v>
      </c>
      <c r="BK11" s="115" t="e">
        <f>VLOOKUP($A11,'S50'!$C:$BQ,59,0)</f>
        <v>#N/A</v>
      </c>
      <c r="BL11" s="115" t="e">
        <f>VLOOKUP($A11,'S50'!$C:$BQ,60,0)</f>
        <v>#N/A</v>
      </c>
    </row>
    <row r="12" spans="1:127" x14ac:dyDescent="0.2">
      <c r="A12" s="106" t="s">
        <v>65</v>
      </c>
      <c r="B12" s="107">
        <f>VLOOKUP($A12,'S0 remplacer avec S44'!$C:$BQ,32,0)</f>
        <v>172.5</v>
      </c>
      <c r="C12" s="107">
        <f>VLOOKUP($A12,'S0 remplacer avec S44'!$C:$BQ,39,0)</f>
        <v>60</v>
      </c>
      <c r="D12" s="107">
        <f>VLOOKUP($A12,'S0 remplacer avec S44'!$C:$BQ,40,0)</f>
        <v>107</v>
      </c>
      <c r="E12" s="107">
        <f>VLOOKUP($A12,'S0 remplacer avec S44'!$C:$BQ,22,0)</f>
        <v>1991.613245</v>
      </c>
      <c r="F12" s="115">
        <f>VLOOKUP($A12,'S0 remplacer avec S44'!$C:$BQ,29,0)</f>
        <v>120</v>
      </c>
      <c r="G12" s="115">
        <f>VLOOKUP($A12,'S0 remplacer avec S44'!$C:$BQ,30,0)</f>
        <v>543</v>
      </c>
      <c r="H12" s="115">
        <f>VLOOKUP($A12,'S0 remplacer avec S44'!$C:$BQ,52,0)</f>
        <v>97.4</v>
      </c>
      <c r="I12" s="115">
        <f>VLOOKUP($A12,'S0 remplacer avec S44'!$C:$BQ,59,0)</f>
        <v>21</v>
      </c>
      <c r="J12" s="115">
        <f>VLOOKUP($A12,'S0 remplacer avec S44'!$C:$BQ,60,0)</f>
        <v>45</v>
      </c>
      <c r="K12" s="107" t="e">
        <f>VLOOKUP($A12,'S45'!$C:$BQ,32,0)</f>
        <v>#N/A</v>
      </c>
      <c r="L12" s="107" t="e">
        <f>VLOOKUP($A12,'S45'!$C:$BQ,39,0)</f>
        <v>#N/A</v>
      </c>
      <c r="M12" s="107" t="e">
        <f>VLOOKUP($A12,'S45'!$C:$BQ,40,0)</f>
        <v>#N/A</v>
      </c>
      <c r="N12" s="107" t="e">
        <f>VLOOKUP($A12,'S45'!$C:$BQ,22,0)</f>
        <v>#N/A</v>
      </c>
      <c r="O12" s="115" t="e">
        <f>VLOOKUP($A12,'S45'!$C:$BQ,29,0)</f>
        <v>#N/A</v>
      </c>
      <c r="P12" s="115" t="e">
        <f>VLOOKUP($A12,'S45'!$C:$BQ,30,0)</f>
        <v>#N/A</v>
      </c>
      <c r="Q12" s="115" t="e">
        <f>VLOOKUP($A12,'S45'!$C:$BQ,52,0)</f>
        <v>#N/A</v>
      </c>
      <c r="R12" s="115" t="e">
        <f>VLOOKUP($A12,'S45'!$C:$BQ,59,0)</f>
        <v>#N/A</v>
      </c>
      <c r="S12" s="115" t="e">
        <f>VLOOKUP($A12,'S45'!$C:$BQ,60,0)</f>
        <v>#N/A</v>
      </c>
      <c r="T12" s="107" t="e">
        <f>VLOOKUP($A12,'S46'!$C:$BQ,32,0)</f>
        <v>#N/A</v>
      </c>
      <c r="U12" s="107" t="e">
        <f>VLOOKUP($A12,'S46'!$C:$BQ,39,0)</f>
        <v>#N/A</v>
      </c>
      <c r="V12" s="107" t="e">
        <f>VLOOKUP($A12,'S46'!$C:$BQ,40,0)</f>
        <v>#N/A</v>
      </c>
      <c r="W12" s="107" t="e">
        <f>VLOOKUP($A12,'S46'!$C:$BQ,22,0)</f>
        <v>#N/A</v>
      </c>
      <c r="X12" s="115" t="e">
        <f>VLOOKUP($A12,'S46'!$C:$BQ,29,0)</f>
        <v>#N/A</v>
      </c>
      <c r="Y12" s="115" t="e">
        <f>VLOOKUP($A12,'S46'!$C:$BQ,30,0)</f>
        <v>#N/A</v>
      </c>
      <c r="Z12" s="115" t="e">
        <f>VLOOKUP($A12,'S46'!$C:$BQ,52,0)</f>
        <v>#N/A</v>
      </c>
      <c r="AA12" s="115" t="e">
        <f>VLOOKUP($A12,'S46'!$C:$BQ,59,0)</f>
        <v>#N/A</v>
      </c>
      <c r="AB12" s="115" t="e">
        <f>VLOOKUP($A12,'S46'!$C:$BQ,60,0)</f>
        <v>#N/A</v>
      </c>
      <c r="AC12" s="107" t="e">
        <f>VLOOKUP($A12,'S47'!$C:$BQ,32,0)</f>
        <v>#N/A</v>
      </c>
      <c r="AD12" s="107" t="e">
        <f>VLOOKUP($A12,'S47'!$C:$BQ,39,0)</f>
        <v>#N/A</v>
      </c>
      <c r="AE12" s="107" t="e">
        <f>VLOOKUP($A12,'S47'!$C:$BQ,40,0)</f>
        <v>#N/A</v>
      </c>
      <c r="AF12" s="107" t="e">
        <f>VLOOKUP($A12,'S47'!$C:$BQ,22,0)</f>
        <v>#N/A</v>
      </c>
      <c r="AG12" s="115" t="e">
        <f>VLOOKUP($A12,'S47'!$C:$BQ,29,0)</f>
        <v>#N/A</v>
      </c>
      <c r="AH12" s="115" t="e">
        <f>VLOOKUP($A12,'S47'!$C:$BQ,30,0)</f>
        <v>#N/A</v>
      </c>
      <c r="AI12" s="115" t="e">
        <f>VLOOKUP($A12,'S47'!$C:$BQ,52,0)</f>
        <v>#N/A</v>
      </c>
      <c r="AJ12" s="115" t="e">
        <f>VLOOKUP($A12,'S47'!$C:$BQ,59,0)</f>
        <v>#N/A</v>
      </c>
      <c r="AK12" s="115" t="e">
        <f>VLOOKUP($A12,'S47'!$C:$BQ,60,0)</f>
        <v>#N/A</v>
      </c>
      <c r="AL12" s="107" t="e">
        <f>VLOOKUP($A12,'S48'!$C:$BQ,32,0)</f>
        <v>#N/A</v>
      </c>
      <c r="AM12" s="107" t="e">
        <f>VLOOKUP($A12,'S48'!$C:$BQ,39,0)</f>
        <v>#N/A</v>
      </c>
      <c r="AN12" s="107" t="e">
        <f>VLOOKUP($A12,'S48'!$C:$BQ,40,0)</f>
        <v>#N/A</v>
      </c>
      <c r="AO12" s="107" t="e">
        <f>VLOOKUP($A12,'S48'!$C:$BQ,22,0)</f>
        <v>#N/A</v>
      </c>
      <c r="AP12" s="115" t="e">
        <f>VLOOKUP($A12,'S48'!$C:$BQ,29,0)</f>
        <v>#N/A</v>
      </c>
      <c r="AQ12" s="115" t="e">
        <f>VLOOKUP($A12,'S48'!$C:$BQ,30,0)</f>
        <v>#N/A</v>
      </c>
      <c r="AR12" s="115" t="e">
        <f>VLOOKUP($A12,'S48'!$C:$BQ,52,0)</f>
        <v>#N/A</v>
      </c>
      <c r="AS12" s="115" t="e">
        <f>VLOOKUP($A12,'S48'!$C:$BQ,59,0)</f>
        <v>#N/A</v>
      </c>
      <c r="AT12" s="115" t="e">
        <f>VLOOKUP($A12,'S48'!$C:$BQ,60,0)</f>
        <v>#N/A</v>
      </c>
      <c r="AU12" s="107" t="e">
        <f>VLOOKUP($A12,'S49'!$C:$BQ,32,0)</f>
        <v>#N/A</v>
      </c>
      <c r="AV12" s="107" t="e">
        <f>VLOOKUP($A12,'S49'!$C:$BQ,39,0)</f>
        <v>#N/A</v>
      </c>
      <c r="AW12" s="107" t="e">
        <f>VLOOKUP($A12,'S49'!$C:$BQ,40,0)</f>
        <v>#N/A</v>
      </c>
      <c r="AX12" s="107" t="e">
        <f>VLOOKUP($A12,'S49'!$C:$BQ,22,0)</f>
        <v>#N/A</v>
      </c>
      <c r="AY12" s="115" t="e">
        <f>VLOOKUP($A12,'S49'!$C:$BQ,29,0)</f>
        <v>#N/A</v>
      </c>
      <c r="AZ12" s="115" t="e">
        <f>VLOOKUP($A12,'S49'!$C:$BQ,30,0)</f>
        <v>#N/A</v>
      </c>
      <c r="BA12" s="115" t="e">
        <f>VLOOKUP($A12,'S49'!$C:$BQ,52,0)</f>
        <v>#N/A</v>
      </c>
      <c r="BB12" s="115" t="e">
        <f>VLOOKUP($A12,'S49'!$C:$BQ,59,0)</f>
        <v>#N/A</v>
      </c>
      <c r="BC12" s="115" t="e">
        <f>VLOOKUP($A12,'S49'!$C:$BQ,60,0)</f>
        <v>#N/A</v>
      </c>
      <c r="BD12" s="107" t="e">
        <f>VLOOKUP($A12,'S50'!$C:$BQ,32,0)</f>
        <v>#N/A</v>
      </c>
      <c r="BE12" s="107" t="e">
        <f>VLOOKUP($A12,'S50'!$C:$BQ,39,0)</f>
        <v>#N/A</v>
      </c>
      <c r="BF12" s="107" t="e">
        <f>VLOOKUP($A12,'S50'!$C:$BQ,40,0)</f>
        <v>#N/A</v>
      </c>
      <c r="BG12" s="107" t="e">
        <f>VLOOKUP($A12,'S50'!$C:$BQ,22,0)</f>
        <v>#N/A</v>
      </c>
      <c r="BH12" s="115" t="e">
        <f>VLOOKUP($A12,'S50'!$C:$BQ,29,0)</f>
        <v>#N/A</v>
      </c>
      <c r="BI12" s="115" t="e">
        <f>VLOOKUP($A12,'S50'!$C:$BQ,30,0)</f>
        <v>#N/A</v>
      </c>
      <c r="BJ12" s="115" t="e">
        <f>VLOOKUP($A12,'S50'!$C:$BQ,52,0)</f>
        <v>#N/A</v>
      </c>
      <c r="BK12" s="115" t="e">
        <f>VLOOKUP($A12,'S50'!$C:$BQ,59,0)</f>
        <v>#N/A</v>
      </c>
      <c r="BL12" s="115" t="e">
        <f>VLOOKUP($A12,'S50'!$C:$BQ,60,0)</f>
        <v>#N/A</v>
      </c>
    </row>
    <row r="13" spans="1:127" x14ac:dyDescent="0.2">
      <c r="A13" s="106" t="s">
        <v>66</v>
      </c>
      <c r="B13" s="107">
        <f>VLOOKUP($A13,'S0 remplacer avec S44'!$C:$BQ,32,0)</f>
        <v>171.3</v>
      </c>
      <c r="C13" s="107">
        <f>VLOOKUP($A13,'S0 remplacer avec S44'!$C:$BQ,39,0)</f>
        <v>17</v>
      </c>
      <c r="D13" s="107">
        <f>VLOOKUP($A13,'S0 remplacer avec S44'!$C:$BQ,40,0)</f>
        <v>55</v>
      </c>
      <c r="E13" s="107">
        <f>VLOOKUP($A13,'S0 remplacer avec S44'!$C:$BQ,22,0)</f>
        <v>2154.3145450000002</v>
      </c>
      <c r="F13" s="115">
        <f>VLOOKUP($A13,'S0 remplacer avec S44'!$C:$BQ,29,0)</f>
        <v>0</v>
      </c>
      <c r="G13" s="115">
        <f>VLOOKUP($A13,'S0 remplacer avec S44'!$C:$BQ,30,0)</f>
        <v>0</v>
      </c>
      <c r="H13" s="115">
        <f>VLOOKUP($A13,'S0 remplacer avec S44'!$C:$BQ,52,0)</f>
        <v>105.8</v>
      </c>
      <c r="I13" s="115">
        <f>VLOOKUP($A13,'S0 remplacer avec S44'!$C:$BQ,59,0)</f>
        <v>0</v>
      </c>
      <c r="J13" s="115">
        <f>VLOOKUP($A13,'S0 remplacer avec S44'!$C:$BQ,60,0)</f>
        <v>9</v>
      </c>
      <c r="K13" s="107" t="e">
        <f>VLOOKUP($A13,'S45'!$C:$BQ,32,0)</f>
        <v>#N/A</v>
      </c>
      <c r="L13" s="107" t="e">
        <f>VLOOKUP($A13,'S45'!$C:$BQ,39,0)</f>
        <v>#N/A</v>
      </c>
      <c r="M13" s="107" t="e">
        <f>VLOOKUP($A13,'S45'!$C:$BQ,40,0)</f>
        <v>#N/A</v>
      </c>
      <c r="N13" s="107" t="e">
        <f>VLOOKUP($A13,'S45'!$C:$BQ,22,0)</f>
        <v>#N/A</v>
      </c>
      <c r="O13" s="115" t="e">
        <f>VLOOKUP($A13,'S45'!$C:$BQ,29,0)</f>
        <v>#N/A</v>
      </c>
      <c r="P13" s="115" t="e">
        <f>VLOOKUP($A13,'S45'!$C:$BQ,30,0)</f>
        <v>#N/A</v>
      </c>
      <c r="Q13" s="115" t="e">
        <f>VLOOKUP($A13,'S45'!$C:$BQ,52,0)</f>
        <v>#N/A</v>
      </c>
      <c r="R13" s="115" t="e">
        <f>VLOOKUP($A13,'S45'!$C:$BQ,59,0)</f>
        <v>#N/A</v>
      </c>
      <c r="S13" s="115" t="e">
        <f>VLOOKUP($A13,'S45'!$C:$BQ,60,0)</f>
        <v>#N/A</v>
      </c>
      <c r="T13" s="107" t="e">
        <f>VLOOKUP($A13,'S46'!$C:$BQ,32,0)</f>
        <v>#N/A</v>
      </c>
      <c r="U13" s="107" t="e">
        <f>VLOOKUP($A13,'S46'!$C:$BQ,39,0)</f>
        <v>#N/A</v>
      </c>
      <c r="V13" s="107" t="e">
        <f>VLOOKUP($A13,'S46'!$C:$BQ,40,0)</f>
        <v>#N/A</v>
      </c>
      <c r="W13" s="107" t="e">
        <f>VLOOKUP($A13,'S46'!$C:$BQ,22,0)</f>
        <v>#N/A</v>
      </c>
      <c r="X13" s="115" t="e">
        <f>VLOOKUP($A13,'S46'!$C:$BQ,29,0)</f>
        <v>#N/A</v>
      </c>
      <c r="Y13" s="115" t="e">
        <f>VLOOKUP($A13,'S46'!$C:$BQ,30,0)</f>
        <v>#N/A</v>
      </c>
      <c r="Z13" s="115" t="e">
        <f>VLOOKUP($A13,'S46'!$C:$BQ,52,0)</f>
        <v>#N/A</v>
      </c>
      <c r="AA13" s="115" t="e">
        <f>VLOOKUP($A13,'S46'!$C:$BQ,59,0)</f>
        <v>#N/A</v>
      </c>
      <c r="AB13" s="115" t="e">
        <f>VLOOKUP($A13,'S46'!$C:$BQ,60,0)</f>
        <v>#N/A</v>
      </c>
      <c r="AC13" s="107" t="e">
        <f>VLOOKUP($A13,'S47'!$C:$BQ,32,0)</f>
        <v>#N/A</v>
      </c>
      <c r="AD13" s="107" t="e">
        <f>VLOOKUP($A13,'S47'!$C:$BQ,39,0)</f>
        <v>#N/A</v>
      </c>
      <c r="AE13" s="107" t="e">
        <f>VLOOKUP($A13,'S47'!$C:$BQ,40,0)</f>
        <v>#N/A</v>
      </c>
      <c r="AF13" s="107" t="e">
        <f>VLOOKUP($A13,'S47'!$C:$BQ,22,0)</f>
        <v>#N/A</v>
      </c>
      <c r="AG13" s="115" t="e">
        <f>VLOOKUP($A13,'S47'!$C:$BQ,29,0)</f>
        <v>#N/A</v>
      </c>
      <c r="AH13" s="115" t="e">
        <f>VLOOKUP($A13,'S47'!$C:$BQ,30,0)</f>
        <v>#N/A</v>
      </c>
      <c r="AI13" s="115" t="e">
        <f>VLOOKUP($A13,'S47'!$C:$BQ,52,0)</f>
        <v>#N/A</v>
      </c>
      <c r="AJ13" s="115" t="e">
        <f>VLOOKUP($A13,'S47'!$C:$BQ,59,0)</f>
        <v>#N/A</v>
      </c>
      <c r="AK13" s="115" t="e">
        <f>VLOOKUP($A13,'S47'!$C:$BQ,60,0)</f>
        <v>#N/A</v>
      </c>
      <c r="AL13" s="107" t="e">
        <f>VLOOKUP($A13,'S48'!$C:$BQ,32,0)</f>
        <v>#N/A</v>
      </c>
      <c r="AM13" s="107" t="e">
        <f>VLOOKUP($A13,'S48'!$C:$BQ,39,0)</f>
        <v>#N/A</v>
      </c>
      <c r="AN13" s="107" t="e">
        <f>VLOOKUP($A13,'S48'!$C:$BQ,40,0)</f>
        <v>#N/A</v>
      </c>
      <c r="AO13" s="107" t="e">
        <f>VLOOKUP($A13,'S48'!$C:$BQ,22,0)</f>
        <v>#N/A</v>
      </c>
      <c r="AP13" s="115" t="e">
        <f>VLOOKUP($A13,'S48'!$C:$BQ,29,0)</f>
        <v>#N/A</v>
      </c>
      <c r="AQ13" s="115" t="e">
        <f>VLOOKUP($A13,'S48'!$C:$BQ,30,0)</f>
        <v>#N/A</v>
      </c>
      <c r="AR13" s="115" t="e">
        <f>VLOOKUP($A13,'S48'!$C:$BQ,52,0)</f>
        <v>#N/A</v>
      </c>
      <c r="AS13" s="115" t="e">
        <f>VLOOKUP($A13,'S48'!$C:$BQ,59,0)</f>
        <v>#N/A</v>
      </c>
      <c r="AT13" s="115" t="e">
        <f>VLOOKUP($A13,'S48'!$C:$BQ,60,0)</f>
        <v>#N/A</v>
      </c>
      <c r="AU13" s="107" t="e">
        <f>VLOOKUP($A13,'S49'!$C:$BQ,32,0)</f>
        <v>#N/A</v>
      </c>
      <c r="AV13" s="107" t="e">
        <f>VLOOKUP($A13,'S49'!$C:$BQ,39,0)</f>
        <v>#N/A</v>
      </c>
      <c r="AW13" s="107" t="e">
        <f>VLOOKUP($A13,'S49'!$C:$BQ,40,0)</f>
        <v>#N/A</v>
      </c>
      <c r="AX13" s="107" t="e">
        <f>VLOOKUP($A13,'S49'!$C:$BQ,22,0)</f>
        <v>#N/A</v>
      </c>
      <c r="AY13" s="115" t="e">
        <f>VLOOKUP($A13,'S49'!$C:$BQ,29,0)</f>
        <v>#N/A</v>
      </c>
      <c r="AZ13" s="115" t="e">
        <f>VLOOKUP($A13,'S49'!$C:$BQ,30,0)</f>
        <v>#N/A</v>
      </c>
      <c r="BA13" s="115" t="e">
        <f>VLOOKUP($A13,'S49'!$C:$BQ,52,0)</f>
        <v>#N/A</v>
      </c>
      <c r="BB13" s="115" t="e">
        <f>VLOOKUP($A13,'S49'!$C:$BQ,59,0)</f>
        <v>#N/A</v>
      </c>
      <c r="BC13" s="115" t="e">
        <f>VLOOKUP($A13,'S49'!$C:$BQ,60,0)</f>
        <v>#N/A</v>
      </c>
      <c r="BD13" s="107" t="e">
        <f>VLOOKUP($A13,'S50'!$C:$BQ,32,0)</f>
        <v>#N/A</v>
      </c>
      <c r="BE13" s="107" t="e">
        <f>VLOOKUP($A13,'S50'!$C:$BQ,39,0)</f>
        <v>#N/A</v>
      </c>
      <c r="BF13" s="107" t="e">
        <f>VLOOKUP($A13,'S50'!$C:$BQ,40,0)</f>
        <v>#N/A</v>
      </c>
      <c r="BG13" s="107" t="e">
        <f>VLOOKUP($A13,'S50'!$C:$BQ,22,0)</f>
        <v>#N/A</v>
      </c>
      <c r="BH13" s="115" t="e">
        <f>VLOOKUP($A13,'S50'!$C:$BQ,29,0)</f>
        <v>#N/A</v>
      </c>
      <c r="BI13" s="115" t="e">
        <f>VLOOKUP($A13,'S50'!$C:$BQ,30,0)</f>
        <v>#N/A</v>
      </c>
      <c r="BJ13" s="115" t="e">
        <f>VLOOKUP($A13,'S50'!$C:$BQ,52,0)</f>
        <v>#N/A</v>
      </c>
      <c r="BK13" s="115" t="e">
        <f>VLOOKUP($A13,'S50'!$C:$BQ,59,0)</f>
        <v>#N/A</v>
      </c>
      <c r="BL13" s="115" t="e">
        <f>VLOOKUP($A13,'S50'!$C:$BQ,60,0)</f>
        <v>#N/A</v>
      </c>
    </row>
    <row r="14" spans="1:127" x14ac:dyDescent="0.2">
      <c r="A14" s="106" t="s">
        <v>67</v>
      </c>
      <c r="B14" s="107">
        <f>VLOOKUP($A14,'S0 remplacer avec S44'!$C:$BQ,32,0)</f>
        <v>147.1</v>
      </c>
      <c r="C14" s="107">
        <f>VLOOKUP($A14,'S0 remplacer avec S44'!$C:$BQ,39,0)</f>
        <v>89</v>
      </c>
      <c r="D14" s="107">
        <f>VLOOKUP($A14,'S0 remplacer avec S44'!$C:$BQ,40,0)</f>
        <v>136</v>
      </c>
      <c r="E14" s="107">
        <f>VLOOKUP($A14,'S0 remplacer avec S44'!$C:$BQ,22,0)</f>
        <v>2740.45471</v>
      </c>
      <c r="F14" s="115">
        <f>VLOOKUP($A14,'S0 remplacer avec S44'!$C:$BQ,29,0)</f>
        <v>0</v>
      </c>
      <c r="G14" s="115">
        <f>VLOOKUP($A14,'S0 remplacer avec S44'!$C:$BQ,30,0)</f>
        <v>0</v>
      </c>
      <c r="H14" s="115">
        <f>VLOOKUP($A14,'S0 remplacer avec S44'!$C:$BQ,52,0)</f>
        <v>131.19999999999999</v>
      </c>
      <c r="I14" s="115">
        <f>VLOOKUP($A14,'S0 remplacer avec S44'!$C:$BQ,59,0)</f>
        <v>0</v>
      </c>
      <c r="J14" s="115">
        <f>VLOOKUP($A14,'S0 remplacer avec S44'!$C:$BQ,60,0)</f>
        <v>13</v>
      </c>
      <c r="K14" s="107" t="e">
        <f>VLOOKUP($A14,'S45'!$C:$BQ,32,0)</f>
        <v>#N/A</v>
      </c>
      <c r="L14" s="107" t="e">
        <f>VLOOKUP($A14,'S45'!$C:$BQ,39,0)</f>
        <v>#N/A</v>
      </c>
      <c r="M14" s="107" t="e">
        <f>VLOOKUP($A14,'S45'!$C:$BQ,40,0)</f>
        <v>#N/A</v>
      </c>
      <c r="N14" s="107" t="e">
        <f>VLOOKUP($A14,'S45'!$C:$BQ,22,0)</f>
        <v>#N/A</v>
      </c>
      <c r="O14" s="115" t="e">
        <f>VLOOKUP($A14,'S45'!$C:$BQ,29,0)</f>
        <v>#N/A</v>
      </c>
      <c r="P14" s="115" t="e">
        <f>VLOOKUP($A14,'S45'!$C:$BQ,30,0)</f>
        <v>#N/A</v>
      </c>
      <c r="Q14" s="115" t="e">
        <f>VLOOKUP($A14,'S45'!$C:$BQ,52,0)</f>
        <v>#N/A</v>
      </c>
      <c r="R14" s="115" t="e">
        <f>VLOOKUP($A14,'S45'!$C:$BQ,59,0)</f>
        <v>#N/A</v>
      </c>
      <c r="S14" s="115" t="e">
        <f>VLOOKUP($A14,'S45'!$C:$BQ,60,0)</f>
        <v>#N/A</v>
      </c>
      <c r="T14" s="107" t="e">
        <f>VLOOKUP($A14,'S46'!$C:$BQ,32,0)</f>
        <v>#N/A</v>
      </c>
      <c r="U14" s="107" t="e">
        <f>VLOOKUP($A14,'S46'!$C:$BQ,39,0)</f>
        <v>#N/A</v>
      </c>
      <c r="V14" s="107" t="e">
        <f>VLOOKUP($A14,'S46'!$C:$BQ,40,0)</f>
        <v>#N/A</v>
      </c>
      <c r="W14" s="107" t="e">
        <f>VLOOKUP($A14,'S46'!$C:$BQ,22,0)</f>
        <v>#N/A</v>
      </c>
      <c r="X14" s="115" t="e">
        <f>VLOOKUP($A14,'S46'!$C:$BQ,29,0)</f>
        <v>#N/A</v>
      </c>
      <c r="Y14" s="115" t="e">
        <f>VLOOKUP($A14,'S46'!$C:$BQ,30,0)</f>
        <v>#N/A</v>
      </c>
      <c r="Z14" s="115" t="e">
        <f>VLOOKUP($A14,'S46'!$C:$BQ,52,0)</f>
        <v>#N/A</v>
      </c>
      <c r="AA14" s="115" t="e">
        <f>VLOOKUP($A14,'S46'!$C:$BQ,59,0)</f>
        <v>#N/A</v>
      </c>
      <c r="AB14" s="115" t="e">
        <f>VLOOKUP($A14,'S46'!$C:$BQ,60,0)</f>
        <v>#N/A</v>
      </c>
      <c r="AC14" s="107" t="e">
        <f>VLOOKUP($A14,'S47'!$C:$BQ,32,0)</f>
        <v>#N/A</v>
      </c>
      <c r="AD14" s="107" t="e">
        <f>VLOOKUP($A14,'S47'!$C:$BQ,39,0)</f>
        <v>#N/A</v>
      </c>
      <c r="AE14" s="107" t="e">
        <f>VLOOKUP($A14,'S47'!$C:$BQ,40,0)</f>
        <v>#N/A</v>
      </c>
      <c r="AF14" s="107" t="e">
        <f>VLOOKUP($A14,'S47'!$C:$BQ,22,0)</f>
        <v>#N/A</v>
      </c>
      <c r="AG14" s="115" t="e">
        <f>VLOOKUP($A14,'S47'!$C:$BQ,29,0)</f>
        <v>#N/A</v>
      </c>
      <c r="AH14" s="115" t="e">
        <f>VLOOKUP($A14,'S47'!$C:$BQ,30,0)</f>
        <v>#N/A</v>
      </c>
      <c r="AI14" s="115" t="e">
        <f>VLOOKUP($A14,'S47'!$C:$BQ,52,0)</f>
        <v>#N/A</v>
      </c>
      <c r="AJ14" s="115" t="e">
        <f>VLOOKUP($A14,'S47'!$C:$BQ,59,0)</f>
        <v>#N/A</v>
      </c>
      <c r="AK14" s="115" t="e">
        <f>VLOOKUP($A14,'S47'!$C:$BQ,60,0)</f>
        <v>#N/A</v>
      </c>
      <c r="AL14" s="107" t="e">
        <f>VLOOKUP($A14,'S48'!$C:$BQ,32,0)</f>
        <v>#N/A</v>
      </c>
      <c r="AM14" s="107" t="e">
        <f>VLOOKUP($A14,'S48'!$C:$BQ,39,0)</f>
        <v>#N/A</v>
      </c>
      <c r="AN14" s="107" t="e">
        <f>VLOOKUP($A14,'S48'!$C:$BQ,40,0)</f>
        <v>#N/A</v>
      </c>
      <c r="AO14" s="107" t="e">
        <f>VLOOKUP($A14,'S48'!$C:$BQ,22,0)</f>
        <v>#N/A</v>
      </c>
      <c r="AP14" s="115" t="e">
        <f>VLOOKUP($A14,'S48'!$C:$BQ,29,0)</f>
        <v>#N/A</v>
      </c>
      <c r="AQ14" s="115" t="e">
        <f>VLOOKUP($A14,'S48'!$C:$BQ,30,0)</f>
        <v>#N/A</v>
      </c>
      <c r="AR14" s="115" t="e">
        <f>VLOOKUP($A14,'S48'!$C:$BQ,52,0)</f>
        <v>#N/A</v>
      </c>
      <c r="AS14" s="115" t="e">
        <f>VLOOKUP($A14,'S48'!$C:$BQ,59,0)</f>
        <v>#N/A</v>
      </c>
      <c r="AT14" s="115" t="e">
        <f>VLOOKUP($A14,'S48'!$C:$BQ,60,0)</f>
        <v>#N/A</v>
      </c>
      <c r="AU14" s="107" t="e">
        <f>VLOOKUP($A14,'S49'!$C:$BQ,32,0)</f>
        <v>#N/A</v>
      </c>
      <c r="AV14" s="107" t="e">
        <f>VLOOKUP($A14,'S49'!$C:$BQ,39,0)</f>
        <v>#N/A</v>
      </c>
      <c r="AW14" s="107" t="e">
        <f>VLOOKUP($A14,'S49'!$C:$BQ,40,0)</f>
        <v>#N/A</v>
      </c>
      <c r="AX14" s="107" t="e">
        <f>VLOOKUP($A14,'S49'!$C:$BQ,22,0)</f>
        <v>#N/A</v>
      </c>
      <c r="AY14" s="115" t="e">
        <f>VLOOKUP($A14,'S49'!$C:$BQ,29,0)</f>
        <v>#N/A</v>
      </c>
      <c r="AZ14" s="115" t="e">
        <f>VLOOKUP($A14,'S49'!$C:$BQ,30,0)</f>
        <v>#N/A</v>
      </c>
      <c r="BA14" s="115" t="e">
        <f>VLOOKUP($A14,'S49'!$C:$BQ,52,0)</f>
        <v>#N/A</v>
      </c>
      <c r="BB14" s="115" t="e">
        <f>VLOOKUP($A14,'S49'!$C:$BQ,59,0)</f>
        <v>#N/A</v>
      </c>
      <c r="BC14" s="115" t="e">
        <f>VLOOKUP($A14,'S49'!$C:$BQ,60,0)</f>
        <v>#N/A</v>
      </c>
      <c r="BD14" s="107" t="e">
        <f>VLOOKUP($A14,'S50'!$C:$BQ,32,0)</f>
        <v>#N/A</v>
      </c>
      <c r="BE14" s="107" t="e">
        <f>VLOOKUP($A14,'S50'!$C:$BQ,39,0)</f>
        <v>#N/A</v>
      </c>
      <c r="BF14" s="107" t="e">
        <f>VLOOKUP($A14,'S50'!$C:$BQ,40,0)</f>
        <v>#N/A</v>
      </c>
      <c r="BG14" s="107" t="e">
        <f>VLOOKUP($A14,'S50'!$C:$BQ,22,0)</f>
        <v>#N/A</v>
      </c>
      <c r="BH14" s="115" t="e">
        <f>VLOOKUP($A14,'S50'!$C:$BQ,29,0)</f>
        <v>#N/A</v>
      </c>
      <c r="BI14" s="115" t="e">
        <f>VLOOKUP($A14,'S50'!$C:$BQ,30,0)</f>
        <v>#N/A</v>
      </c>
      <c r="BJ14" s="115" t="e">
        <f>VLOOKUP($A14,'S50'!$C:$BQ,52,0)</f>
        <v>#N/A</v>
      </c>
      <c r="BK14" s="115" t="e">
        <f>VLOOKUP($A14,'S50'!$C:$BQ,59,0)</f>
        <v>#N/A</v>
      </c>
      <c r="BL14" s="115" t="e">
        <f>VLOOKUP($A14,'S50'!$C:$BQ,60,0)</f>
        <v>#N/A</v>
      </c>
    </row>
    <row r="15" spans="1:127" x14ac:dyDescent="0.2">
      <c r="A15" s="106" t="s">
        <v>68</v>
      </c>
      <c r="B15" s="107">
        <f>VLOOKUP($A15,'S0 remplacer avec S44'!$C:$BQ,32,0)</f>
        <v>184.1</v>
      </c>
      <c r="C15" s="107">
        <f>VLOOKUP($A15,'S0 remplacer avec S44'!$C:$BQ,39,0)</f>
        <v>0</v>
      </c>
      <c r="D15" s="107">
        <f>VLOOKUP($A15,'S0 remplacer avec S44'!$C:$BQ,40,0)</f>
        <v>0</v>
      </c>
      <c r="E15" s="107">
        <f>VLOOKUP($A15,'S0 remplacer avec S44'!$C:$BQ,22,0)</f>
        <v>1717.4284299999999</v>
      </c>
      <c r="F15" s="115">
        <f>VLOOKUP($A15,'S0 remplacer avec S44'!$C:$BQ,29,0)</f>
        <v>0</v>
      </c>
      <c r="G15" s="115">
        <f>VLOOKUP($A15,'S0 remplacer avec S44'!$C:$BQ,30,0)</f>
        <v>0</v>
      </c>
      <c r="H15" s="115">
        <f>VLOOKUP($A15,'S0 remplacer avec S44'!$C:$BQ,52,0)</f>
        <v>90</v>
      </c>
      <c r="I15" s="115">
        <f>VLOOKUP($A15,'S0 remplacer avec S44'!$C:$BQ,59,0)</f>
        <v>0</v>
      </c>
      <c r="J15" s="115">
        <f>VLOOKUP($A15,'S0 remplacer avec S44'!$C:$BQ,60,0)</f>
        <v>3</v>
      </c>
      <c r="K15" s="107" t="e">
        <f>VLOOKUP($A15,'S45'!$C:$BQ,32,0)</f>
        <v>#N/A</v>
      </c>
      <c r="L15" s="107" t="e">
        <f>VLOOKUP($A15,'S45'!$C:$BQ,39,0)</f>
        <v>#N/A</v>
      </c>
      <c r="M15" s="107" t="e">
        <f>VLOOKUP($A15,'S45'!$C:$BQ,40,0)</f>
        <v>#N/A</v>
      </c>
      <c r="N15" s="107" t="e">
        <f>VLOOKUP($A15,'S45'!$C:$BQ,22,0)</f>
        <v>#N/A</v>
      </c>
      <c r="O15" s="115" t="e">
        <f>VLOOKUP($A15,'S45'!$C:$BQ,29,0)</f>
        <v>#N/A</v>
      </c>
      <c r="P15" s="115" t="e">
        <f>VLOOKUP($A15,'S45'!$C:$BQ,30,0)</f>
        <v>#N/A</v>
      </c>
      <c r="Q15" s="115" t="e">
        <f>VLOOKUP($A15,'S45'!$C:$BQ,52,0)</f>
        <v>#N/A</v>
      </c>
      <c r="R15" s="115" t="e">
        <f>VLOOKUP($A15,'S45'!$C:$BQ,59,0)</f>
        <v>#N/A</v>
      </c>
      <c r="S15" s="115" t="e">
        <f>VLOOKUP($A15,'S45'!$C:$BQ,60,0)</f>
        <v>#N/A</v>
      </c>
      <c r="T15" s="107" t="e">
        <f>VLOOKUP($A15,'S46'!$C:$BQ,32,0)</f>
        <v>#N/A</v>
      </c>
      <c r="U15" s="107" t="e">
        <f>VLOOKUP($A15,'S46'!$C:$BQ,39,0)</f>
        <v>#N/A</v>
      </c>
      <c r="V15" s="107" t="e">
        <f>VLOOKUP($A15,'S46'!$C:$BQ,40,0)</f>
        <v>#N/A</v>
      </c>
      <c r="W15" s="107" t="e">
        <f>VLOOKUP($A15,'S46'!$C:$BQ,22,0)</f>
        <v>#N/A</v>
      </c>
      <c r="X15" s="115" t="e">
        <f>VLOOKUP($A15,'S46'!$C:$BQ,29,0)</f>
        <v>#N/A</v>
      </c>
      <c r="Y15" s="115" t="e">
        <f>VLOOKUP($A15,'S46'!$C:$BQ,30,0)</f>
        <v>#N/A</v>
      </c>
      <c r="Z15" s="115" t="e">
        <f>VLOOKUP($A15,'S46'!$C:$BQ,52,0)</f>
        <v>#N/A</v>
      </c>
      <c r="AA15" s="115" t="e">
        <f>VLOOKUP($A15,'S46'!$C:$BQ,59,0)</f>
        <v>#N/A</v>
      </c>
      <c r="AB15" s="115" t="e">
        <f>VLOOKUP($A15,'S46'!$C:$BQ,60,0)</f>
        <v>#N/A</v>
      </c>
      <c r="AC15" s="107" t="e">
        <f>VLOOKUP($A15,'S47'!$C:$BQ,32,0)</f>
        <v>#N/A</v>
      </c>
      <c r="AD15" s="107" t="e">
        <f>VLOOKUP($A15,'S47'!$C:$BQ,39,0)</f>
        <v>#N/A</v>
      </c>
      <c r="AE15" s="107" t="e">
        <f>VLOOKUP($A15,'S47'!$C:$BQ,40,0)</f>
        <v>#N/A</v>
      </c>
      <c r="AF15" s="107" t="e">
        <f>VLOOKUP($A15,'S47'!$C:$BQ,22,0)</f>
        <v>#N/A</v>
      </c>
      <c r="AG15" s="115" t="e">
        <f>VLOOKUP($A15,'S47'!$C:$BQ,29,0)</f>
        <v>#N/A</v>
      </c>
      <c r="AH15" s="115" t="e">
        <f>VLOOKUP($A15,'S47'!$C:$BQ,30,0)</f>
        <v>#N/A</v>
      </c>
      <c r="AI15" s="115" t="e">
        <f>VLOOKUP($A15,'S47'!$C:$BQ,52,0)</f>
        <v>#N/A</v>
      </c>
      <c r="AJ15" s="115" t="e">
        <f>VLOOKUP($A15,'S47'!$C:$BQ,59,0)</f>
        <v>#N/A</v>
      </c>
      <c r="AK15" s="115" t="e">
        <f>VLOOKUP($A15,'S47'!$C:$BQ,60,0)</f>
        <v>#N/A</v>
      </c>
      <c r="AL15" s="107" t="e">
        <f>VLOOKUP($A15,'S48'!$C:$BQ,32,0)</f>
        <v>#N/A</v>
      </c>
      <c r="AM15" s="107" t="e">
        <f>VLOOKUP($A15,'S48'!$C:$BQ,39,0)</f>
        <v>#N/A</v>
      </c>
      <c r="AN15" s="107" t="e">
        <f>VLOOKUP($A15,'S48'!$C:$BQ,40,0)</f>
        <v>#N/A</v>
      </c>
      <c r="AO15" s="107" t="e">
        <f>VLOOKUP($A15,'S48'!$C:$BQ,22,0)</f>
        <v>#N/A</v>
      </c>
      <c r="AP15" s="115" t="e">
        <f>VLOOKUP($A15,'S48'!$C:$BQ,29,0)</f>
        <v>#N/A</v>
      </c>
      <c r="AQ15" s="115" t="e">
        <f>VLOOKUP($A15,'S48'!$C:$BQ,30,0)</f>
        <v>#N/A</v>
      </c>
      <c r="AR15" s="115" t="e">
        <f>VLOOKUP($A15,'S48'!$C:$BQ,52,0)</f>
        <v>#N/A</v>
      </c>
      <c r="AS15" s="115" t="e">
        <f>VLOOKUP($A15,'S48'!$C:$BQ,59,0)</f>
        <v>#N/A</v>
      </c>
      <c r="AT15" s="115" t="e">
        <f>VLOOKUP($A15,'S48'!$C:$BQ,60,0)</f>
        <v>#N/A</v>
      </c>
      <c r="AU15" s="107" t="e">
        <f>VLOOKUP($A15,'S49'!$C:$BQ,32,0)</f>
        <v>#N/A</v>
      </c>
      <c r="AV15" s="107" t="e">
        <f>VLOOKUP($A15,'S49'!$C:$BQ,39,0)</f>
        <v>#N/A</v>
      </c>
      <c r="AW15" s="107" t="e">
        <f>VLOOKUP($A15,'S49'!$C:$BQ,40,0)</f>
        <v>#N/A</v>
      </c>
      <c r="AX15" s="107" t="e">
        <f>VLOOKUP($A15,'S49'!$C:$BQ,22,0)</f>
        <v>#N/A</v>
      </c>
      <c r="AY15" s="115" t="e">
        <f>VLOOKUP($A15,'S49'!$C:$BQ,29,0)</f>
        <v>#N/A</v>
      </c>
      <c r="AZ15" s="115" t="e">
        <f>VLOOKUP($A15,'S49'!$C:$BQ,30,0)</f>
        <v>#N/A</v>
      </c>
      <c r="BA15" s="115" t="e">
        <f>VLOOKUP($A15,'S49'!$C:$BQ,52,0)</f>
        <v>#N/A</v>
      </c>
      <c r="BB15" s="115" t="e">
        <f>VLOOKUP($A15,'S49'!$C:$BQ,59,0)</f>
        <v>#N/A</v>
      </c>
      <c r="BC15" s="115" t="e">
        <f>VLOOKUP($A15,'S49'!$C:$BQ,60,0)</f>
        <v>#N/A</v>
      </c>
      <c r="BD15" s="107" t="e">
        <f>VLOOKUP($A15,'S50'!$C:$BQ,32,0)</f>
        <v>#N/A</v>
      </c>
      <c r="BE15" s="107" t="e">
        <f>VLOOKUP($A15,'S50'!$C:$BQ,39,0)</f>
        <v>#N/A</v>
      </c>
      <c r="BF15" s="107" t="e">
        <f>VLOOKUP($A15,'S50'!$C:$BQ,40,0)</f>
        <v>#N/A</v>
      </c>
      <c r="BG15" s="107" t="e">
        <f>VLOOKUP($A15,'S50'!$C:$BQ,22,0)</f>
        <v>#N/A</v>
      </c>
      <c r="BH15" s="115" t="e">
        <f>VLOOKUP($A15,'S50'!$C:$BQ,29,0)</f>
        <v>#N/A</v>
      </c>
      <c r="BI15" s="115" t="e">
        <f>VLOOKUP($A15,'S50'!$C:$BQ,30,0)</f>
        <v>#N/A</v>
      </c>
      <c r="BJ15" s="115" t="e">
        <f>VLOOKUP($A15,'S50'!$C:$BQ,52,0)</f>
        <v>#N/A</v>
      </c>
      <c r="BK15" s="115" t="e">
        <f>VLOOKUP($A15,'S50'!$C:$BQ,59,0)</f>
        <v>#N/A</v>
      </c>
      <c r="BL15" s="115" t="e">
        <f>VLOOKUP($A15,'S50'!$C:$BQ,60,0)</f>
        <v>#N/A</v>
      </c>
    </row>
    <row r="16" spans="1:127" x14ac:dyDescent="0.2">
      <c r="A16" s="106" t="s">
        <v>69</v>
      </c>
      <c r="B16" s="107">
        <f>VLOOKUP($A16,'S0 remplacer avec S44'!$C:$BQ,32,0)</f>
        <v>285.89999999999998</v>
      </c>
      <c r="C16" s="107">
        <f>VLOOKUP($A16,'S0 remplacer avec S44'!$C:$BQ,39,0)</f>
        <v>77</v>
      </c>
      <c r="D16" s="107">
        <f>VLOOKUP($A16,'S0 remplacer avec S44'!$C:$BQ,40,0)</f>
        <v>149</v>
      </c>
      <c r="E16" s="107">
        <f>VLOOKUP($A16,'S0 remplacer avec S44'!$C:$BQ,22,0)</f>
        <v>2728.077655</v>
      </c>
      <c r="F16" s="115">
        <f>VLOOKUP($A16,'S0 remplacer avec S44'!$C:$BQ,29,0)</f>
        <v>568</v>
      </c>
      <c r="G16" s="115">
        <f>VLOOKUP($A16,'S0 remplacer avec S44'!$C:$BQ,30,0)</f>
        <v>1228</v>
      </c>
      <c r="H16" s="115">
        <f>VLOOKUP($A16,'S0 remplacer avec S44'!$C:$BQ,52,0)</f>
        <v>147.4</v>
      </c>
      <c r="I16" s="115">
        <f>VLOOKUP($A16,'S0 remplacer avec S44'!$C:$BQ,59,0)</f>
        <v>37</v>
      </c>
      <c r="J16" s="115">
        <f>VLOOKUP($A16,'S0 remplacer avec S44'!$C:$BQ,60,0)</f>
        <v>74</v>
      </c>
      <c r="K16" s="107" t="e">
        <f>VLOOKUP($A16,'S45'!$C:$BQ,32,0)</f>
        <v>#N/A</v>
      </c>
      <c r="L16" s="107" t="e">
        <f>VLOOKUP($A16,'S45'!$C:$BQ,39,0)</f>
        <v>#N/A</v>
      </c>
      <c r="M16" s="107" t="e">
        <f>VLOOKUP($A16,'S45'!$C:$BQ,40,0)</f>
        <v>#N/A</v>
      </c>
      <c r="N16" s="107" t="e">
        <f>VLOOKUP($A16,'S45'!$C:$BQ,22,0)</f>
        <v>#N/A</v>
      </c>
      <c r="O16" s="115" t="e">
        <f>VLOOKUP($A16,'S45'!$C:$BQ,29,0)</f>
        <v>#N/A</v>
      </c>
      <c r="P16" s="115" t="e">
        <f>VLOOKUP($A16,'S45'!$C:$BQ,30,0)</f>
        <v>#N/A</v>
      </c>
      <c r="Q16" s="115" t="e">
        <f>VLOOKUP($A16,'S45'!$C:$BQ,52,0)</f>
        <v>#N/A</v>
      </c>
      <c r="R16" s="115" t="e">
        <f>VLOOKUP($A16,'S45'!$C:$BQ,59,0)</f>
        <v>#N/A</v>
      </c>
      <c r="S16" s="115" t="e">
        <f>VLOOKUP($A16,'S45'!$C:$BQ,60,0)</f>
        <v>#N/A</v>
      </c>
      <c r="T16" s="107" t="e">
        <f>VLOOKUP($A16,'S46'!$C:$BQ,32,0)</f>
        <v>#N/A</v>
      </c>
      <c r="U16" s="107" t="e">
        <f>VLOOKUP($A16,'S46'!$C:$BQ,39,0)</f>
        <v>#N/A</v>
      </c>
      <c r="V16" s="107" t="e">
        <f>VLOOKUP($A16,'S46'!$C:$BQ,40,0)</f>
        <v>#N/A</v>
      </c>
      <c r="W16" s="107" t="e">
        <f>VLOOKUP($A16,'S46'!$C:$BQ,22,0)</f>
        <v>#N/A</v>
      </c>
      <c r="X16" s="115" t="e">
        <f>VLOOKUP($A16,'S46'!$C:$BQ,29,0)</f>
        <v>#N/A</v>
      </c>
      <c r="Y16" s="115" t="e">
        <f>VLOOKUP($A16,'S46'!$C:$BQ,30,0)</f>
        <v>#N/A</v>
      </c>
      <c r="Z16" s="115" t="e">
        <f>VLOOKUP($A16,'S46'!$C:$BQ,52,0)</f>
        <v>#N/A</v>
      </c>
      <c r="AA16" s="115" t="e">
        <f>VLOOKUP($A16,'S46'!$C:$BQ,59,0)</f>
        <v>#N/A</v>
      </c>
      <c r="AB16" s="115" t="e">
        <f>VLOOKUP($A16,'S46'!$C:$BQ,60,0)</f>
        <v>#N/A</v>
      </c>
      <c r="AC16" s="107" t="e">
        <f>VLOOKUP($A16,'S47'!$C:$BQ,32,0)</f>
        <v>#N/A</v>
      </c>
      <c r="AD16" s="107" t="e">
        <f>VLOOKUP($A16,'S47'!$C:$BQ,39,0)</f>
        <v>#N/A</v>
      </c>
      <c r="AE16" s="107" t="e">
        <f>VLOOKUP($A16,'S47'!$C:$BQ,40,0)</f>
        <v>#N/A</v>
      </c>
      <c r="AF16" s="107" t="e">
        <f>VLOOKUP($A16,'S47'!$C:$BQ,22,0)</f>
        <v>#N/A</v>
      </c>
      <c r="AG16" s="115" t="e">
        <f>VLOOKUP($A16,'S47'!$C:$BQ,29,0)</f>
        <v>#N/A</v>
      </c>
      <c r="AH16" s="115" t="e">
        <f>VLOOKUP($A16,'S47'!$C:$BQ,30,0)</f>
        <v>#N/A</v>
      </c>
      <c r="AI16" s="115" t="e">
        <f>VLOOKUP($A16,'S47'!$C:$BQ,52,0)</f>
        <v>#N/A</v>
      </c>
      <c r="AJ16" s="115" t="e">
        <f>VLOOKUP($A16,'S47'!$C:$BQ,59,0)</f>
        <v>#N/A</v>
      </c>
      <c r="AK16" s="115" t="e">
        <f>VLOOKUP($A16,'S47'!$C:$BQ,60,0)</f>
        <v>#N/A</v>
      </c>
      <c r="AL16" s="107" t="e">
        <f>VLOOKUP($A16,'S48'!$C:$BQ,32,0)</f>
        <v>#N/A</v>
      </c>
      <c r="AM16" s="107" t="e">
        <f>VLOOKUP($A16,'S48'!$C:$BQ,39,0)</f>
        <v>#N/A</v>
      </c>
      <c r="AN16" s="107" t="e">
        <f>VLOOKUP($A16,'S48'!$C:$BQ,40,0)</f>
        <v>#N/A</v>
      </c>
      <c r="AO16" s="107" t="e">
        <f>VLOOKUP($A16,'S48'!$C:$BQ,22,0)</f>
        <v>#N/A</v>
      </c>
      <c r="AP16" s="115" t="e">
        <f>VLOOKUP($A16,'S48'!$C:$BQ,29,0)</f>
        <v>#N/A</v>
      </c>
      <c r="AQ16" s="115" t="e">
        <f>VLOOKUP($A16,'S48'!$C:$BQ,30,0)</f>
        <v>#N/A</v>
      </c>
      <c r="AR16" s="115" t="e">
        <f>VLOOKUP($A16,'S48'!$C:$BQ,52,0)</f>
        <v>#N/A</v>
      </c>
      <c r="AS16" s="115" t="e">
        <f>VLOOKUP($A16,'S48'!$C:$BQ,59,0)</f>
        <v>#N/A</v>
      </c>
      <c r="AT16" s="115" t="e">
        <f>VLOOKUP($A16,'S48'!$C:$BQ,60,0)</f>
        <v>#N/A</v>
      </c>
      <c r="AU16" s="107" t="e">
        <f>VLOOKUP($A16,'S49'!$C:$BQ,32,0)</f>
        <v>#N/A</v>
      </c>
      <c r="AV16" s="107" t="e">
        <f>VLOOKUP($A16,'S49'!$C:$BQ,39,0)</f>
        <v>#N/A</v>
      </c>
      <c r="AW16" s="107" t="e">
        <f>VLOOKUP($A16,'S49'!$C:$BQ,40,0)</f>
        <v>#N/A</v>
      </c>
      <c r="AX16" s="107" t="e">
        <f>VLOOKUP($A16,'S49'!$C:$BQ,22,0)</f>
        <v>#N/A</v>
      </c>
      <c r="AY16" s="115" t="e">
        <f>VLOOKUP($A16,'S49'!$C:$BQ,29,0)</f>
        <v>#N/A</v>
      </c>
      <c r="AZ16" s="115" t="e">
        <f>VLOOKUP($A16,'S49'!$C:$BQ,30,0)</f>
        <v>#N/A</v>
      </c>
      <c r="BA16" s="115" t="e">
        <f>VLOOKUP($A16,'S49'!$C:$BQ,52,0)</f>
        <v>#N/A</v>
      </c>
      <c r="BB16" s="115" t="e">
        <f>VLOOKUP($A16,'S49'!$C:$BQ,59,0)</f>
        <v>#N/A</v>
      </c>
      <c r="BC16" s="115" t="e">
        <f>VLOOKUP($A16,'S49'!$C:$BQ,60,0)</f>
        <v>#N/A</v>
      </c>
      <c r="BD16" s="107" t="e">
        <f>VLOOKUP($A16,'S50'!$C:$BQ,32,0)</f>
        <v>#N/A</v>
      </c>
      <c r="BE16" s="107" t="e">
        <f>VLOOKUP($A16,'S50'!$C:$BQ,39,0)</f>
        <v>#N/A</v>
      </c>
      <c r="BF16" s="107" t="e">
        <f>VLOOKUP($A16,'S50'!$C:$BQ,40,0)</f>
        <v>#N/A</v>
      </c>
      <c r="BG16" s="107" t="e">
        <f>VLOOKUP($A16,'S50'!$C:$BQ,22,0)</f>
        <v>#N/A</v>
      </c>
      <c r="BH16" s="115" t="e">
        <f>VLOOKUP($A16,'S50'!$C:$BQ,29,0)</f>
        <v>#N/A</v>
      </c>
      <c r="BI16" s="115" t="e">
        <f>VLOOKUP($A16,'S50'!$C:$BQ,30,0)</f>
        <v>#N/A</v>
      </c>
      <c r="BJ16" s="115" t="e">
        <f>VLOOKUP($A16,'S50'!$C:$BQ,52,0)</f>
        <v>#N/A</v>
      </c>
      <c r="BK16" s="115" t="e">
        <f>VLOOKUP($A16,'S50'!$C:$BQ,59,0)</f>
        <v>#N/A</v>
      </c>
      <c r="BL16" s="115" t="e">
        <f>VLOOKUP($A16,'S50'!$C:$BQ,60,0)</f>
        <v>#N/A</v>
      </c>
    </row>
    <row r="17" spans="1:64" x14ac:dyDescent="0.2">
      <c r="A17" s="106" t="s">
        <v>70</v>
      </c>
      <c r="B17" s="107">
        <f>VLOOKUP($A17,'S0 remplacer avec S44'!$C:$BQ,32,0)</f>
        <v>130.19999999999999</v>
      </c>
      <c r="C17" s="107">
        <f>VLOOKUP($A17,'S0 remplacer avec S44'!$C:$BQ,39,0)</f>
        <v>104</v>
      </c>
      <c r="D17" s="107">
        <f>VLOOKUP($A17,'S0 remplacer avec S44'!$C:$BQ,40,0)</f>
        <v>151</v>
      </c>
      <c r="E17" s="107">
        <f>VLOOKUP($A17,'S0 remplacer avec S44'!$C:$BQ,22,0)</f>
        <v>2179.3162149999998</v>
      </c>
      <c r="F17" s="115">
        <f>VLOOKUP($A17,'S0 remplacer avec S44'!$C:$BQ,29,0)</f>
        <v>0</v>
      </c>
      <c r="G17" s="115">
        <f>VLOOKUP($A17,'S0 remplacer avec S44'!$C:$BQ,30,0)</f>
        <v>375</v>
      </c>
      <c r="H17" s="115">
        <f>VLOOKUP($A17,'S0 remplacer avec S44'!$C:$BQ,52,0)</f>
        <v>154.19999999999999</v>
      </c>
      <c r="I17" s="115">
        <f>VLOOKUP($A17,'S0 remplacer avec S44'!$C:$BQ,59,0)</f>
        <v>0</v>
      </c>
      <c r="J17" s="115">
        <f>VLOOKUP($A17,'S0 remplacer avec S44'!$C:$BQ,60,0)</f>
        <v>0</v>
      </c>
      <c r="K17" s="107" t="e">
        <f>VLOOKUP($A17,'S45'!$C:$BQ,32,0)</f>
        <v>#N/A</v>
      </c>
      <c r="L17" s="107" t="e">
        <f>VLOOKUP($A17,'S45'!$C:$BQ,39,0)</f>
        <v>#N/A</v>
      </c>
      <c r="M17" s="107" t="e">
        <f>VLOOKUP($A17,'S45'!$C:$BQ,40,0)</f>
        <v>#N/A</v>
      </c>
      <c r="N17" s="107" t="e">
        <f>VLOOKUP($A17,'S45'!$C:$BQ,22,0)</f>
        <v>#N/A</v>
      </c>
      <c r="O17" s="115" t="e">
        <f>VLOOKUP($A17,'S45'!$C:$BQ,29,0)</f>
        <v>#N/A</v>
      </c>
      <c r="P17" s="115" t="e">
        <f>VLOOKUP($A17,'S45'!$C:$BQ,30,0)</f>
        <v>#N/A</v>
      </c>
      <c r="Q17" s="115" t="e">
        <f>VLOOKUP($A17,'S45'!$C:$BQ,52,0)</f>
        <v>#N/A</v>
      </c>
      <c r="R17" s="115" t="e">
        <f>VLOOKUP($A17,'S45'!$C:$BQ,59,0)</f>
        <v>#N/A</v>
      </c>
      <c r="S17" s="115" t="e">
        <f>VLOOKUP($A17,'S45'!$C:$BQ,60,0)</f>
        <v>#N/A</v>
      </c>
      <c r="T17" s="107" t="e">
        <f>VLOOKUP($A17,'S46'!$C:$BQ,32,0)</f>
        <v>#N/A</v>
      </c>
      <c r="U17" s="107" t="e">
        <f>VLOOKUP($A17,'S46'!$C:$BQ,39,0)</f>
        <v>#N/A</v>
      </c>
      <c r="V17" s="107" t="e">
        <f>VLOOKUP($A17,'S46'!$C:$BQ,40,0)</f>
        <v>#N/A</v>
      </c>
      <c r="W17" s="107" t="e">
        <f>VLOOKUP($A17,'S46'!$C:$BQ,22,0)</f>
        <v>#N/A</v>
      </c>
      <c r="X17" s="115" t="e">
        <f>VLOOKUP($A17,'S46'!$C:$BQ,29,0)</f>
        <v>#N/A</v>
      </c>
      <c r="Y17" s="115" t="e">
        <f>VLOOKUP($A17,'S46'!$C:$BQ,30,0)</f>
        <v>#N/A</v>
      </c>
      <c r="Z17" s="115" t="e">
        <f>VLOOKUP($A17,'S46'!$C:$BQ,52,0)</f>
        <v>#N/A</v>
      </c>
      <c r="AA17" s="115" t="e">
        <f>VLOOKUP($A17,'S46'!$C:$BQ,59,0)</f>
        <v>#N/A</v>
      </c>
      <c r="AB17" s="115" t="e">
        <f>VLOOKUP($A17,'S46'!$C:$BQ,60,0)</f>
        <v>#N/A</v>
      </c>
      <c r="AC17" s="107" t="e">
        <f>VLOOKUP($A17,'S47'!$C:$BQ,32,0)</f>
        <v>#N/A</v>
      </c>
      <c r="AD17" s="107" t="e">
        <f>VLOOKUP($A17,'S47'!$C:$BQ,39,0)</f>
        <v>#N/A</v>
      </c>
      <c r="AE17" s="107" t="e">
        <f>VLOOKUP($A17,'S47'!$C:$BQ,40,0)</f>
        <v>#N/A</v>
      </c>
      <c r="AF17" s="107" t="e">
        <f>VLOOKUP($A17,'S47'!$C:$BQ,22,0)</f>
        <v>#N/A</v>
      </c>
      <c r="AG17" s="115" t="e">
        <f>VLOOKUP($A17,'S47'!$C:$BQ,29,0)</f>
        <v>#N/A</v>
      </c>
      <c r="AH17" s="115" t="e">
        <f>VLOOKUP($A17,'S47'!$C:$BQ,30,0)</f>
        <v>#N/A</v>
      </c>
      <c r="AI17" s="115" t="e">
        <f>VLOOKUP($A17,'S47'!$C:$BQ,52,0)</f>
        <v>#N/A</v>
      </c>
      <c r="AJ17" s="115" t="e">
        <f>VLOOKUP($A17,'S47'!$C:$BQ,59,0)</f>
        <v>#N/A</v>
      </c>
      <c r="AK17" s="115" t="e">
        <f>VLOOKUP($A17,'S47'!$C:$BQ,60,0)</f>
        <v>#N/A</v>
      </c>
      <c r="AL17" s="107" t="e">
        <f>VLOOKUP($A17,'S48'!$C:$BQ,32,0)</f>
        <v>#N/A</v>
      </c>
      <c r="AM17" s="107" t="e">
        <f>VLOOKUP($A17,'S48'!$C:$BQ,39,0)</f>
        <v>#N/A</v>
      </c>
      <c r="AN17" s="107" t="e">
        <f>VLOOKUP($A17,'S48'!$C:$BQ,40,0)</f>
        <v>#N/A</v>
      </c>
      <c r="AO17" s="107" t="e">
        <f>VLOOKUP($A17,'S48'!$C:$BQ,22,0)</f>
        <v>#N/A</v>
      </c>
      <c r="AP17" s="115" t="e">
        <f>VLOOKUP($A17,'S48'!$C:$BQ,29,0)</f>
        <v>#N/A</v>
      </c>
      <c r="AQ17" s="115" t="e">
        <f>VLOOKUP($A17,'S48'!$C:$BQ,30,0)</f>
        <v>#N/A</v>
      </c>
      <c r="AR17" s="115" t="e">
        <f>VLOOKUP($A17,'S48'!$C:$BQ,52,0)</f>
        <v>#N/A</v>
      </c>
      <c r="AS17" s="115" t="e">
        <f>VLOOKUP($A17,'S48'!$C:$BQ,59,0)</f>
        <v>#N/A</v>
      </c>
      <c r="AT17" s="115" t="e">
        <f>VLOOKUP($A17,'S48'!$C:$BQ,60,0)</f>
        <v>#N/A</v>
      </c>
      <c r="AU17" s="107" t="e">
        <f>VLOOKUP($A17,'S49'!$C:$BQ,32,0)</f>
        <v>#N/A</v>
      </c>
      <c r="AV17" s="107" t="e">
        <f>VLOOKUP($A17,'S49'!$C:$BQ,39,0)</f>
        <v>#N/A</v>
      </c>
      <c r="AW17" s="107" t="e">
        <f>VLOOKUP($A17,'S49'!$C:$BQ,40,0)</f>
        <v>#N/A</v>
      </c>
      <c r="AX17" s="107" t="e">
        <f>VLOOKUP($A17,'S49'!$C:$BQ,22,0)</f>
        <v>#N/A</v>
      </c>
      <c r="AY17" s="115" t="e">
        <f>VLOOKUP($A17,'S49'!$C:$BQ,29,0)</f>
        <v>#N/A</v>
      </c>
      <c r="AZ17" s="115" t="e">
        <f>VLOOKUP($A17,'S49'!$C:$BQ,30,0)</f>
        <v>#N/A</v>
      </c>
      <c r="BA17" s="115" t="e">
        <f>VLOOKUP($A17,'S49'!$C:$BQ,52,0)</f>
        <v>#N/A</v>
      </c>
      <c r="BB17" s="115" t="e">
        <f>VLOOKUP($A17,'S49'!$C:$BQ,59,0)</f>
        <v>#N/A</v>
      </c>
      <c r="BC17" s="115" t="e">
        <f>VLOOKUP($A17,'S49'!$C:$BQ,60,0)</f>
        <v>#N/A</v>
      </c>
      <c r="BD17" s="107" t="e">
        <f>VLOOKUP($A17,'S50'!$C:$BQ,32,0)</f>
        <v>#N/A</v>
      </c>
      <c r="BE17" s="107" t="e">
        <f>VLOOKUP($A17,'S50'!$C:$BQ,39,0)</f>
        <v>#N/A</v>
      </c>
      <c r="BF17" s="107" t="e">
        <f>VLOOKUP($A17,'S50'!$C:$BQ,40,0)</f>
        <v>#N/A</v>
      </c>
      <c r="BG17" s="107" t="e">
        <f>VLOOKUP($A17,'S50'!$C:$BQ,22,0)</f>
        <v>#N/A</v>
      </c>
      <c r="BH17" s="115" t="e">
        <f>VLOOKUP($A17,'S50'!$C:$BQ,29,0)</f>
        <v>#N/A</v>
      </c>
      <c r="BI17" s="115" t="e">
        <f>VLOOKUP($A17,'S50'!$C:$BQ,30,0)</f>
        <v>#N/A</v>
      </c>
      <c r="BJ17" s="115" t="e">
        <f>VLOOKUP($A17,'S50'!$C:$BQ,52,0)</f>
        <v>#N/A</v>
      </c>
      <c r="BK17" s="115" t="e">
        <f>VLOOKUP($A17,'S50'!$C:$BQ,59,0)</f>
        <v>#N/A</v>
      </c>
      <c r="BL17" s="115" t="e">
        <f>VLOOKUP($A17,'S50'!$C:$BQ,60,0)</f>
        <v>#N/A</v>
      </c>
    </row>
    <row r="18" spans="1:64" x14ac:dyDescent="0.2">
      <c r="A18" s="106" t="s">
        <v>71</v>
      </c>
      <c r="B18" s="107">
        <f>VLOOKUP($A18,'S0 remplacer avec S44'!$C:$BQ,32,0)</f>
        <v>223.4</v>
      </c>
      <c r="C18" s="107">
        <f>VLOOKUP($A18,'S0 remplacer avec S44'!$C:$BQ,39,0)</f>
        <v>195</v>
      </c>
      <c r="D18" s="107">
        <f>VLOOKUP($A18,'S0 remplacer avec S44'!$C:$BQ,40,0)</f>
        <v>278</v>
      </c>
      <c r="E18" s="107">
        <f>VLOOKUP($A18,'S0 remplacer avec S44'!$C:$BQ,22,0)</f>
        <v>3910.28287</v>
      </c>
      <c r="F18" s="115">
        <f>VLOOKUP($A18,'S0 remplacer avec S44'!$C:$BQ,29,0)</f>
        <v>0</v>
      </c>
      <c r="G18" s="115">
        <f>VLOOKUP($A18,'S0 remplacer avec S44'!$C:$BQ,30,0)</f>
        <v>650</v>
      </c>
      <c r="H18" s="115">
        <f>VLOOKUP($A18,'S0 remplacer avec S44'!$C:$BQ,52,0)</f>
        <v>256.8</v>
      </c>
      <c r="I18" s="115">
        <f>VLOOKUP($A18,'S0 remplacer avec S44'!$C:$BQ,59,0)</f>
        <v>0</v>
      </c>
      <c r="J18" s="115">
        <f>VLOOKUP($A18,'S0 remplacer avec S44'!$C:$BQ,60,0)</f>
        <v>0</v>
      </c>
      <c r="K18" s="107" t="e">
        <f>VLOOKUP($A18,'S45'!$C:$BQ,32,0)</f>
        <v>#N/A</v>
      </c>
      <c r="L18" s="107" t="e">
        <f>VLOOKUP($A18,'S45'!$C:$BQ,39,0)</f>
        <v>#N/A</v>
      </c>
      <c r="M18" s="107" t="e">
        <f>VLOOKUP($A18,'S45'!$C:$BQ,40,0)</f>
        <v>#N/A</v>
      </c>
      <c r="N18" s="107" t="e">
        <f>VLOOKUP($A18,'S45'!$C:$BQ,22,0)</f>
        <v>#N/A</v>
      </c>
      <c r="O18" s="115" t="e">
        <f>VLOOKUP($A18,'S45'!$C:$BQ,29,0)</f>
        <v>#N/A</v>
      </c>
      <c r="P18" s="115" t="e">
        <f>VLOOKUP($A18,'S45'!$C:$BQ,30,0)</f>
        <v>#N/A</v>
      </c>
      <c r="Q18" s="115" t="e">
        <f>VLOOKUP($A18,'S45'!$C:$BQ,52,0)</f>
        <v>#N/A</v>
      </c>
      <c r="R18" s="115" t="e">
        <f>VLOOKUP($A18,'S45'!$C:$BQ,59,0)</f>
        <v>#N/A</v>
      </c>
      <c r="S18" s="115" t="e">
        <f>VLOOKUP($A18,'S45'!$C:$BQ,60,0)</f>
        <v>#N/A</v>
      </c>
      <c r="T18" s="107" t="e">
        <f>VLOOKUP($A18,'S46'!$C:$BQ,32,0)</f>
        <v>#N/A</v>
      </c>
      <c r="U18" s="107" t="e">
        <f>VLOOKUP($A18,'S46'!$C:$BQ,39,0)</f>
        <v>#N/A</v>
      </c>
      <c r="V18" s="107" t="e">
        <f>VLOOKUP($A18,'S46'!$C:$BQ,40,0)</f>
        <v>#N/A</v>
      </c>
      <c r="W18" s="107" t="e">
        <f>VLOOKUP($A18,'S46'!$C:$BQ,22,0)</f>
        <v>#N/A</v>
      </c>
      <c r="X18" s="115" t="e">
        <f>VLOOKUP($A18,'S46'!$C:$BQ,29,0)</f>
        <v>#N/A</v>
      </c>
      <c r="Y18" s="115" t="e">
        <f>VLOOKUP($A18,'S46'!$C:$BQ,30,0)</f>
        <v>#N/A</v>
      </c>
      <c r="Z18" s="115" t="e">
        <f>VLOOKUP($A18,'S46'!$C:$BQ,52,0)</f>
        <v>#N/A</v>
      </c>
      <c r="AA18" s="115" t="e">
        <f>VLOOKUP($A18,'S46'!$C:$BQ,59,0)</f>
        <v>#N/A</v>
      </c>
      <c r="AB18" s="115" t="e">
        <f>VLOOKUP($A18,'S46'!$C:$BQ,60,0)</f>
        <v>#N/A</v>
      </c>
      <c r="AC18" s="107" t="e">
        <f>VLOOKUP($A18,'S47'!$C:$BQ,32,0)</f>
        <v>#N/A</v>
      </c>
      <c r="AD18" s="107" t="e">
        <f>VLOOKUP($A18,'S47'!$C:$BQ,39,0)</f>
        <v>#N/A</v>
      </c>
      <c r="AE18" s="107" t="e">
        <f>VLOOKUP($A18,'S47'!$C:$BQ,40,0)</f>
        <v>#N/A</v>
      </c>
      <c r="AF18" s="107" t="e">
        <f>VLOOKUP($A18,'S47'!$C:$BQ,22,0)</f>
        <v>#N/A</v>
      </c>
      <c r="AG18" s="115" t="e">
        <f>VLOOKUP($A18,'S47'!$C:$BQ,29,0)</f>
        <v>#N/A</v>
      </c>
      <c r="AH18" s="115" t="e">
        <f>VLOOKUP($A18,'S47'!$C:$BQ,30,0)</f>
        <v>#N/A</v>
      </c>
      <c r="AI18" s="115" t="e">
        <f>VLOOKUP($A18,'S47'!$C:$BQ,52,0)</f>
        <v>#N/A</v>
      </c>
      <c r="AJ18" s="115" t="e">
        <f>VLOOKUP($A18,'S47'!$C:$BQ,59,0)</f>
        <v>#N/A</v>
      </c>
      <c r="AK18" s="115" t="e">
        <f>VLOOKUP($A18,'S47'!$C:$BQ,60,0)</f>
        <v>#N/A</v>
      </c>
      <c r="AL18" s="107" t="e">
        <f>VLOOKUP($A18,'S48'!$C:$BQ,32,0)</f>
        <v>#N/A</v>
      </c>
      <c r="AM18" s="107" t="e">
        <f>VLOOKUP($A18,'S48'!$C:$BQ,39,0)</f>
        <v>#N/A</v>
      </c>
      <c r="AN18" s="107" t="e">
        <f>VLOOKUP($A18,'S48'!$C:$BQ,40,0)</f>
        <v>#N/A</v>
      </c>
      <c r="AO18" s="107" t="e">
        <f>VLOOKUP($A18,'S48'!$C:$BQ,22,0)</f>
        <v>#N/A</v>
      </c>
      <c r="AP18" s="115" t="e">
        <f>VLOOKUP($A18,'S48'!$C:$BQ,29,0)</f>
        <v>#N/A</v>
      </c>
      <c r="AQ18" s="115" t="e">
        <f>VLOOKUP($A18,'S48'!$C:$BQ,30,0)</f>
        <v>#N/A</v>
      </c>
      <c r="AR18" s="115" t="e">
        <f>VLOOKUP($A18,'S48'!$C:$BQ,52,0)</f>
        <v>#N/A</v>
      </c>
      <c r="AS18" s="115" t="e">
        <f>VLOOKUP($A18,'S48'!$C:$BQ,59,0)</f>
        <v>#N/A</v>
      </c>
      <c r="AT18" s="115" t="e">
        <f>VLOOKUP($A18,'S48'!$C:$BQ,60,0)</f>
        <v>#N/A</v>
      </c>
      <c r="AU18" s="107" t="e">
        <f>VLOOKUP($A18,'S49'!$C:$BQ,32,0)</f>
        <v>#N/A</v>
      </c>
      <c r="AV18" s="107" t="e">
        <f>VLOOKUP($A18,'S49'!$C:$BQ,39,0)</f>
        <v>#N/A</v>
      </c>
      <c r="AW18" s="107" t="e">
        <f>VLOOKUP($A18,'S49'!$C:$BQ,40,0)</f>
        <v>#N/A</v>
      </c>
      <c r="AX18" s="107" t="e">
        <f>VLOOKUP($A18,'S49'!$C:$BQ,22,0)</f>
        <v>#N/A</v>
      </c>
      <c r="AY18" s="115" t="e">
        <f>VLOOKUP($A18,'S49'!$C:$BQ,29,0)</f>
        <v>#N/A</v>
      </c>
      <c r="AZ18" s="115" t="e">
        <f>VLOOKUP($A18,'S49'!$C:$BQ,30,0)</f>
        <v>#N/A</v>
      </c>
      <c r="BA18" s="115" t="e">
        <f>VLOOKUP($A18,'S49'!$C:$BQ,52,0)</f>
        <v>#N/A</v>
      </c>
      <c r="BB18" s="115" t="e">
        <f>VLOOKUP($A18,'S49'!$C:$BQ,59,0)</f>
        <v>#N/A</v>
      </c>
      <c r="BC18" s="115" t="e">
        <f>VLOOKUP($A18,'S49'!$C:$BQ,60,0)</f>
        <v>#N/A</v>
      </c>
      <c r="BD18" s="107" t="e">
        <f>VLOOKUP($A18,'S50'!$C:$BQ,32,0)</f>
        <v>#N/A</v>
      </c>
      <c r="BE18" s="107" t="e">
        <f>VLOOKUP($A18,'S50'!$C:$BQ,39,0)</f>
        <v>#N/A</v>
      </c>
      <c r="BF18" s="107" t="e">
        <f>VLOOKUP($A18,'S50'!$C:$BQ,40,0)</f>
        <v>#N/A</v>
      </c>
      <c r="BG18" s="107" t="e">
        <f>VLOOKUP($A18,'S50'!$C:$BQ,22,0)</f>
        <v>#N/A</v>
      </c>
      <c r="BH18" s="115" t="e">
        <f>VLOOKUP($A18,'S50'!$C:$BQ,29,0)</f>
        <v>#N/A</v>
      </c>
      <c r="BI18" s="115" t="e">
        <f>VLOOKUP($A18,'S50'!$C:$BQ,30,0)</f>
        <v>#N/A</v>
      </c>
      <c r="BJ18" s="115" t="e">
        <f>VLOOKUP($A18,'S50'!$C:$BQ,52,0)</f>
        <v>#N/A</v>
      </c>
      <c r="BK18" s="115" t="e">
        <f>VLOOKUP($A18,'S50'!$C:$BQ,59,0)</f>
        <v>#N/A</v>
      </c>
      <c r="BL18" s="115" t="e">
        <f>VLOOKUP($A18,'S50'!$C:$BQ,60,0)</f>
        <v>#N/A</v>
      </c>
    </row>
    <row r="19" spans="1:64" x14ac:dyDescent="0.2">
      <c r="A19" s="106" t="s">
        <v>72</v>
      </c>
      <c r="B19" s="107">
        <f>VLOOKUP($A19,'S0 remplacer avec S44'!$C:$BQ,32,0)</f>
        <v>132</v>
      </c>
      <c r="C19" s="107">
        <f>VLOOKUP($A19,'S0 remplacer avec S44'!$C:$BQ,39,0)</f>
        <v>140</v>
      </c>
      <c r="D19" s="107">
        <f>VLOOKUP($A19,'S0 remplacer avec S44'!$C:$BQ,40,0)</f>
        <v>195</v>
      </c>
      <c r="E19" s="107">
        <f>VLOOKUP($A19,'S0 remplacer avec S44'!$C:$BQ,22,0)</f>
        <v>2354.70352</v>
      </c>
      <c r="F19" s="115">
        <f>VLOOKUP($A19,'S0 remplacer avec S44'!$C:$BQ,29,0)</f>
        <v>119</v>
      </c>
      <c r="G19" s="115">
        <f>VLOOKUP($A19,'S0 remplacer avec S44'!$C:$BQ,30,0)</f>
        <v>614</v>
      </c>
      <c r="H19" s="115">
        <f>VLOOKUP($A19,'S0 remplacer avec S44'!$C:$BQ,52,0)</f>
        <v>155.4</v>
      </c>
      <c r="I19" s="115">
        <f>VLOOKUP($A19,'S0 remplacer avec S44'!$C:$BQ,59,0)</f>
        <v>0</v>
      </c>
      <c r="J19" s="115">
        <f>VLOOKUP($A19,'S0 remplacer avec S44'!$C:$BQ,60,0)</f>
        <v>11</v>
      </c>
      <c r="K19" s="107" t="e">
        <f>VLOOKUP($A19,'S45'!$C:$BQ,32,0)</f>
        <v>#N/A</v>
      </c>
      <c r="L19" s="107" t="e">
        <f>VLOOKUP($A19,'S45'!$C:$BQ,39,0)</f>
        <v>#N/A</v>
      </c>
      <c r="M19" s="107" t="e">
        <f>VLOOKUP($A19,'S45'!$C:$BQ,40,0)</f>
        <v>#N/A</v>
      </c>
      <c r="N19" s="107" t="e">
        <f>VLOOKUP($A19,'S45'!$C:$BQ,22,0)</f>
        <v>#N/A</v>
      </c>
      <c r="O19" s="115" t="e">
        <f>VLOOKUP($A19,'S45'!$C:$BQ,29,0)</f>
        <v>#N/A</v>
      </c>
      <c r="P19" s="115" t="e">
        <f>VLOOKUP($A19,'S45'!$C:$BQ,30,0)</f>
        <v>#N/A</v>
      </c>
      <c r="Q19" s="115" t="e">
        <f>VLOOKUP($A19,'S45'!$C:$BQ,52,0)</f>
        <v>#N/A</v>
      </c>
      <c r="R19" s="115" t="e">
        <f>VLOOKUP($A19,'S45'!$C:$BQ,59,0)</f>
        <v>#N/A</v>
      </c>
      <c r="S19" s="115" t="e">
        <f>VLOOKUP($A19,'S45'!$C:$BQ,60,0)</f>
        <v>#N/A</v>
      </c>
      <c r="T19" s="107" t="e">
        <f>VLOOKUP($A19,'S46'!$C:$BQ,32,0)</f>
        <v>#N/A</v>
      </c>
      <c r="U19" s="107" t="e">
        <f>VLOOKUP($A19,'S46'!$C:$BQ,39,0)</f>
        <v>#N/A</v>
      </c>
      <c r="V19" s="107" t="e">
        <f>VLOOKUP($A19,'S46'!$C:$BQ,40,0)</f>
        <v>#N/A</v>
      </c>
      <c r="W19" s="107" t="e">
        <f>VLOOKUP($A19,'S46'!$C:$BQ,22,0)</f>
        <v>#N/A</v>
      </c>
      <c r="X19" s="115" t="e">
        <f>VLOOKUP($A19,'S46'!$C:$BQ,29,0)</f>
        <v>#N/A</v>
      </c>
      <c r="Y19" s="115" t="e">
        <f>VLOOKUP($A19,'S46'!$C:$BQ,30,0)</f>
        <v>#N/A</v>
      </c>
      <c r="Z19" s="115" t="e">
        <f>VLOOKUP($A19,'S46'!$C:$BQ,52,0)</f>
        <v>#N/A</v>
      </c>
      <c r="AA19" s="115" t="e">
        <f>VLOOKUP($A19,'S46'!$C:$BQ,59,0)</f>
        <v>#N/A</v>
      </c>
      <c r="AB19" s="115" t="e">
        <f>VLOOKUP($A19,'S46'!$C:$BQ,60,0)</f>
        <v>#N/A</v>
      </c>
      <c r="AC19" s="107" t="e">
        <f>VLOOKUP($A19,'S47'!$C:$BQ,32,0)</f>
        <v>#N/A</v>
      </c>
      <c r="AD19" s="107" t="e">
        <f>VLOOKUP($A19,'S47'!$C:$BQ,39,0)</f>
        <v>#N/A</v>
      </c>
      <c r="AE19" s="107" t="e">
        <f>VLOOKUP($A19,'S47'!$C:$BQ,40,0)</f>
        <v>#N/A</v>
      </c>
      <c r="AF19" s="107" t="e">
        <f>VLOOKUP($A19,'S47'!$C:$BQ,22,0)</f>
        <v>#N/A</v>
      </c>
      <c r="AG19" s="115" t="e">
        <f>VLOOKUP($A19,'S47'!$C:$BQ,29,0)</f>
        <v>#N/A</v>
      </c>
      <c r="AH19" s="115" t="e">
        <f>VLOOKUP($A19,'S47'!$C:$BQ,30,0)</f>
        <v>#N/A</v>
      </c>
      <c r="AI19" s="115" t="e">
        <f>VLOOKUP($A19,'S47'!$C:$BQ,52,0)</f>
        <v>#N/A</v>
      </c>
      <c r="AJ19" s="115" t="e">
        <f>VLOOKUP($A19,'S47'!$C:$BQ,59,0)</f>
        <v>#N/A</v>
      </c>
      <c r="AK19" s="115" t="e">
        <f>VLOOKUP($A19,'S47'!$C:$BQ,60,0)</f>
        <v>#N/A</v>
      </c>
      <c r="AL19" s="107" t="e">
        <f>VLOOKUP($A19,'S48'!$C:$BQ,32,0)</f>
        <v>#N/A</v>
      </c>
      <c r="AM19" s="107" t="e">
        <f>VLOOKUP($A19,'S48'!$C:$BQ,39,0)</f>
        <v>#N/A</v>
      </c>
      <c r="AN19" s="107" t="e">
        <f>VLOOKUP($A19,'S48'!$C:$BQ,40,0)</f>
        <v>#N/A</v>
      </c>
      <c r="AO19" s="107" t="e">
        <f>VLOOKUP($A19,'S48'!$C:$BQ,22,0)</f>
        <v>#N/A</v>
      </c>
      <c r="AP19" s="115" t="e">
        <f>VLOOKUP($A19,'S48'!$C:$BQ,29,0)</f>
        <v>#N/A</v>
      </c>
      <c r="AQ19" s="115" t="e">
        <f>VLOOKUP($A19,'S48'!$C:$BQ,30,0)</f>
        <v>#N/A</v>
      </c>
      <c r="AR19" s="115" t="e">
        <f>VLOOKUP($A19,'S48'!$C:$BQ,52,0)</f>
        <v>#N/A</v>
      </c>
      <c r="AS19" s="115" t="e">
        <f>VLOOKUP($A19,'S48'!$C:$BQ,59,0)</f>
        <v>#N/A</v>
      </c>
      <c r="AT19" s="115" t="e">
        <f>VLOOKUP($A19,'S48'!$C:$BQ,60,0)</f>
        <v>#N/A</v>
      </c>
      <c r="AU19" s="107" t="e">
        <f>VLOOKUP($A19,'S49'!$C:$BQ,32,0)</f>
        <v>#N/A</v>
      </c>
      <c r="AV19" s="107" t="e">
        <f>VLOOKUP($A19,'S49'!$C:$BQ,39,0)</f>
        <v>#N/A</v>
      </c>
      <c r="AW19" s="107" t="e">
        <f>VLOOKUP($A19,'S49'!$C:$BQ,40,0)</f>
        <v>#N/A</v>
      </c>
      <c r="AX19" s="107" t="e">
        <f>VLOOKUP($A19,'S49'!$C:$BQ,22,0)</f>
        <v>#N/A</v>
      </c>
      <c r="AY19" s="115" t="e">
        <f>VLOOKUP($A19,'S49'!$C:$BQ,29,0)</f>
        <v>#N/A</v>
      </c>
      <c r="AZ19" s="115" t="e">
        <f>VLOOKUP($A19,'S49'!$C:$BQ,30,0)</f>
        <v>#N/A</v>
      </c>
      <c r="BA19" s="115" t="e">
        <f>VLOOKUP($A19,'S49'!$C:$BQ,52,0)</f>
        <v>#N/A</v>
      </c>
      <c r="BB19" s="115" t="e">
        <f>VLOOKUP($A19,'S49'!$C:$BQ,59,0)</f>
        <v>#N/A</v>
      </c>
      <c r="BC19" s="115" t="e">
        <f>VLOOKUP($A19,'S49'!$C:$BQ,60,0)</f>
        <v>#N/A</v>
      </c>
      <c r="BD19" s="107" t="e">
        <f>VLOOKUP($A19,'S50'!$C:$BQ,32,0)</f>
        <v>#N/A</v>
      </c>
      <c r="BE19" s="107" t="e">
        <f>VLOOKUP($A19,'S50'!$C:$BQ,39,0)</f>
        <v>#N/A</v>
      </c>
      <c r="BF19" s="107" t="e">
        <f>VLOOKUP($A19,'S50'!$C:$BQ,40,0)</f>
        <v>#N/A</v>
      </c>
      <c r="BG19" s="107" t="e">
        <f>VLOOKUP($A19,'S50'!$C:$BQ,22,0)</f>
        <v>#N/A</v>
      </c>
      <c r="BH19" s="115" t="e">
        <f>VLOOKUP($A19,'S50'!$C:$BQ,29,0)</f>
        <v>#N/A</v>
      </c>
      <c r="BI19" s="115" t="e">
        <f>VLOOKUP($A19,'S50'!$C:$BQ,30,0)</f>
        <v>#N/A</v>
      </c>
      <c r="BJ19" s="115" t="e">
        <f>VLOOKUP($A19,'S50'!$C:$BQ,52,0)</f>
        <v>#N/A</v>
      </c>
      <c r="BK19" s="115" t="e">
        <f>VLOOKUP($A19,'S50'!$C:$BQ,59,0)</f>
        <v>#N/A</v>
      </c>
      <c r="BL19" s="115" t="e">
        <f>VLOOKUP($A19,'S50'!$C:$BQ,60,0)</f>
        <v>#N/A</v>
      </c>
    </row>
    <row r="20" spans="1:64" x14ac:dyDescent="0.2">
      <c r="A20" s="106" t="s">
        <v>73</v>
      </c>
      <c r="B20" s="107">
        <f>VLOOKUP($A20,'S0 remplacer avec S44'!$C:$BQ,32,0)</f>
        <v>89.5</v>
      </c>
      <c r="C20" s="107">
        <f>VLOOKUP($A20,'S0 remplacer avec S44'!$C:$BQ,39,0)</f>
        <v>193</v>
      </c>
      <c r="D20" s="107">
        <f>VLOOKUP($A20,'S0 remplacer avec S44'!$C:$BQ,40,0)</f>
        <v>249</v>
      </c>
      <c r="E20" s="107">
        <f>VLOOKUP($A20,'S0 remplacer avec S44'!$C:$BQ,22,0)</f>
        <v>2264.750035</v>
      </c>
      <c r="F20" s="115">
        <f>VLOOKUP($A20,'S0 remplacer avec S44'!$C:$BQ,29,0)</f>
        <v>301</v>
      </c>
      <c r="G20" s="115">
        <f>VLOOKUP($A20,'S0 remplacer avec S44'!$C:$BQ,30,0)</f>
        <v>814</v>
      </c>
      <c r="H20" s="115">
        <f>VLOOKUP($A20,'S0 remplacer avec S44'!$C:$BQ,52,0)</f>
        <v>116.6</v>
      </c>
      <c r="I20" s="115">
        <f>VLOOKUP($A20,'S0 remplacer avec S44'!$C:$BQ,59,0)</f>
        <v>27</v>
      </c>
      <c r="J20" s="115">
        <f>VLOOKUP($A20,'S0 remplacer avec S44'!$C:$BQ,60,0)</f>
        <v>56</v>
      </c>
      <c r="K20" s="107" t="e">
        <f>VLOOKUP($A20,'S45'!$C:$BQ,32,0)</f>
        <v>#N/A</v>
      </c>
      <c r="L20" s="107" t="e">
        <f>VLOOKUP($A20,'S45'!$C:$BQ,39,0)</f>
        <v>#N/A</v>
      </c>
      <c r="M20" s="107" t="e">
        <f>VLOOKUP($A20,'S45'!$C:$BQ,40,0)</f>
        <v>#N/A</v>
      </c>
      <c r="N20" s="107" t="e">
        <f>VLOOKUP($A20,'S45'!$C:$BQ,22,0)</f>
        <v>#N/A</v>
      </c>
      <c r="O20" s="115" t="e">
        <f>VLOOKUP($A20,'S45'!$C:$BQ,29,0)</f>
        <v>#N/A</v>
      </c>
      <c r="P20" s="115" t="e">
        <f>VLOOKUP($A20,'S45'!$C:$BQ,30,0)</f>
        <v>#N/A</v>
      </c>
      <c r="Q20" s="115" t="e">
        <f>VLOOKUP($A20,'S45'!$C:$BQ,52,0)</f>
        <v>#N/A</v>
      </c>
      <c r="R20" s="115" t="e">
        <f>VLOOKUP($A20,'S45'!$C:$BQ,59,0)</f>
        <v>#N/A</v>
      </c>
      <c r="S20" s="115" t="e">
        <f>VLOOKUP($A20,'S45'!$C:$BQ,60,0)</f>
        <v>#N/A</v>
      </c>
      <c r="T20" s="107" t="e">
        <f>VLOOKUP($A20,'S46'!$C:$BQ,32,0)</f>
        <v>#N/A</v>
      </c>
      <c r="U20" s="107" t="e">
        <f>VLOOKUP($A20,'S46'!$C:$BQ,39,0)</f>
        <v>#N/A</v>
      </c>
      <c r="V20" s="107" t="e">
        <f>VLOOKUP($A20,'S46'!$C:$BQ,40,0)</f>
        <v>#N/A</v>
      </c>
      <c r="W20" s="107" t="e">
        <f>VLOOKUP($A20,'S46'!$C:$BQ,22,0)</f>
        <v>#N/A</v>
      </c>
      <c r="X20" s="115" t="e">
        <f>VLOOKUP($A20,'S46'!$C:$BQ,29,0)</f>
        <v>#N/A</v>
      </c>
      <c r="Y20" s="115" t="e">
        <f>VLOOKUP($A20,'S46'!$C:$BQ,30,0)</f>
        <v>#N/A</v>
      </c>
      <c r="Z20" s="115" t="e">
        <f>VLOOKUP($A20,'S46'!$C:$BQ,52,0)</f>
        <v>#N/A</v>
      </c>
      <c r="AA20" s="115" t="e">
        <f>VLOOKUP($A20,'S46'!$C:$BQ,59,0)</f>
        <v>#N/A</v>
      </c>
      <c r="AB20" s="115" t="e">
        <f>VLOOKUP($A20,'S46'!$C:$BQ,60,0)</f>
        <v>#N/A</v>
      </c>
      <c r="AC20" s="107" t="e">
        <f>VLOOKUP($A20,'S47'!$C:$BQ,32,0)</f>
        <v>#N/A</v>
      </c>
      <c r="AD20" s="107" t="e">
        <f>VLOOKUP($A20,'S47'!$C:$BQ,39,0)</f>
        <v>#N/A</v>
      </c>
      <c r="AE20" s="107" t="e">
        <f>VLOOKUP($A20,'S47'!$C:$BQ,40,0)</f>
        <v>#N/A</v>
      </c>
      <c r="AF20" s="107" t="e">
        <f>VLOOKUP($A20,'S47'!$C:$BQ,22,0)</f>
        <v>#N/A</v>
      </c>
      <c r="AG20" s="115" t="e">
        <f>VLOOKUP($A20,'S47'!$C:$BQ,29,0)</f>
        <v>#N/A</v>
      </c>
      <c r="AH20" s="115" t="e">
        <f>VLOOKUP($A20,'S47'!$C:$BQ,30,0)</f>
        <v>#N/A</v>
      </c>
      <c r="AI20" s="115" t="e">
        <f>VLOOKUP($A20,'S47'!$C:$BQ,52,0)</f>
        <v>#N/A</v>
      </c>
      <c r="AJ20" s="115" t="e">
        <f>VLOOKUP($A20,'S47'!$C:$BQ,59,0)</f>
        <v>#N/A</v>
      </c>
      <c r="AK20" s="115" t="e">
        <f>VLOOKUP($A20,'S47'!$C:$BQ,60,0)</f>
        <v>#N/A</v>
      </c>
      <c r="AL20" s="107" t="e">
        <f>VLOOKUP($A20,'S48'!$C:$BQ,32,0)</f>
        <v>#N/A</v>
      </c>
      <c r="AM20" s="107" t="e">
        <f>VLOOKUP($A20,'S48'!$C:$BQ,39,0)</f>
        <v>#N/A</v>
      </c>
      <c r="AN20" s="107" t="e">
        <f>VLOOKUP($A20,'S48'!$C:$BQ,40,0)</f>
        <v>#N/A</v>
      </c>
      <c r="AO20" s="107" t="e">
        <f>VLOOKUP($A20,'S48'!$C:$BQ,22,0)</f>
        <v>#N/A</v>
      </c>
      <c r="AP20" s="115" t="e">
        <f>VLOOKUP($A20,'S48'!$C:$BQ,29,0)</f>
        <v>#N/A</v>
      </c>
      <c r="AQ20" s="115" t="e">
        <f>VLOOKUP($A20,'S48'!$C:$BQ,30,0)</f>
        <v>#N/A</v>
      </c>
      <c r="AR20" s="115" t="e">
        <f>VLOOKUP($A20,'S48'!$C:$BQ,52,0)</f>
        <v>#N/A</v>
      </c>
      <c r="AS20" s="115" t="e">
        <f>VLOOKUP($A20,'S48'!$C:$BQ,59,0)</f>
        <v>#N/A</v>
      </c>
      <c r="AT20" s="115" t="e">
        <f>VLOOKUP($A20,'S48'!$C:$BQ,60,0)</f>
        <v>#N/A</v>
      </c>
      <c r="AU20" s="107" t="e">
        <f>VLOOKUP($A20,'S49'!$C:$BQ,32,0)</f>
        <v>#N/A</v>
      </c>
      <c r="AV20" s="107" t="e">
        <f>VLOOKUP($A20,'S49'!$C:$BQ,39,0)</f>
        <v>#N/A</v>
      </c>
      <c r="AW20" s="107" t="e">
        <f>VLOOKUP($A20,'S49'!$C:$BQ,40,0)</f>
        <v>#N/A</v>
      </c>
      <c r="AX20" s="107" t="e">
        <f>VLOOKUP($A20,'S49'!$C:$BQ,22,0)</f>
        <v>#N/A</v>
      </c>
      <c r="AY20" s="115" t="e">
        <f>VLOOKUP($A20,'S49'!$C:$BQ,29,0)</f>
        <v>#N/A</v>
      </c>
      <c r="AZ20" s="115" t="e">
        <f>VLOOKUP($A20,'S49'!$C:$BQ,30,0)</f>
        <v>#N/A</v>
      </c>
      <c r="BA20" s="115" t="e">
        <f>VLOOKUP($A20,'S49'!$C:$BQ,52,0)</f>
        <v>#N/A</v>
      </c>
      <c r="BB20" s="115" t="e">
        <f>VLOOKUP($A20,'S49'!$C:$BQ,59,0)</f>
        <v>#N/A</v>
      </c>
      <c r="BC20" s="115" t="e">
        <f>VLOOKUP($A20,'S49'!$C:$BQ,60,0)</f>
        <v>#N/A</v>
      </c>
      <c r="BD20" s="107" t="e">
        <f>VLOOKUP($A20,'S50'!$C:$BQ,32,0)</f>
        <v>#N/A</v>
      </c>
      <c r="BE20" s="107" t="e">
        <f>VLOOKUP($A20,'S50'!$C:$BQ,39,0)</f>
        <v>#N/A</v>
      </c>
      <c r="BF20" s="107" t="e">
        <f>VLOOKUP($A20,'S50'!$C:$BQ,40,0)</f>
        <v>#N/A</v>
      </c>
      <c r="BG20" s="107" t="e">
        <f>VLOOKUP($A20,'S50'!$C:$BQ,22,0)</f>
        <v>#N/A</v>
      </c>
      <c r="BH20" s="115" t="e">
        <f>VLOOKUP($A20,'S50'!$C:$BQ,29,0)</f>
        <v>#N/A</v>
      </c>
      <c r="BI20" s="115" t="e">
        <f>VLOOKUP($A20,'S50'!$C:$BQ,30,0)</f>
        <v>#N/A</v>
      </c>
      <c r="BJ20" s="115" t="e">
        <f>VLOOKUP($A20,'S50'!$C:$BQ,52,0)</f>
        <v>#N/A</v>
      </c>
      <c r="BK20" s="115" t="e">
        <f>VLOOKUP($A20,'S50'!$C:$BQ,59,0)</f>
        <v>#N/A</v>
      </c>
      <c r="BL20" s="115" t="e">
        <f>VLOOKUP($A20,'S50'!$C:$BQ,60,0)</f>
        <v>#N/A</v>
      </c>
    </row>
    <row r="21" spans="1:64" x14ac:dyDescent="0.2">
      <c r="A21" s="106" t="s">
        <v>74</v>
      </c>
      <c r="B21" s="107">
        <f>VLOOKUP($A21,'S0 remplacer avec S44'!$C:$BQ,32,0)</f>
        <v>242.3</v>
      </c>
      <c r="C21" s="107">
        <f>VLOOKUP($A21,'S0 remplacer avec S44'!$C:$BQ,39,0)</f>
        <v>88</v>
      </c>
      <c r="D21" s="107">
        <f>VLOOKUP($A21,'S0 remplacer avec S44'!$C:$BQ,40,0)</f>
        <v>154</v>
      </c>
      <c r="E21" s="107">
        <f>VLOOKUP($A21,'S0 remplacer avec S44'!$C:$BQ,22,0)</f>
        <v>3206.1661450000001</v>
      </c>
      <c r="F21" s="115">
        <f>VLOOKUP($A21,'S0 remplacer avec S44'!$C:$BQ,29,0)</f>
        <v>0</v>
      </c>
      <c r="G21" s="115">
        <f>VLOOKUP($A21,'S0 remplacer avec S44'!$C:$BQ,30,0)</f>
        <v>398</v>
      </c>
      <c r="H21" s="115">
        <f>VLOOKUP($A21,'S0 remplacer avec S44'!$C:$BQ,52,0)</f>
        <v>172.6</v>
      </c>
      <c r="I21" s="115">
        <f>VLOOKUP($A21,'S0 remplacer avec S44'!$C:$BQ,59,0)</f>
        <v>0</v>
      </c>
      <c r="J21" s="115">
        <f>VLOOKUP($A21,'S0 remplacer avec S44'!$C:$BQ,60,0)</f>
        <v>29</v>
      </c>
      <c r="K21" s="107" t="e">
        <f>VLOOKUP($A21,'S45'!$C:$BQ,32,0)</f>
        <v>#N/A</v>
      </c>
      <c r="L21" s="107" t="e">
        <f>VLOOKUP($A21,'S45'!$C:$BQ,39,0)</f>
        <v>#N/A</v>
      </c>
      <c r="M21" s="107" t="e">
        <f>VLOOKUP($A21,'S45'!$C:$BQ,40,0)</f>
        <v>#N/A</v>
      </c>
      <c r="N21" s="107" t="e">
        <f>VLOOKUP($A21,'S45'!$C:$BQ,22,0)</f>
        <v>#N/A</v>
      </c>
      <c r="O21" s="115" t="e">
        <f>VLOOKUP($A21,'S45'!$C:$BQ,29,0)</f>
        <v>#N/A</v>
      </c>
      <c r="P21" s="115" t="e">
        <f>VLOOKUP($A21,'S45'!$C:$BQ,30,0)</f>
        <v>#N/A</v>
      </c>
      <c r="Q21" s="115" t="e">
        <f>VLOOKUP($A21,'S45'!$C:$BQ,52,0)</f>
        <v>#N/A</v>
      </c>
      <c r="R21" s="115" t="e">
        <f>VLOOKUP($A21,'S45'!$C:$BQ,59,0)</f>
        <v>#N/A</v>
      </c>
      <c r="S21" s="115" t="e">
        <f>VLOOKUP($A21,'S45'!$C:$BQ,60,0)</f>
        <v>#N/A</v>
      </c>
      <c r="T21" s="107" t="e">
        <f>VLOOKUP($A21,'S46'!$C:$BQ,32,0)</f>
        <v>#N/A</v>
      </c>
      <c r="U21" s="107" t="e">
        <f>VLOOKUP($A21,'S46'!$C:$BQ,39,0)</f>
        <v>#N/A</v>
      </c>
      <c r="V21" s="107" t="e">
        <f>VLOOKUP($A21,'S46'!$C:$BQ,40,0)</f>
        <v>#N/A</v>
      </c>
      <c r="W21" s="107" t="e">
        <f>VLOOKUP($A21,'S46'!$C:$BQ,22,0)</f>
        <v>#N/A</v>
      </c>
      <c r="X21" s="115" t="e">
        <f>VLOOKUP($A21,'S46'!$C:$BQ,29,0)</f>
        <v>#N/A</v>
      </c>
      <c r="Y21" s="115" t="e">
        <f>VLOOKUP($A21,'S46'!$C:$BQ,30,0)</f>
        <v>#N/A</v>
      </c>
      <c r="Z21" s="115" t="e">
        <f>VLOOKUP($A21,'S46'!$C:$BQ,52,0)</f>
        <v>#N/A</v>
      </c>
      <c r="AA21" s="115" t="e">
        <f>VLOOKUP($A21,'S46'!$C:$BQ,59,0)</f>
        <v>#N/A</v>
      </c>
      <c r="AB21" s="115" t="e">
        <f>VLOOKUP($A21,'S46'!$C:$BQ,60,0)</f>
        <v>#N/A</v>
      </c>
      <c r="AC21" s="107" t="e">
        <f>VLOOKUP($A21,'S47'!$C:$BQ,32,0)</f>
        <v>#N/A</v>
      </c>
      <c r="AD21" s="107" t="e">
        <f>VLOOKUP($A21,'S47'!$C:$BQ,39,0)</f>
        <v>#N/A</v>
      </c>
      <c r="AE21" s="107" t="e">
        <f>VLOOKUP($A21,'S47'!$C:$BQ,40,0)</f>
        <v>#N/A</v>
      </c>
      <c r="AF21" s="107" t="e">
        <f>VLOOKUP($A21,'S47'!$C:$BQ,22,0)</f>
        <v>#N/A</v>
      </c>
      <c r="AG21" s="115" t="e">
        <f>VLOOKUP($A21,'S47'!$C:$BQ,29,0)</f>
        <v>#N/A</v>
      </c>
      <c r="AH21" s="115" t="e">
        <f>VLOOKUP($A21,'S47'!$C:$BQ,30,0)</f>
        <v>#N/A</v>
      </c>
      <c r="AI21" s="115" t="e">
        <f>VLOOKUP($A21,'S47'!$C:$BQ,52,0)</f>
        <v>#N/A</v>
      </c>
      <c r="AJ21" s="115" t="e">
        <f>VLOOKUP($A21,'S47'!$C:$BQ,59,0)</f>
        <v>#N/A</v>
      </c>
      <c r="AK21" s="115" t="e">
        <f>VLOOKUP($A21,'S47'!$C:$BQ,60,0)</f>
        <v>#N/A</v>
      </c>
      <c r="AL21" s="107" t="e">
        <f>VLOOKUP($A21,'S48'!$C:$BQ,32,0)</f>
        <v>#N/A</v>
      </c>
      <c r="AM21" s="107" t="e">
        <f>VLOOKUP($A21,'S48'!$C:$BQ,39,0)</f>
        <v>#N/A</v>
      </c>
      <c r="AN21" s="107" t="e">
        <f>VLOOKUP($A21,'S48'!$C:$BQ,40,0)</f>
        <v>#N/A</v>
      </c>
      <c r="AO21" s="107" t="e">
        <f>VLOOKUP($A21,'S48'!$C:$BQ,22,0)</f>
        <v>#N/A</v>
      </c>
      <c r="AP21" s="115" t="e">
        <f>VLOOKUP($A21,'S48'!$C:$BQ,29,0)</f>
        <v>#N/A</v>
      </c>
      <c r="AQ21" s="115" t="e">
        <f>VLOOKUP($A21,'S48'!$C:$BQ,30,0)</f>
        <v>#N/A</v>
      </c>
      <c r="AR21" s="115" t="e">
        <f>VLOOKUP($A21,'S48'!$C:$BQ,52,0)</f>
        <v>#N/A</v>
      </c>
      <c r="AS21" s="115" t="e">
        <f>VLOOKUP($A21,'S48'!$C:$BQ,59,0)</f>
        <v>#N/A</v>
      </c>
      <c r="AT21" s="115" t="e">
        <f>VLOOKUP($A21,'S48'!$C:$BQ,60,0)</f>
        <v>#N/A</v>
      </c>
      <c r="AU21" s="107" t="e">
        <f>VLOOKUP($A21,'S49'!$C:$BQ,32,0)</f>
        <v>#N/A</v>
      </c>
      <c r="AV21" s="107" t="e">
        <f>VLOOKUP($A21,'S49'!$C:$BQ,39,0)</f>
        <v>#N/A</v>
      </c>
      <c r="AW21" s="107" t="e">
        <f>VLOOKUP($A21,'S49'!$C:$BQ,40,0)</f>
        <v>#N/A</v>
      </c>
      <c r="AX21" s="107" t="e">
        <f>VLOOKUP($A21,'S49'!$C:$BQ,22,0)</f>
        <v>#N/A</v>
      </c>
      <c r="AY21" s="115" t="e">
        <f>VLOOKUP($A21,'S49'!$C:$BQ,29,0)</f>
        <v>#N/A</v>
      </c>
      <c r="AZ21" s="115" t="e">
        <f>VLOOKUP($A21,'S49'!$C:$BQ,30,0)</f>
        <v>#N/A</v>
      </c>
      <c r="BA21" s="115" t="e">
        <f>VLOOKUP($A21,'S49'!$C:$BQ,52,0)</f>
        <v>#N/A</v>
      </c>
      <c r="BB21" s="115" t="e">
        <f>VLOOKUP($A21,'S49'!$C:$BQ,59,0)</f>
        <v>#N/A</v>
      </c>
      <c r="BC21" s="115" t="e">
        <f>VLOOKUP($A21,'S49'!$C:$BQ,60,0)</f>
        <v>#N/A</v>
      </c>
      <c r="BD21" s="107" t="e">
        <f>VLOOKUP($A21,'S50'!$C:$BQ,32,0)</f>
        <v>#N/A</v>
      </c>
      <c r="BE21" s="107" t="e">
        <f>VLOOKUP($A21,'S50'!$C:$BQ,39,0)</f>
        <v>#N/A</v>
      </c>
      <c r="BF21" s="107" t="e">
        <f>VLOOKUP($A21,'S50'!$C:$BQ,40,0)</f>
        <v>#N/A</v>
      </c>
      <c r="BG21" s="107" t="e">
        <f>VLOOKUP($A21,'S50'!$C:$BQ,22,0)</f>
        <v>#N/A</v>
      </c>
      <c r="BH21" s="115" t="e">
        <f>VLOOKUP($A21,'S50'!$C:$BQ,29,0)</f>
        <v>#N/A</v>
      </c>
      <c r="BI21" s="115" t="e">
        <f>VLOOKUP($A21,'S50'!$C:$BQ,30,0)</f>
        <v>#N/A</v>
      </c>
      <c r="BJ21" s="115" t="e">
        <f>VLOOKUP($A21,'S50'!$C:$BQ,52,0)</f>
        <v>#N/A</v>
      </c>
      <c r="BK21" s="115" t="e">
        <f>VLOOKUP($A21,'S50'!$C:$BQ,59,0)</f>
        <v>#N/A</v>
      </c>
      <c r="BL21" s="115" t="e">
        <f>VLOOKUP($A21,'S50'!$C:$BQ,60,0)</f>
        <v>#N/A</v>
      </c>
    </row>
    <row r="22" spans="1:64" x14ac:dyDescent="0.2">
      <c r="A22" s="106" t="s">
        <v>75</v>
      </c>
      <c r="B22" s="107">
        <f>VLOOKUP($A22,'S0 remplacer avec S44'!$C:$BQ,32,0)</f>
        <v>128.35</v>
      </c>
      <c r="C22" s="107">
        <f>VLOOKUP($A22,'S0 remplacer avec S44'!$C:$BQ,39,0)</f>
        <v>138</v>
      </c>
      <c r="D22" s="107">
        <f>VLOOKUP($A22,'S0 remplacer avec S44'!$C:$BQ,40,0)</f>
        <v>191</v>
      </c>
      <c r="E22" s="107">
        <f>VLOOKUP($A22,'S0 remplacer avec S44'!$C:$BQ,22,0)</f>
        <v>1793.54215</v>
      </c>
      <c r="F22" s="115">
        <f>VLOOKUP($A22,'S0 remplacer avec S44'!$C:$BQ,29,0)</f>
        <v>626</v>
      </c>
      <c r="G22" s="115">
        <f>VLOOKUP($A22,'S0 remplacer avec S44'!$C:$BQ,30,0)</f>
        <v>1110</v>
      </c>
      <c r="H22" s="115">
        <f>VLOOKUP($A22,'S0 remplacer avec S44'!$C:$BQ,52,0)</f>
        <v>156.4</v>
      </c>
      <c r="I22" s="115">
        <f>VLOOKUP($A22,'S0 remplacer avec S44'!$C:$BQ,59,0)</f>
        <v>0</v>
      </c>
      <c r="J22" s="115">
        <f>VLOOKUP($A22,'S0 remplacer avec S44'!$C:$BQ,60,0)</f>
        <v>6</v>
      </c>
      <c r="K22" s="107" t="e">
        <f>VLOOKUP($A22,'S45'!$C:$BQ,32,0)</f>
        <v>#N/A</v>
      </c>
      <c r="L22" s="107" t="e">
        <f>VLOOKUP($A22,'S45'!$C:$BQ,39,0)</f>
        <v>#N/A</v>
      </c>
      <c r="M22" s="107" t="e">
        <f>VLOOKUP($A22,'S45'!$C:$BQ,40,0)</f>
        <v>#N/A</v>
      </c>
      <c r="N22" s="107" t="e">
        <f>VLOOKUP($A22,'S45'!$C:$BQ,22,0)</f>
        <v>#N/A</v>
      </c>
      <c r="O22" s="115" t="e">
        <f>VLOOKUP($A22,'S45'!$C:$BQ,29,0)</f>
        <v>#N/A</v>
      </c>
      <c r="P22" s="115" t="e">
        <f>VLOOKUP($A22,'S45'!$C:$BQ,30,0)</f>
        <v>#N/A</v>
      </c>
      <c r="Q22" s="115" t="e">
        <f>VLOOKUP($A22,'S45'!$C:$BQ,52,0)</f>
        <v>#N/A</v>
      </c>
      <c r="R22" s="115" t="e">
        <f>VLOOKUP($A22,'S45'!$C:$BQ,59,0)</f>
        <v>#N/A</v>
      </c>
      <c r="S22" s="115" t="e">
        <f>VLOOKUP($A22,'S45'!$C:$BQ,60,0)</f>
        <v>#N/A</v>
      </c>
      <c r="T22" s="107" t="e">
        <f>VLOOKUP($A22,'S46'!$C:$BQ,32,0)</f>
        <v>#N/A</v>
      </c>
      <c r="U22" s="107" t="e">
        <f>VLOOKUP($A22,'S46'!$C:$BQ,39,0)</f>
        <v>#N/A</v>
      </c>
      <c r="V22" s="107" t="e">
        <f>VLOOKUP($A22,'S46'!$C:$BQ,40,0)</f>
        <v>#N/A</v>
      </c>
      <c r="W22" s="107" t="e">
        <f>VLOOKUP($A22,'S46'!$C:$BQ,22,0)</f>
        <v>#N/A</v>
      </c>
      <c r="X22" s="115" t="e">
        <f>VLOOKUP($A22,'S46'!$C:$BQ,29,0)</f>
        <v>#N/A</v>
      </c>
      <c r="Y22" s="115" t="e">
        <f>VLOOKUP($A22,'S46'!$C:$BQ,30,0)</f>
        <v>#N/A</v>
      </c>
      <c r="Z22" s="115" t="e">
        <f>VLOOKUP($A22,'S46'!$C:$BQ,52,0)</f>
        <v>#N/A</v>
      </c>
      <c r="AA22" s="115" t="e">
        <f>VLOOKUP($A22,'S46'!$C:$BQ,59,0)</f>
        <v>#N/A</v>
      </c>
      <c r="AB22" s="115" t="e">
        <f>VLOOKUP($A22,'S46'!$C:$BQ,60,0)</f>
        <v>#N/A</v>
      </c>
      <c r="AC22" s="107" t="e">
        <f>VLOOKUP($A22,'S47'!$C:$BQ,32,0)</f>
        <v>#N/A</v>
      </c>
      <c r="AD22" s="107" t="e">
        <f>VLOOKUP($A22,'S47'!$C:$BQ,39,0)</f>
        <v>#N/A</v>
      </c>
      <c r="AE22" s="107" t="e">
        <f>VLOOKUP($A22,'S47'!$C:$BQ,40,0)</f>
        <v>#N/A</v>
      </c>
      <c r="AF22" s="107" t="e">
        <f>VLOOKUP($A22,'S47'!$C:$BQ,22,0)</f>
        <v>#N/A</v>
      </c>
      <c r="AG22" s="115" t="e">
        <f>VLOOKUP($A22,'S47'!$C:$BQ,29,0)</f>
        <v>#N/A</v>
      </c>
      <c r="AH22" s="115" t="e">
        <f>VLOOKUP($A22,'S47'!$C:$BQ,30,0)</f>
        <v>#N/A</v>
      </c>
      <c r="AI22" s="115" t="e">
        <f>VLOOKUP($A22,'S47'!$C:$BQ,52,0)</f>
        <v>#N/A</v>
      </c>
      <c r="AJ22" s="115" t="e">
        <f>VLOOKUP($A22,'S47'!$C:$BQ,59,0)</f>
        <v>#N/A</v>
      </c>
      <c r="AK22" s="115" t="e">
        <f>VLOOKUP($A22,'S47'!$C:$BQ,60,0)</f>
        <v>#N/A</v>
      </c>
      <c r="AL22" s="107" t="e">
        <f>VLOOKUP($A22,'S48'!$C:$BQ,32,0)</f>
        <v>#N/A</v>
      </c>
      <c r="AM22" s="107" t="e">
        <f>VLOOKUP($A22,'S48'!$C:$BQ,39,0)</f>
        <v>#N/A</v>
      </c>
      <c r="AN22" s="107" t="e">
        <f>VLOOKUP($A22,'S48'!$C:$BQ,40,0)</f>
        <v>#N/A</v>
      </c>
      <c r="AO22" s="107" t="e">
        <f>VLOOKUP($A22,'S48'!$C:$BQ,22,0)</f>
        <v>#N/A</v>
      </c>
      <c r="AP22" s="115" t="e">
        <f>VLOOKUP($A22,'S48'!$C:$BQ,29,0)</f>
        <v>#N/A</v>
      </c>
      <c r="AQ22" s="115" t="e">
        <f>VLOOKUP($A22,'S48'!$C:$BQ,30,0)</f>
        <v>#N/A</v>
      </c>
      <c r="AR22" s="115" t="e">
        <f>VLOOKUP($A22,'S48'!$C:$BQ,52,0)</f>
        <v>#N/A</v>
      </c>
      <c r="AS22" s="115" t="e">
        <f>VLOOKUP($A22,'S48'!$C:$BQ,59,0)</f>
        <v>#N/A</v>
      </c>
      <c r="AT22" s="115" t="e">
        <f>VLOOKUP($A22,'S48'!$C:$BQ,60,0)</f>
        <v>#N/A</v>
      </c>
      <c r="AU22" s="107" t="e">
        <f>VLOOKUP($A22,'S49'!$C:$BQ,32,0)</f>
        <v>#N/A</v>
      </c>
      <c r="AV22" s="107" t="e">
        <f>VLOOKUP($A22,'S49'!$C:$BQ,39,0)</f>
        <v>#N/A</v>
      </c>
      <c r="AW22" s="107" t="e">
        <f>VLOOKUP($A22,'S49'!$C:$BQ,40,0)</f>
        <v>#N/A</v>
      </c>
      <c r="AX22" s="107" t="e">
        <f>VLOOKUP($A22,'S49'!$C:$BQ,22,0)</f>
        <v>#N/A</v>
      </c>
      <c r="AY22" s="115" t="e">
        <f>VLOOKUP($A22,'S49'!$C:$BQ,29,0)</f>
        <v>#N/A</v>
      </c>
      <c r="AZ22" s="115" t="e">
        <f>VLOOKUP($A22,'S49'!$C:$BQ,30,0)</f>
        <v>#N/A</v>
      </c>
      <c r="BA22" s="115" t="e">
        <f>VLOOKUP($A22,'S49'!$C:$BQ,52,0)</f>
        <v>#N/A</v>
      </c>
      <c r="BB22" s="115" t="e">
        <f>VLOOKUP($A22,'S49'!$C:$BQ,59,0)</f>
        <v>#N/A</v>
      </c>
      <c r="BC22" s="115" t="e">
        <f>VLOOKUP($A22,'S49'!$C:$BQ,60,0)</f>
        <v>#N/A</v>
      </c>
      <c r="BD22" s="107" t="e">
        <f>VLOOKUP($A22,'S50'!$C:$BQ,32,0)</f>
        <v>#N/A</v>
      </c>
      <c r="BE22" s="107" t="e">
        <f>VLOOKUP($A22,'S50'!$C:$BQ,39,0)</f>
        <v>#N/A</v>
      </c>
      <c r="BF22" s="107" t="e">
        <f>VLOOKUP($A22,'S50'!$C:$BQ,40,0)</f>
        <v>#N/A</v>
      </c>
      <c r="BG22" s="107" t="e">
        <f>VLOOKUP($A22,'S50'!$C:$BQ,22,0)</f>
        <v>#N/A</v>
      </c>
      <c r="BH22" s="115" t="e">
        <f>VLOOKUP($A22,'S50'!$C:$BQ,29,0)</f>
        <v>#N/A</v>
      </c>
      <c r="BI22" s="115" t="e">
        <f>VLOOKUP($A22,'S50'!$C:$BQ,30,0)</f>
        <v>#N/A</v>
      </c>
      <c r="BJ22" s="115" t="e">
        <f>VLOOKUP($A22,'S50'!$C:$BQ,52,0)</f>
        <v>#N/A</v>
      </c>
      <c r="BK22" s="115" t="e">
        <f>VLOOKUP($A22,'S50'!$C:$BQ,59,0)</f>
        <v>#N/A</v>
      </c>
      <c r="BL22" s="115" t="e">
        <f>VLOOKUP($A22,'S50'!$C:$BQ,60,0)</f>
        <v>#N/A</v>
      </c>
    </row>
    <row r="23" spans="1:64" x14ac:dyDescent="0.2">
      <c r="A23" s="106" t="s">
        <v>76</v>
      </c>
      <c r="B23" s="107">
        <f>VLOOKUP($A23,'S0 remplacer avec S44'!$C:$BQ,32,0)</f>
        <v>159.9</v>
      </c>
      <c r="C23" s="107">
        <f>VLOOKUP($A23,'S0 remplacer avec S44'!$C:$BQ,39,0)</f>
        <v>45</v>
      </c>
      <c r="D23" s="107">
        <f>VLOOKUP($A23,'S0 remplacer avec S44'!$C:$BQ,40,0)</f>
        <v>86</v>
      </c>
      <c r="E23" s="107">
        <f>VLOOKUP($A23,'S0 remplacer avec S44'!$C:$BQ,22,0)</f>
        <v>1708.3829900000001</v>
      </c>
      <c r="F23" s="115">
        <f>VLOOKUP($A23,'S0 remplacer avec S44'!$C:$BQ,29,0)</f>
        <v>152</v>
      </c>
      <c r="G23" s="115">
        <f>VLOOKUP($A23,'S0 remplacer avec S44'!$C:$BQ,30,0)</f>
        <v>524</v>
      </c>
      <c r="H23" s="115">
        <f>VLOOKUP($A23,'S0 remplacer avec S44'!$C:$BQ,52,0)</f>
        <v>143.6</v>
      </c>
      <c r="I23" s="115">
        <f>VLOOKUP($A23,'S0 remplacer avec S44'!$C:$BQ,59,0)</f>
        <v>0</v>
      </c>
      <c r="J23" s="115">
        <f>VLOOKUP($A23,'S0 remplacer avec S44'!$C:$BQ,60,0)</f>
        <v>0</v>
      </c>
      <c r="K23" s="107" t="e">
        <f>VLOOKUP($A23,'S45'!$C:$BQ,32,0)</f>
        <v>#N/A</v>
      </c>
      <c r="L23" s="107" t="e">
        <f>VLOOKUP($A23,'S45'!$C:$BQ,39,0)</f>
        <v>#N/A</v>
      </c>
      <c r="M23" s="107" t="e">
        <f>VLOOKUP($A23,'S45'!$C:$BQ,40,0)</f>
        <v>#N/A</v>
      </c>
      <c r="N23" s="107" t="e">
        <f>VLOOKUP($A23,'S45'!$C:$BQ,22,0)</f>
        <v>#N/A</v>
      </c>
      <c r="O23" s="115" t="e">
        <f>VLOOKUP($A23,'S45'!$C:$BQ,29,0)</f>
        <v>#N/A</v>
      </c>
      <c r="P23" s="115" t="e">
        <f>VLOOKUP($A23,'S45'!$C:$BQ,30,0)</f>
        <v>#N/A</v>
      </c>
      <c r="Q23" s="115" t="e">
        <f>VLOOKUP($A23,'S45'!$C:$BQ,52,0)</f>
        <v>#N/A</v>
      </c>
      <c r="R23" s="115" t="e">
        <f>VLOOKUP($A23,'S45'!$C:$BQ,59,0)</f>
        <v>#N/A</v>
      </c>
      <c r="S23" s="115" t="e">
        <f>VLOOKUP($A23,'S45'!$C:$BQ,60,0)</f>
        <v>#N/A</v>
      </c>
      <c r="T23" s="107" t="e">
        <f>VLOOKUP($A23,'S46'!$C:$BQ,32,0)</f>
        <v>#N/A</v>
      </c>
      <c r="U23" s="107" t="e">
        <f>VLOOKUP($A23,'S46'!$C:$BQ,39,0)</f>
        <v>#N/A</v>
      </c>
      <c r="V23" s="107" t="e">
        <f>VLOOKUP($A23,'S46'!$C:$BQ,40,0)</f>
        <v>#N/A</v>
      </c>
      <c r="W23" s="107" t="e">
        <f>VLOOKUP($A23,'S46'!$C:$BQ,22,0)</f>
        <v>#N/A</v>
      </c>
      <c r="X23" s="115" t="e">
        <f>VLOOKUP($A23,'S46'!$C:$BQ,29,0)</f>
        <v>#N/A</v>
      </c>
      <c r="Y23" s="115" t="e">
        <f>VLOOKUP($A23,'S46'!$C:$BQ,30,0)</f>
        <v>#N/A</v>
      </c>
      <c r="Z23" s="115" t="e">
        <f>VLOOKUP($A23,'S46'!$C:$BQ,52,0)</f>
        <v>#N/A</v>
      </c>
      <c r="AA23" s="115" t="e">
        <f>VLOOKUP($A23,'S46'!$C:$BQ,59,0)</f>
        <v>#N/A</v>
      </c>
      <c r="AB23" s="115" t="e">
        <f>VLOOKUP($A23,'S46'!$C:$BQ,60,0)</f>
        <v>#N/A</v>
      </c>
      <c r="AC23" s="107" t="e">
        <f>VLOOKUP($A23,'S47'!$C:$BQ,32,0)</f>
        <v>#N/A</v>
      </c>
      <c r="AD23" s="107" t="e">
        <f>VLOOKUP($A23,'S47'!$C:$BQ,39,0)</f>
        <v>#N/A</v>
      </c>
      <c r="AE23" s="107" t="e">
        <f>VLOOKUP($A23,'S47'!$C:$BQ,40,0)</f>
        <v>#N/A</v>
      </c>
      <c r="AF23" s="107" t="e">
        <f>VLOOKUP($A23,'S47'!$C:$BQ,22,0)</f>
        <v>#N/A</v>
      </c>
      <c r="AG23" s="115" t="e">
        <f>VLOOKUP($A23,'S47'!$C:$BQ,29,0)</f>
        <v>#N/A</v>
      </c>
      <c r="AH23" s="115" t="e">
        <f>VLOOKUP($A23,'S47'!$C:$BQ,30,0)</f>
        <v>#N/A</v>
      </c>
      <c r="AI23" s="115" t="e">
        <f>VLOOKUP($A23,'S47'!$C:$BQ,52,0)</f>
        <v>#N/A</v>
      </c>
      <c r="AJ23" s="115" t="e">
        <f>VLOOKUP($A23,'S47'!$C:$BQ,59,0)</f>
        <v>#N/A</v>
      </c>
      <c r="AK23" s="115" t="e">
        <f>VLOOKUP($A23,'S47'!$C:$BQ,60,0)</f>
        <v>#N/A</v>
      </c>
      <c r="AL23" s="107" t="e">
        <f>VLOOKUP($A23,'S48'!$C:$BQ,32,0)</f>
        <v>#N/A</v>
      </c>
      <c r="AM23" s="107" t="e">
        <f>VLOOKUP($A23,'S48'!$C:$BQ,39,0)</f>
        <v>#N/A</v>
      </c>
      <c r="AN23" s="107" t="e">
        <f>VLOOKUP($A23,'S48'!$C:$BQ,40,0)</f>
        <v>#N/A</v>
      </c>
      <c r="AO23" s="107" t="e">
        <f>VLOOKUP($A23,'S48'!$C:$BQ,22,0)</f>
        <v>#N/A</v>
      </c>
      <c r="AP23" s="115" t="e">
        <f>VLOOKUP($A23,'S48'!$C:$BQ,29,0)</f>
        <v>#N/A</v>
      </c>
      <c r="AQ23" s="115" t="e">
        <f>VLOOKUP($A23,'S48'!$C:$BQ,30,0)</f>
        <v>#N/A</v>
      </c>
      <c r="AR23" s="115" t="e">
        <f>VLOOKUP($A23,'S48'!$C:$BQ,52,0)</f>
        <v>#N/A</v>
      </c>
      <c r="AS23" s="115" t="e">
        <f>VLOOKUP($A23,'S48'!$C:$BQ,59,0)</f>
        <v>#N/A</v>
      </c>
      <c r="AT23" s="115" t="e">
        <f>VLOOKUP($A23,'S48'!$C:$BQ,60,0)</f>
        <v>#N/A</v>
      </c>
      <c r="AU23" s="107" t="e">
        <f>VLOOKUP($A23,'S49'!$C:$BQ,32,0)</f>
        <v>#N/A</v>
      </c>
      <c r="AV23" s="107" t="e">
        <f>VLOOKUP($A23,'S49'!$C:$BQ,39,0)</f>
        <v>#N/A</v>
      </c>
      <c r="AW23" s="107" t="e">
        <f>VLOOKUP($A23,'S49'!$C:$BQ,40,0)</f>
        <v>#N/A</v>
      </c>
      <c r="AX23" s="107" t="e">
        <f>VLOOKUP($A23,'S49'!$C:$BQ,22,0)</f>
        <v>#N/A</v>
      </c>
      <c r="AY23" s="115" t="e">
        <f>VLOOKUP($A23,'S49'!$C:$BQ,29,0)</f>
        <v>#N/A</v>
      </c>
      <c r="AZ23" s="115" t="e">
        <f>VLOOKUP($A23,'S49'!$C:$BQ,30,0)</f>
        <v>#N/A</v>
      </c>
      <c r="BA23" s="115" t="e">
        <f>VLOOKUP($A23,'S49'!$C:$BQ,52,0)</f>
        <v>#N/A</v>
      </c>
      <c r="BB23" s="115" t="e">
        <f>VLOOKUP($A23,'S49'!$C:$BQ,59,0)</f>
        <v>#N/A</v>
      </c>
      <c r="BC23" s="115" t="e">
        <f>VLOOKUP($A23,'S49'!$C:$BQ,60,0)</f>
        <v>#N/A</v>
      </c>
      <c r="BD23" s="107" t="e">
        <f>VLOOKUP($A23,'S50'!$C:$BQ,32,0)</f>
        <v>#N/A</v>
      </c>
      <c r="BE23" s="107" t="e">
        <f>VLOOKUP($A23,'S50'!$C:$BQ,39,0)</f>
        <v>#N/A</v>
      </c>
      <c r="BF23" s="107" t="e">
        <f>VLOOKUP($A23,'S50'!$C:$BQ,40,0)</f>
        <v>#N/A</v>
      </c>
      <c r="BG23" s="107" t="e">
        <f>VLOOKUP($A23,'S50'!$C:$BQ,22,0)</f>
        <v>#N/A</v>
      </c>
      <c r="BH23" s="115" t="e">
        <f>VLOOKUP($A23,'S50'!$C:$BQ,29,0)</f>
        <v>#N/A</v>
      </c>
      <c r="BI23" s="115" t="e">
        <f>VLOOKUP($A23,'S50'!$C:$BQ,30,0)</f>
        <v>#N/A</v>
      </c>
      <c r="BJ23" s="115" t="e">
        <f>VLOOKUP($A23,'S50'!$C:$BQ,52,0)</f>
        <v>#N/A</v>
      </c>
      <c r="BK23" s="115" t="e">
        <f>VLOOKUP($A23,'S50'!$C:$BQ,59,0)</f>
        <v>#N/A</v>
      </c>
      <c r="BL23" s="115" t="e">
        <f>VLOOKUP($A23,'S50'!$C:$BQ,60,0)</f>
        <v>#N/A</v>
      </c>
    </row>
    <row r="24" spans="1:64" x14ac:dyDescent="0.2">
      <c r="A24" s="106" t="s">
        <v>77</v>
      </c>
      <c r="B24" s="107">
        <f>VLOOKUP($A24,'S0 remplacer avec S44'!$C:$BQ,32,0)</f>
        <v>138.55000000000001</v>
      </c>
      <c r="C24" s="107">
        <f>VLOOKUP($A24,'S0 remplacer avec S44'!$C:$BQ,39,0)</f>
        <v>25</v>
      </c>
      <c r="D24" s="107">
        <f>VLOOKUP($A24,'S0 remplacer avec S44'!$C:$BQ,40,0)</f>
        <v>57</v>
      </c>
      <c r="E24" s="107">
        <f>VLOOKUP($A24,'S0 remplacer avec S44'!$C:$BQ,22,0)</f>
        <v>1243.029685</v>
      </c>
      <c r="F24" s="115">
        <f>VLOOKUP($A24,'S0 remplacer avec S44'!$C:$BQ,29,0)</f>
        <v>236</v>
      </c>
      <c r="G24" s="115">
        <f>VLOOKUP($A24,'S0 remplacer avec S44'!$C:$BQ,30,0)</f>
        <v>532</v>
      </c>
      <c r="H24" s="115">
        <f>VLOOKUP($A24,'S0 remplacer avec S44'!$C:$BQ,52,0)</f>
        <v>88.4</v>
      </c>
      <c r="I24" s="115">
        <f>VLOOKUP($A24,'S0 remplacer avec S44'!$C:$BQ,59,0)</f>
        <v>0</v>
      </c>
      <c r="J24" s="115">
        <f>VLOOKUP($A24,'S0 remplacer avec S44'!$C:$BQ,60,0)</f>
        <v>11</v>
      </c>
      <c r="K24" s="107" t="e">
        <f>VLOOKUP($A24,'S45'!$C:$BQ,32,0)</f>
        <v>#N/A</v>
      </c>
      <c r="L24" s="107" t="e">
        <f>VLOOKUP($A24,'S45'!$C:$BQ,39,0)</f>
        <v>#N/A</v>
      </c>
      <c r="M24" s="107" t="e">
        <f>VLOOKUP($A24,'S45'!$C:$BQ,40,0)</f>
        <v>#N/A</v>
      </c>
      <c r="N24" s="107" t="e">
        <f>VLOOKUP($A24,'S45'!$C:$BQ,22,0)</f>
        <v>#N/A</v>
      </c>
      <c r="O24" s="115" t="e">
        <f>VLOOKUP($A24,'S45'!$C:$BQ,29,0)</f>
        <v>#N/A</v>
      </c>
      <c r="P24" s="115" t="e">
        <f>VLOOKUP($A24,'S45'!$C:$BQ,30,0)</f>
        <v>#N/A</v>
      </c>
      <c r="Q24" s="115" t="e">
        <f>VLOOKUP($A24,'S45'!$C:$BQ,52,0)</f>
        <v>#N/A</v>
      </c>
      <c r="R24" s="115" t="e">
        <f>VLOOKUP($A24,'S45'!$C:$BQ,59,0)</f>
        <v>#N/A</v>
      </c>
      <c r="S24" s="115" t="e">
        <f>VLOOKUP($A24,'S45'!$C:$BQ,60,0)</f>
        <v>#N/A</v>
      </c>
      <c r="T24" s="107" t="e">
        <f>VLOOKUP($A24,'S46'!$C:$BQ,32,0)</f>
        <v>#N/A</v>
      </c>
      <c r="U24" s="107" t="e">
        <f>VLOOKUP($A24,'S46'!$C:$BQ,39,0)</f>
        <v>#N/A</v>
      </c>
      <c r="V24" s="107" t="e">
        <f>VLOOKUP($A24,'S46'!$C:$BQ,40,0)</f>
        <v>#N/A</v>
      </c>
      <c r="W24" s="107" t="e">
        <f>VLOOKUP($A24,'S46'!$C:$BQ,22,0)</f>
        <v>#N/A</v>
      </c>
      <c r="X24" s="115" t="e">
        <f>VLOOKUP($A24,'S46'!$C:$BQ,29,0)</f>
        <v>#N/A</v>
      </c>
      <c r="Y24" s="115" t="e">
        <f>VLOOKUP($A24,'S46'!$C:$BQ,30,0)</f>
        <v>#N/A</v>
      </c>
      <c r="Z24" s="115" t="e">
        <f>VLOOKUP($A24,'S46'!$C:$BQ,52,0)</f>
        <v>#N/A</v>
      </c>
      <c r="AA24" s="115" t="e">
        <f>VLOOKUP($A24,'S46'!$C:$BQ,59,0)</f>
        <v>#N/A</v>
      </c>
      <c r="AB24" s="115" t="e">
        <f>VLOOKUP($A24,'S46'!$C:$BQ,60,0)</f>
        <v>#N/A</v>
      </c>
      <c r="AC24" s="107" t="e">
        <f>VLOOKUP($A24,'S47'!$C:$BQ,32,0)</f>
        <v>#N/A</v>
      </c>
      <c r="AD24" s="107" t="e">
        <f>VLOOKUP($A24,'S47'!$C:$BQ,39,0)</f>
        <v>#N/A</v>
      </c>
      <c r="AE24" s="107" t="e">
        <f>VLOOKUP($A24,'S47'!$C:$BQ,40,0)</f>
        <v>#N/A</v>
      </c>
      <c r="AF24" s="107" t="e">
        <f>VLOOKUP($A24,'S47'!$C:$BQ,22,0)</f>
        <v>#N/A</v>
      </c>
      <c r="AG24" s="115" t="e">
        <f>VLOOKUP($A24,'S47'!$C:$BQ,29,0)</f>
        <v>#N/A</v>
      </c>
      <c r="AH24" s="115" t="e">
        <f>VLOOKUP($A24,'S47'!$C:$BQ,30,0)</f>
        <v>#N/A</v>
      </c>
      <c r="AI24" s="115" t="e">
        <f>VLOOKUP($A24,'S47'!$C:$BQ,52,0)</f>
        <v>#N/A</v>
      </c>
      <c r="AJ24" s="115" t="e">
        <f>VLOOKUP($A24,'S47'!$C:$BQ,59,0)</f>
        <v>#N/A</v>
      </c>
      <c r="AK24" s="115" t="e">
        <f>VLOOKUP($A24,'S47'!$C:$BQ,60,0)</f>
        <v>#N/A</v>
      </c>
      <c r="AL24" s="107" t="e">
        <f>VLOOKUP($A24,'S48'!$C:$BQ,32,0)</f>
        <v>#N/A</v>
      </c>
      <c r="AM24" s="107" t="e">
        <f>VLOOKUP($A24,'S48'!$C:$BQ,39,0)</f>
        <v>#N/A</v>
      </c>
      <c r="AN24" s="107" t="e">
        <f>VLOOKUP($A24,'S48'!$C:$BQ,40,0)</f>
        <v>#N/A</v>
      </c>
      <c r="AO24" s="107" t="e">
        <f>VLOOKUP($A24,'S48'!$C:$BQ,22,0)</f>
        <v>#N/A</v>
      </c>
      <c r="AP24" s="115" t="e">
        <f>VLOOKUP($A24,'S48'!$C:$BQ,29,0)</f>
        <v>#N/A</v>
      </c>
      <c r="AQ24" s="115" t="e">
        <f>VLOOKUP($A24,'S48'!$C:$BQ,30,0)</f>
        <v>#N/A</v>
      </c>
      <c r="AR24" s="115" t="e">
        <f>VLOOKUP($A24,'S48'!$C:$BQ,52,0)</f>
        <v>#N/A</v>
      </c>
      <c r="AS24" s="115" t="e">
        <f>VLOOKUP($A24,'S48'!$C:$BQ,59,0)</f>
        <v>#N/A</v>
      </c>
      <c r="AT24" s="115" t="e">
        <f>VLOOKUP($A24,'S48'!$C:$BQ,60,0)</f>
        <v>#N/A</v>
      </c>
      <c r="AU24" s="107" t="e">
        <f>VLOOKUP($A24,'S49'!$C:$BQ,32,0)</f>
        <v>#N/A</v>
      </c>
      <c r="AV24" s="107" t="e">
        <f>VLOOKUP($A24,'S49'!$C:$BQ,39,0)</f>
        <v>#N/A</v>
      </c>
      <c r="AW24" s="107" t="e">
        <f>VLOOKUP($A24,'S49'!$C:$BQ,40,0)</f>
        <v>#N/A</v>
      </c>
      <c r="AX24" s="107" t="e">
        <f>VLOOKUP($A24,'S49'!$C:$BQ,22,0)</f>
        <v>#N/A</v>
      </c>
      <c r="AY24" s="115" t="e">
        <f>VLOOKUP($A24,'S49'!$C:$BQ,29,0)</f>
        <v>#N/A</v>
      </c>
      <c r="AZ24" s="115" t="e">
        <f>VLOOKUP($A24,'S49'!$C:$BQ,30,0)</f>
        <v>#N/A</v>
      </c>
      <c r="BA24" s="115" t="e">
        <f>VLOOKUP($A24,'S49'!$C:$BQ,52,0)</f>
        <v>#N/A</v>
      </c>
      <c r="BB24" s="115" t="e">
        <f>VLOOKUP($A24,'S49'!$C:$BQ,59,0)</f>
        <v>#N/A</v>
      </c>
      <c r="BC24" s="115" t="e">
        <f>VLOOKUP($A24,'S49'!$C:$BQ,60,0)</f>
        <v>#N/A</v>
      </c>
      <c r="BD24" s="107" t="e">
        <f>VLOOKUP($A24,'S50'!$C:$BQ,32,0)</f>
        <v>#N/A</v>
      </c>
      <c r="BE24" s="107" t="e">
        <f>VLOOKUP($A24,'S50'!$C:$BQ,39,0)</f>
        <v>#N/A</v>
      </c>
      <c r="BF24" s="107" t="e">
        <f>VLOOKUP($A24,'S50'!$C:$BQ,40,0)</f>
        <v>#N/A</v>
      </c>
      <c r="BG24" s="107" t="e">
        <f>VLOOKUP($A24,'S50'!$C:$BQ,22,0)</f>
        <v>#N/A</v>
      </c>
      <c r="BH24" s="115" t="e">
        <f>VLOOKUP($A24,'S50'!$C:$BQ,29,0)</f>
        <v>#N/A</v>
      </c>
      <c r="BI24" s="115" t="e">
        <f>VLOOKUP($A24,'S50'!$C:$BQ,30,0)</f>
        <v>#N/A</v>
      </c>
      <c r="BJ24" s="115" t="e">
        <f>VLOOKUP($A24,'S50'!$C:$BQ,52,0)</f>
        <v>#N/A</v>
      </c>
      <c r="BK24" s="115" t="e">
        <f>VLOOKUP($A24,'S50'!$C:$BQ,59,0)</f>
        <v>#N/A</v>
      </c>
      <c r="BL24" s="115" t="e">
        <f>VLOOKUP($A24,'S50'!$C:$BQ,60,0)</f>
        <v>#N/A</v>
      </c>
    </row>
    <row r="25" spans="1:64" x14ac:dyDescent="0.2">
      <c r="A25" s="106" t="s">
        <v>78</v>
      </c>
      <c r="B25" s="107">
        <f>VLOOKUP($A25,'S0 remplacer avec S44'!$C:$BQ,32,0)</f>
        <v>387.2</v>
      </c>
      <c r="C25" s="107">
        <f>VLOOKUP($A25,'S0 remplacer avec S44'!$C:$BQ,39,0)</f>
        <v>224</v>
      </c>
      <c r="D25" s="107">
        <f>VLOOKUP($A25,'S0 remplacer avec S44'!$C:$BQ,40,0)</f>
        <v>346</v>
      </c>
      <c r="E25" s="107">
        <f>VLOOKUP($A25,'S0 remplacer avec S44'!$C:$BQ,22,0)</f>
        <v>6794.03593</v>
      </c>
      <c r="F25" s="115">
        <f>VLOOKUP($A25,'S0 remplacer avec S44'!$C:$BQ,29,0)</f>
        <v>0</v>
      </c>
      <c r="G25" s="115">
        <f>VLOOKUP($A25,'S0 remplacer avec S44'!$C:$BQ,30,0)</f>
        <v>0</v>
      </c>
      <c r="H25" s="115">
        <f>VLOOKUP($A25,'S0 remplacer avec S44'!$C:$BQ,52,0)</f>
        <v>431.8</v>
      </c>
      <c r="I25" s="115">
        <f>VLOOKUP($A25,'S0 remplacer avec S44'!$C:$BQ,59,0)</f>
        <v>0</v>
      </c>
      <c r="J25" s="115">
        <f>VLOOKUP($A25,'S0 remplacer avec S44'!$C:$BQ,60,0)</f>
        <v>0</v>
      </c>
      <c r="K25" s="107" t="e">
        <f>VLOOKUP($A25,'S45'!$C:$BQ,32,0)</f>
        <v>#N/A</v>
      </c>
      <c r="L25" s="107" t="e">
        <f>VLOOKUP($A25,'S45'!$C:$BQ,39,0)</f>
        <v>#N/A</v>
      </c>
      <c r="M25" s="107" t="e">
        <f>VLOOKUP($A25,'S45'!$C:$BQ,40,0)</f>
        <v>#N/A</v>
      </c>
      <c r="N25" s="107" t="e">
        <f>VLOOKUP($A25,'S45'!$C:$BQ,22,0)</f>
        <v>#N/A</v>
      </c>
      <c r="O25" s="115" t="e">
        <f>VLOOKUP($A25,'S45'!$C:$BQ,29,0)</f>
        <v>#N/A</v>
      </c>
      <c r="P25" s="115" t="e">
        <f>VLOOKUP($A25,'S45'!$C:$BQ,30,0)</f>
        <v>#N/A</v>
      </c>
      <c r="Q25" s="115" t="e">
        <f>VLOOKUP($A25,'S45'!$C:$BQ,52,0)</f>
        <v>#N/A</v>
      </c>
      <c r="R25" s="115" t="e">
        <f>VLOOKUP($A25,'S45'!$C:$BQ,59,0)</f>
        <v>#N/A</v>
      </c>
      <c r="S25" s="115" t="e">
        <f>VLOOKUP($A25,'S45'!$C:$BQ,60,0)</f>
        <v>#N/A</v>
      </c>
      <c r="T25" s="107" t="e">
        <f>VLOOKUP($A25,'S46'!$C:$BQ,32,0)</f>
        <v>#N/A</v>
      </c>
      <c r="U25" s="107" t="e">
        <f>VLOOKUP($A25,'S46'!$C:$BQ,39,0)</f>
        <v>#N/A</v>
      </c>
      <c r="V25" s="107" t="e">
        <f>VLOOKUP($A25,'S46'!$C:$BQ,40,0)</f>
        <v>#N/A</v>
      </c>
      <c r="W25" s="107" t="e">
        <f>VLOOKUP($A25,'S46'!$C:$BQ,22,0)</f>
        <v>#N/A</v>
      </c>
      <c r="X25" s="115" t="e">
        <f>VLOOKUP($A25,'S46'!$C:$BQ,29,0)</f>
        <v>#N/A</v>
      </c>
      <c r="Y25" s="115" t="e">
        <f>VLOOKUP($A25,'S46'!$C:$BQ,30,0)</f>
        <v>#N/A</v>
      </c>
      <c r="Z25" s="115" t="e">
        <f>VLOOKUP($A25,'S46'!$C:$BQ,52,0)</f>
        <v>#N/A</v>
      </c>
      <c r="AA25" s="115" t="e">
        <f>VLOOKUP($A25,'S46'!$C:$BQ,59,0)</f>
        <v>#N/A</v>
      </c>
      <c r="AB25" s="115" t="e">
        <f>VLOOKUP($A25,'S46'!$C:$BQ,60,0)</f>
        <v>#N/A</v>
      </c>
      <c r="AC25" s="107" t="e">
        <f>VLOOKUP($A25,'S47'!$C:$BQ,32,0)</f>
        <v>#N/A</v>
      </c>
      <c r="AD25" s="107" t="e">
        <f>VLOOKUP($A25,'S47'!$C:$BQ,39,0)</f>
        <v>#N/A</v>
      </c>
      <c r="AE25" s="107" t="e">
        <f>VLOOKUP($A25,'S47'!$C:$BQ,40,0)</f>
        <v>#N/A</v>
      </c>
      <c r="AF25" s="107" t="e">
        <f>VLOOKUP($A25,'S47'!$C:$BQ,22,0)</f>
        <v>#N/A</v>
      </c>
      <c r="AG25" s="115" t="e">
        <f>VLOOKUP($A25,'S47'!$C:$BQ,29,0)</f>
        <v>#N/A</v>
      </c>
      <c r="AH25" s="115" t="e">
        <f>VLOOKUP($A25,'S47'!$C:$BQ,30,0)</f>
        <v>#N/A</v>
      </c>
      <c r="AI25" s="115" t="e">
        <f>VLOOKUP($A25,'S47'!$C:$BQ,52,0)</f>
        <v>#N/A</v>
      </c>
      <c r="AJ25" s="115" t="e">
        <f>VLOOKUP($A25,'S47'!$C:$BQ,59,0)</f>
        <v>#N/A</v>
      </c>
      <c r="AK25" s="115" t="e">
        <f>VLOOKUP($A25,'S47'!$C:$BQ,60,0)</f>
        <v>#N/A</v>
      </c>
      <c r="AL25" s="107" t="e">
        <f>VLOOKUP($A25,'S48'!$C:$BQ,32,0)</f>
        <v>#N/A</v>
      </c>
      <c r="AM25" s="107" t="e">
        <f>VLOOKUP($A25,'S48'!$C:$BQ,39,0)</f>
        <v>#N/A</v>
      </c>
      <c r="AN25" s="107" t="e">
        <f>VLOOKUP($A25,'S48'!$C:$BQ,40,0)</f>
        <v>#N/A</v>
      </c>
      <c r="AO25" s="107" t="e">
        <f>VLOOKUP($A25,'S48'!$C:$BQ,22,0)</f>
        <v>#N/A</v>
      </c>
      <c r="AP25" s="115" t="e">
        <f>VLOOKUP($A25,'S48'!$C:$BQ,29,0)</f>
        <v>#N/A</v>
      </c>
      <c r="AQ25" s="115" t="e">
        <f>VLOOKUP($A25,'S48'!$C:$BQ,30,0)</f>
        <v>#N/A</v>
      </c>
      <c r="AR25" s="115" t="e">
        <f>VLOOKUP($A25,'S48'!$C:$BQ,52,0)</f>
        <v>#N/A</v>
      </c>
      <c r="AS25" s="115" t="e">
        <f>VLOOKUP($A25,'S48'!$C:$BQ,59,0)</f>
        <v>#N/A</v>
      </c>
      <c r="AT25" s="115" t="e">
        <f>VLOOKUP($A25,'S48'!$C:$BQ,60,0)</f>
        <v>#N/A</v>
      </c>
      <c r="AU25" s="107" t="e">
        <f>VLOOKUP($A25,'S49'!$C:$BQ,32,0)</f>
        <v>#N/A</v>
      </c>
      <c r="AV25" s="107" t="e">
        <f>VLOOKUP($A25,'S49'!$C:$BQ,39,0)</f>
        <v>#N/A</v>
      </c>
      <c r="AW25" s="107" t="e">
        <f>VLOOKUP($A25,'S49'!$C:$BQ,40,0)</f>
        <v>#N/A</v>
      </c>
      <c r="AX25" s="107" t="e">
        <f>VLOOKUP($A25,'S49'!$C:$BQ,22,0)</f>
        <v>#N/A</v>
      </c>
      <c r="AY25" s="115" t="e">
        <f>VLOOKUP($A25,'S49'!$C:$BQ,29,0)</f>
        <v>#N/A</v>
      </c>
      <c r="AZ25" s="115" t="e">
        <f>VLOOKUP($A25,'S49'!$C:$BQ,30,0)</f>
        <v>#N/A</v>
      </c>
      <c r="BA25" s="115" t="e">
        <f>VLOOKUP($A25,'S49'!$C:$BQ,52,0)</f>
        <v>#N/A</v>
      </c>
      <c r="BB25" s="115" t="e">
        <f>VLOOKUP($A25,'S49'!$C:$BQ,59,0)</f>
        <v>#N/A</v>
      </c>
      <c r="BC25" s="115" t="e">
        <f>VLOOKUP($A25,'S49'!$C:$BQ,60,0)</f>
        <v>#N/A</v>
      </c>
      <c r="BD25" s="107" t="e">
        <f>VLOOKUP($A25,'S50'!$C:$BQ,32,0)</f>
        <v>#N/A</v>
      </c>
      <c r="BE25" s="107" t="e">
        <f>VLOOKUP($A25,'S50'!$C:$BQ,39,0)</f>
        <v>#N/A</v>
      </c>
      <c r="BF25" s="107" t="e">
        <f>VLOOKUP($A25,'S50'!$C:$BQ,40,0)</f>
        <v>#N/A</v>
      </c>
      <c r="BG25" s="107" t="e">
        <f>VLOOKUP($A25,'S50'!$C:$BQ,22,0)</f>
        <v>#N/A</v>
      </c>
      <c r="BH25" s="115" t="e">
        <f>VLOOKUP($A25,'S50'!$C:$BQ,29,0)</f>
        <v>#N/A</v>
      </c>
      <c r="BI25" s="115" t="e">
        <f>VLOOKUP($A25,'S50'!$C:$BQ,30,0)</f>
        <v>#N/A</v>
      </c>
      <c r="BJ25" s="115" t="e">
        <f>VLOOKUP($A25,'S50'!$C:$BQ,52,0)</f>
        <v>#N/A</v>
      </c>
      <c r="BK25" s="115" t="e">
        <f>VLOOKUP($A25,'S50'!$C:$BQ,59,0)</f>
        <v>#N/A</v>
      </c>
      <c r="BL25" s="115" t="e">
        <f>VLOOKUP($A25,'S50'!$C:$BQ,60,0)</f>
        <v>#N/A</v>
      </c>
    </row>
    <row r="26" spans="1:64" x14ac:dyDescent="0.2">
      <c r="A26" s="106" t="s">
        <v>79</v>
      </c>
      <c r="B26" s="107">
        <f>VLOOKUP($A26,'S0 remplacer avec S44'!$C:$BQ,32,0)</f>
        <v>171.4</v>
      </c>
      <c r="C26" s="107">
        <f>VLOOKUP($A26,'S0 remplacer avec S44'!$C:$BQ,39,0)</f>
        <v>108</v>
      </c>
      <c r="D26" s="107">
        <f>VLOOKUP($A26,'S0 remplacer avec S44'!$C:$BQ,40,0)</f>
        <v>164</v>
      </c>
      <c r="E26" s="107">
        <f>VLOOKUP($A26,'S0 remplacer avec S44'!$C:$BQ,22,0)</f>
        <v>2466.9895700000002</v>
      </c>
      <c r="F26" s="115">
        <f>VLOOKUP($A26,'S0 remplacer avec S44'!$C:$BQ,29,0)</f>
        <v>71</v>
      </c>
      <c r="G26" s="115">
        <f>VLOOKUP($A26,'S0 remplacer avec S44'!$C:$BQ,30,0)</f>
        <v>578</v>
      </c>
      <c r="H26" s="115">
        <f>VLOOKUP($A26,'S0 remplacer avec S44'!$C:$BQ,52,0)</f>
        <v>143.19999999999999</v>
      </c>
      <c r="I26" s="115">
        <f>VLOOKUP($A26,'S0 remplacer avec S44'!$C:$BQ,59,0)</f>
        <v>0</v>
      </c>
      <c r="J26" s="115">
        <f>VLOOKUP($A26,'S0 remplacer avec S44'!$C:$BQ,60,0)</f>
        <v>27</v>
      </c>
      <c r="K26" s="107" t="e">
        <f>VLOOKUP($A26,'S45'!$C:$BQ,32,0)</f>
        <v>#N/A</v>
      </c>
      <c r="L26" s="107" t="e">
        <f>VLOOKUP($A26,'S45'!$C:$BQ,39,0)</f>
        <v>#N/A</v>
      </c>
      <c r="M26" s="107" t="e">
        <f>VLOOKUP($A26,'S45'!$C:$BQ,40,0)</f>
        <v>#N/A</v>
      </c>
      <c r="N26" s="107" t="e">
        <f>VLOOKUP($A26,'S45'!$C:$BQ,22,0)</f>
        <v>#N/A</v>
      </c>
      <c r="O26" s="115" t="e">
        <f>VLOOKUP($A26,'S45'!$C:$BQ,29,0)</f>
        <v>#N/A</v>
      </c>
      <c r="P26" s="115" t="e">
        <f>VLOOKUP($A26,'S45'!$C:$BQ,30,0)</f>
        <v>#N/A</v>
      </c>
      <c r="Q26" s="115" t="e">
        <f>VLOOKUP($A26,'S45'!$C:$BQ,52,0)</f>
        <v>#N/A</v>
      </c>
      <c r="R26" s="115" t="e">
        <f>VLOOKUP($A26,'S45'!$C:$BQ,59,0)</f>
        <v>#N/A</v>
      </c>
      <c r="S26" s="115" t="e">
        <f>VLOOKUP($A26,'S45'!$C:$BQ,60,0)</f>
        <v>#N/A</v>
      </c>
      <c r="T26" s="107" t="e">
        <f>VLOOKUP($A26,'S46'!$C:$BQ,32,0)</f>
        <v>#N/A</v>
      </c>
      <c r="U26" s="107" t="e">
        <f>VLOOKUP($A26,'S46'!$C:$BQ,39,0)</f>
        <v>#N/A</v>
      </c>
      <c r="V26" s="107" t="e">
        <f>VLOOKUP($A26,'S46'!$C:$BQ,40,0)</f>
        <v>#N/A</v>
      </c>
      <c r="W26" s="107" t="e">
        <f>VLOOKUP($A26,'S46'!$C:$BQ,22,0)</f>
        <v>#N/A</v>
      </c>
      <c r="X26" s="115" t="e">
        <f>VLOOKUP($A26,'S46'!$C:$BQ,29,0)</f>
        <v>#N/A</v>
      </c>
      <c r="Y26" s="115" t="e">
        <f>VLOOKUP($A26,'S46'!$C:$BQ,30,0)</f>
        <v>#N/A</v>
      </c>
      <c r="Z26" s="115" t="e">
        <f>VLOOKUP($A26,'S46'!$C:$BQ,52,0)</f>
        <v>#N/A</v>
      </c>
      <c r="AA26" s="115" t="e">
        <f>VLOOKUP($A26,'S46'!$C:$BQ,59,0)</f>
        <v>#N/A</v>
      </c>
      <c r="AB26" s="115" t="e">
        <f>VLOOKUP($A26,'S46'!$C:$BQ,60,0)</f>
        <v>#N/A</v>
      </c>
      <c r="AC26" s="107" t="e">
        <f>VLOOKUP($A26,'S47'!$C:$BQ,32,0)</f>
        <v>#N/A</v>
      </c>
      <c r="AD26" s="107" t="e">
        <f>VLOOKUP($A26,'S47'!$C:$BQ,39,0)</f>
        <v>#N/A</v>
      </c>
      <c r="AE26" s="107" t="e">
        <f>VLOOKUP($A26,'S47'!$C:$BQ,40,0)</f>
        <v>#N/A</v>
      </c>
      <c r="AF26" s="107" t="e">
        <f>VLOOKUP($A26,'S47'!$C:$BQ,22,0)</f>
        <v>#N/A</v>
      </c>
      <c r="AG26" s="115" t="e">
        <f>VLOOKUP($A26,'S47'!$C:$BQ,29,0)</f>
        <v>#N/A</v>
      </c>
      <c r="AH26" s="115" t="e">
        <f>VLOOKUP($A26,'S47'!$C:$BQ,30,0)</f>
        <v>#N/A</v>
      </c>
      <c r="AI26" s="115" t="e">
        <f>VLOOKUP($A26,'S47'!$C:$BQ,52,0)</f>
        <v>#N/A</v>
      </c>
      <c r="AJ26" s="115" t="e">
        <f>VLOOKUP($A26,'S47'!$C:$BQ,59,0)</f>
        <v>#N/A</v>
      </c>
      <c r="AK26" s="115" t="e">
        <f>VLOOKUP($A26,'S47'!$C:$BQ,60,0)</f>
        <v>#N/A</v>
      </c>
      <c r="AL26" s="107" t="e">
        <f>VLOOKUP($A26,'S48'!$C:$BQ,32,0)</f>
        <v>#N/A</v>
      </c>
      <c r="AM26" s="107" t="e">
        <f>VLOOKUP($A26,'S48'!$C:$BQ,39,0)</f>
        <v>#N/A</v>
      </c>
      <c r="AN26" s="107" t="e">
        <f>VLOOKUP($A26,'S48'!$C:$BQ,40,0)</f>
        <v>#N/A</v>
      </c>
      <c r="AO26" s="107" t="e">
        <f>VLOOKUP($A26,'S48'!$C:$BQ,22,0)</f>
        <v>#N/A</v>
      </c>
      <c r="AP26" s="115" t="e">
        <f>VLOOKUP($A26,'S48'!$C:$BQ,29,0)</f>
        <v>#N/A</v>
      </c>
      <c r="AQ26" s="115" t="e">
        <f>VLOOKUP($A26,'S48'!$C:$BQ,30,0)</f>
        <v>#N/A</v>
      </c>
      <c r="AR26" s="115" t="e">
        <f>VLOOKUP($A26,'S48'!$C:$BQ,52,0)</f>
        <v>#N/A</v>
      </c>
      <c r="AS26" s="115" t="e">
        <f>VLOOKUP($A26,'S48'!$C:$BQ,59,0)</f>
        <v>#N/A</v>
      </c>
      <c r="AT26" s="115" t="e">
        <f>VLOOKUP($A26,'S48'!$C:$BQ,60,0)</f>
        <v>#N/A</v>
      </c>
      <c r="AU26" s="107" t="e">
        <f>VLOOKUP($A26,'S49'!$C:$BQ,32,0)</f>
        <v>#N/A</v>
      </c>
      <c r="AV26" s="107" t="e">
        <f>VLOOKUP($A26,'S49'!$C:$BQ,39,0)</f>
        <v>#N/A</v>
      </c>
      <c r="AW26" s="107" t="e">
        <f>VLOOKUP($A26,'S49'!$C:$BQ,40,0)</f>
        <v>#N/A</v>
      </c>
      <c r="AX26" s="107" t="e">
        <f>VLOOKUP($A26,'S49'!$C:$BQ,22,0)</f>
        <v>#N/A</v>
      </c>
      <c r="AY26" s="115" t="e">
        <f>VLOOKUP($A26,'S49'!$C:$BQ,29,0)</f>
        <v>#N/A</v>
      </c>
      <c r="AZ26" s="115" t="e">
        <f>VLOOKUP($A26,'S49'!$C:$BQ,30,0)</f>
        <v>#N/A</v>
      </c>
      <c r="BA26" s="115" t="e">
        <f>VLOOKUP($A26,'S49'!$C:$BQ,52,0)</f>
        <v>#N/A</v>
      </c>
      <c r="BB26" s="115" t="e">
        <f>VLOOKUP($A26,'S49'!$C:$BQ,59,0)</f>
        <v>#N/A</v>
      </c>
      <c r="BC26" s="115" t="e">
        <f>VLOOKUP($A26,'S49'!$C:$BQ,60,0)</f>
        <v>#N/A</v>
      </c>
      <c r="BD26" s="107" t="e">
        <f>VLOOKUP($A26,'S50'!$C:$BQ,32,0)</f>
        <v>#N/A</v>
      </c>
      <c r="BE26" s="107" t="e">
        <f>VLOOKUP($A26,'S50'!$C:$BQ,39,0)</f>
        <v>#N/A</v>
      </c>
      <c r="BF26" s="107" t="e">
        <f>VLOOKUP($A26,'S50'!$C:$BQ,40,0)</f>
        <v>#N/A</v>
      </c>
      <c r="BG26" s="107" t="e">
        <f>VLOOKUP($A26,'S50'!$C:$BQ,22,0)</f>
        <v>#N/A</v>
      </c>
      <c r="BH26" s="115" t="e">
        <f>VLOOKUP($A26,'S50'!$C:$BQ,29,0)</f>
        <v>#N/A</v>
      </c>
      <c r="BI26" s="115" t="e">
        <f>VLOOKUP($A26,'S50'!$C:$BQ,30,0)</f>
        <v>#N/A</v>
      </c>
      <c r="BJ26" s="115" t="e">
        <f>VLOOKUP($A26,'S50'!$C:$BQ,52,0)</f>
        <v>#N/A</v>
      </c>
      <c r="BK26" s="115" t="e">
        <f>VLOOKUP($A26,'S50'!$C:$BQ,59,0)</f>
        <v>#N/A</v>
      </c>
      <c r="BL26" s="115" t="e">
        <f>VLOOKUP($A26,'S50'!$C:$BQ,60,0)</f>
        <v>#N/A</v>
      </c>
    </row>
    <row r="27" spans="1:64" x14ac:dyDescent="0.2">
      <c r="A27" s="106" t="s">
        <v>82</v>
      </c>
      <c r="B27" s="107">
        <f>VLOOKUP($A27,'S0 remplacer avec S44'!$C:$BQ,32,0)</f>
        <v>354.2</v>
      </c>
      <c r="C27" s="107">
        <f>VLOOKUP($A27,'S0 remplacer avec S44'!$C:$BQ,39,0)</f>
        <v>40</v>
      </c>
      <c r="D27" s="107">
        <f>VLOOKUP($A27,'S0 remplacer avec S44'!$C:$BQ,40,0)</f>
        <v>118</v>
      </c>
      <c r="E27" s="107">
        <f>VLOOKUP($A27,'S0 remplacer avec S44'!$C:$BQ,22,0)</f>
        <v>2270.0012299999999</v>
      </c>
      <c r="F27" s="115">
        <f>VLOOKUP($A27,'S0 remplacer avec S44'!$C:$BQ,29,0)</f>
        <v>1308</v>
      </c>
      <c r="G27" s="115">
        <f>VLOOKUP($A27,'S0 remplacer avec S44'!$C:$BQ,30,0)</f>
        <v>2024</v>
      </c>
      <c r="H27" s="115">
        <f>VLOOKUP($A27,'S0 remplacer avec S44'!$C:$BQ,52,0)</f>
        <v>209.4</v>
      </c>
      <c r="I27" s="115">
        <f>VLOOKUP($A27,'S0 remplacer avec S44'!$C:$BQ,59,0)</f>
        <v>0</v>
      </c>
      <c r="J27" s="115">
        <f>VLOOKUP($A27,'S0 remplacer avec S44'!$C:$BQ,60,0)</f>
        <v>31</v>
      </c>
      <c r="K27" s="107" t="e">
        <f>VLOOKUP($A27,'S45'!$C:$BQ,32,0)</f>
        <v>#N/A</v>
      </c>
      <c r="L27" s="107" t="e">
        <f>VLOOKUP($A27,'S45'!$C:$BQ,39,0)</f>
        <v>#N/A</v>
      </c>
      <c r="M27" s="107" t="e">
        <f>VLOOKUP($A27,'S45'!$C:$BQ,40,0)</f>
        <v>#N/A</v>
      </c>
      <c r="N27" s="107" t="e">
        <f>VLOOKUP($A27,'S45'!$C:$BQ,22,0)</f>
        <v>#N/A</v>
      </c>
      <c r="O27" s="115" t="e">
        <f>VLOOKUP($A27,'S45'!$C:$BQ,29,0)</f>
        <v>#N/A</v>
      </c>
      <c r="P27" s="115" t="e">
        <f>VLOOKUP($A27,'S45'!$C:$BQ,30,0)</f>
        <v>#N/A</v>
      </c>
      <c r="Q27" s="115" t="e">
        <f>VLOOKUP($A27,'S45'!$C:$BQ,52,0)</f>
        <v>#N/A</v>
      </c>
      <c r="R27" s="115" t="e">
        <f>VLOOKUP($A27,'S45'!$C:$BQ,59,0)</f>
        <v>#N/A</v>
      </c>
      <c r="S27" s="115" t="e">
        <f>VLOOKUP($A27,'S45'!$C:$BQ,60,0)</f>
        <v>#N/A</v>
      </c>
      <c r="T27" s="107" t="e">
        <f>VLOOKUP($A27,'S46'!$C:$BQ,32,0)</f>
        <v>#N/A</v>
      </c>
      <c r="U27" s="107" t="e">
        <f>VLOOKUP($A27,'S46'!$C:$BQ,39,0)</f>
        <v>#N/A</v>
      </c>
      <c r="V27" s="107" t="e">
        <f>VLOOKUP($A27,'S46'!$C:$BQ,40,0)</f>
        <v>#N/A</v>
      </c>
      <c r="W27" s="107" t="e">
        <f>VLOOKUP($A27,'S46'!$C:$BQ,22,0)</f>
        <v>#N/A</v>
      </c>
      <c r="X27" s="115" t="e">
        <f>VLOOKUP($A27,'S46'!$C:$BQ,29,0)</f>
        <v>#N/A</v>
      </c>
      <c r="Y27" s="115" t="e">
        <f>VLOOKUP($A27,'S46'!$C:$BQ,30,0)</f>
        <v>#N/A</v>
      </c>
      <c r="Z27" s="115" t="e">
        <f>VLOOKUP($A27,'S46'!$C:$BQ,52,0)</f>
        <v>#N/A</v>
      </c>
      <c r="AA27" s="115" t="e">
        <f>VLOOKUP($A27,'S46'!$C:$BQ,59,0)</f>
        <v>#N/A</v>
      </c>
      <c r="AB27" s="115" t="e">
        <f>VLOOKUP($A27,'S46'!$C:$BQ,60,0)</f>
        <v>#N/A</v>
      </c>
      <c r="AC27" s="107" t="e">
        <f>VLOOKUP($A27,'S47'!$C:$BQ,32,0)</f>
        <v>#N/A</v>
      </c>
      <c r="AD27" s="107" t="e">
        <f>VLOOKUP($A27,'S47'!$C:$BQ,39,0)</f>
        <v>#N/A</v>
      </c>
      <c r="AE27" s="107" t="e">
        <f>VLOOKUP($A27,'S47'!$C:$BQ,40,0)</f>
        <v>#N/A</v>
      </c>
      <c r="AF27" s="107" t="e">
        <f>VLOOKUP($A27,'S47'!$C:$BQ,22,0)</f>
        <v>#N/A</v>
      </c>
      <c r="AG27" s="115" t="e">
        <f>VLOOKUP($A27,'S47'!$C:$BQ,29,0)</f>
        <v>#N/A</v>
      </c>
      <c r="AH27" s="115" t="e">
        <f>VLOOKUP($A27,'S47'!$C:$BQ,30,0)</f>
        <v>#N/A</v>
      </c>
      <c r="AI27" s="115" t="e">
        <f>VLOOKUP($A27,'S47'!$C:$BQ,52,0)</f>
        <v>#N/A</v>
      </c>
      <c r="AJ27" s="115" t="e">
        <f>VLOOKUP($A27,'S47'!$C:$BQ,59,0)</f>
        <v>#N/A</v>
      </c>
      <c r="AK27" s="115" t="e">
        <f>VLOOKUP($A27,'S47'!$C:$BQ,60,0)</f>
        <v>#N/A</v>
      </c>
      <c r="AL27" s="107" t="e">
        <f>VLOOKUP($A27,'S48'!$C:$BQ,32,0)</f>
        <v>#N/A</v>
      </c>
      <c r="AM27" s="107" t="e">
        <f>VLOOKUP($A27,'S48'!$C:$BQ,39,0)</f>
        <v>#N/A</v>
      </c>
      <c r="AN27" s="107" t="e">
        <f>VLOOKUP($A27,'S48'!$C:$BQ,40,0)</f>
        <v>#N/A</v>
      </c>
      <c r="AO27" s="107" t="e">
        <f>VLOOKUP($A27,'S48'!$C:$BQ,22,0)</f>
        <v>#N/A</v>
      </c>
      <c r="AP27" s="115" t="e">
        <f>VLOOKUP($A27,'S48'!$C:$BQ,29,0)</f>
        <v>#N/A</v>
      </c>
      <c r="AQ27" s="115" t="e">
        <f>VLOOKUP($A27,'S48'!$C:$BQ,30,0)</f>
        <v>#N/A</v>
      </c>
      <c r="AR27" s="115" t="e">
        <f>VLOOKUP($A27,'S48'!$C:$BQ,52,0)</f>
        <v>#N/A</v>
      </c>
      <c r="AS27" s="115" t="e">
        <f>VLOOKUP($A27,'S48'!$C:$BQ,59,0)</f>
        <v>#N/A</v>
      </c>
      <c r="AT27" s="115" t="e">
        <f>VLOOKUP($A27,'S48'!$C:$BQ,60,0)</f>
        <v>#N/A</v>
      </c>
      <c r="AU27" s="107" t="e">
        <f>VLOOKUP($A27,'S49'!$C:$BQ,32,0)</f>
        <v>#N/A</v>
      </c>
      <c r="AV27" s="107" t="e">
        <f>VLOOKUP($A27,'S49'!$C:$BQ,39,0)</f>
        <v>#N/A</v>
      </c>
      <c r="AW27" s="107" t="e">
        <f>VLOOKUP($A27,'S49'!$C:$BQ,40,0)</f>
        <v>#N/A</v>
      </c>
      <c r="AX27" s="107" t="e">
        <f>VLOOKUP($A27,'S49'!$C:$BQ,22,0)</f>
        <v>#N/A</v>
      </c>
      <c r="AY27" s="115" t="e">
        <f>VLOOKUP($A27,'S49'!$C:$BQ,29,0)</f>
        <v>#N/A</v>
      </c>
      <c r="AZ27" s="115" t="e">
        <f>VLOOKUP($A27,'S49'!$C:$BQ,30,0)</f>
        <v>#N/A</v>
      </c>
      <c r="BA27" s="115" t="e">
        <f>VLOOKUP($A27,'S49'!$C:$BQ,52,0)</f>
        <v>#N/A</v>
      </c>
      <c r="BB27" s="115" t="e">
        <f>VLOOKUP($A27,'S49'!$C:$BQ,59,0)</f>
        <v>#N/A</v>
      </c>
      <c r="BC27" s="115" t="e">
        <f>VLOOKUP($A27,'S49'!$C:$BQ,60,0)</f>
        <v>#N/A</v>
      </c>
      <c r="BD27" s="107" t="e">
        <f>VLOOKUP($A27,'S50'!$C:$BQ,32,0)</f>
        <v>#N/A</v>
      </c>
      <c r="BE27" s="107" t="e">
        <f>VLOOKUP($A27,'S50'!$C:$BQ,39,0)</f>
        <v>#N/A</v>
      </c>
      <c r="BF27" s="107" t="e">
        <f>VLOOKUP($A27,'S50'!$C:$BQ,40,0)</f>
        <v>#N/A</v>
      </c>
      <c r="BG27" s="107" t="e">
        <f>VLOOKUP($A27,'S50'!$C:$BQ,22,0)</f>
        <v>#N/A</v>
      </c>
      <c r="BH27" s="115" t="e">
        <f>VLOOKUP($A27,'S50'!$C:$BQ,29,0)</f>
        <v>#N/A</v>
      </c>
      <c r="BI27" s="115" t="e">
        <f>VLOOKUP($A27,'S50'!$C:$BQ,30,0)</f>
        <v>#N/A</v>
      </c>
      <c r="BJ27" s="115" t="e">
        <f>VLOOKUP($A27,'S50'!$C:$BQ,52,0)</f>
        <v>#N/A</v>
      </c>
      <c r="BK27" s="115" t="e">
        <f>VLOOKUP($A27,'S50'!$C:$BQ,59,0)</f>
        <v>#N/A</v>
      </c>
      <c r="BL27" s="115" t="e">
        <f>VLOOKUP($A27,'S50'!$C:$BQ,60,0)</f>
        <v>#N/A</v>
      </c>
    </row>
    <row r="28" spans="1:64" x14ac:dyDescent="0.2">
      <c r="A28" s="106" t="s">
        <v>83</v>
      </c>
      <c r="B28" s="107">
        <f>VLOOKUP($A28,'S0 remplacer avec S44'!$C:$BQ,32,0)</f>
        <v>171.55</v>
      </c>
      <c r="C28" s="107">
        <f>VLOOKUP($A28,'S0 remplacer avec S44'!$C:$BQ,39,0)</f>
        <v>8</v>
      </c>
      <c r="D28" s="107">
        <f>VLOOKUP($A28,'S0 remplacer avec S44'!$C:$BQ,40,0)</f>
        <v>44</v>
      </c>
      <c r="E28" s="107">
        <f>VLOOKUP($A28,'S0 remplacer avec S44'!$C:$BQ,22,0)</f>
        <v>1950.5120850000001</v>
      </c>
      <c r="F28" s="115">
        <f>VLOOKUP($A28,'S0 remplacer avec S44'!$C:$BQ,29,0)</f>
        <v>0</v>
      </c>
      <c r="G28" s="115">
        <f>VLOOKUP($A28,'S0 remplacer avec S44'!$C:$BQ,30,0)</f>
        <v>3</v>
      </c>
      <c r="H28" s="115">
        <f>VLOOKUP($A28,'S0 remplacer avec S44'!$C:$BQ,52,0)</f>
        <v>91.8</v>
      </c>
      <c r="I28" s="115">
        <f>VLOOKUP($A28,'S0 remplacer avec S44'!$C:$BQ,59,0)</f>
        <v>0</v>
      </c>
      <c r="J28" s="115">
        <f>VLOOKUP($A28,'S0 remplacer avec S44'!$C:$BQ,60,0)</f>
        <v>18</v>
      </c>
      <c r="K28" s="107" t="e">
        <f>VLOOKUP($A28,'S45'!$C:$BQ,32,0)</f>
        <v>#N/A</v>
      </c>
      <c r="L28" s="107" t="e">
        <f>VLOOKUP($A28,'S45'!$C:$BQ,39,0)</f>
        <v>#N/A</v>
      </c>
      <c r="M28" s="107" t="e">
        <f>VLOOKUP($A28,'S45'!$C:$BQ,40,0)</f>
        <v>#N/A</v>
      </c>
      <c r="N28" s="107" t="e">
        <f>VLOOKUP($A28,'S45'!$C:$BQ,22,0)</f>
        <v>#N/A</v>
      </c>
      <c r="O28" s="115" t="e">
        <f>VLOOKUP($A28,'S45'!$C:$BQ,29,0)</f>
        <v>#N/A</v>
      </c>
      <c r="P28" s="115" t="e">
        <f>VLOOKUP($A28,'S45'!$C:$BQ,30,0)</f>
        <v>#N/A</v>
      </c>
      <c r="Q28" s="115" t="e">
        <f>VLOOKUP($A28,'S45'!$C:$BQ,52,0)</f>
        <v>#N/A</v>
      </c>
      <c r="R28" s="115" t="e">
        <f>VLOOKUP($A28,'S45'!$C:$BQ,59,0)</f>
        <v>#N/A</v>
      </c>
      <c r="S28" s="115" t="e">
        <f>VLOOKUP($A28,'S45'!$C:$BQ,60,0)</f>
        <v>#N/A</v>
      </c>
      <c r="T28" s="107" t="e">
        <f>VLOOKUP($A28,'S46'!$C:$BQ,32,0)</f>
        <v>#N/A</v>
      </c>
      <c r="U28" s="107" t="e">
        <f>VLOOKUP($A28,'S46'!$C:$BQ,39,0)</f>
        <v>#N/A</v>
      </c>
      <c r="V28" s="107" t="e">
        <f>VLOOKUP($A28,'S46'!$C:$BQ,40,0)</f>
        <v>#N/A</v>
      </c>
      <c r="W28" s="107" t="e">
        <f>VLOOKUP($A28,'S46'!$C:$BQ,22,0)</f>
        <v>#N/A</v>
      </c>
      <c r="X28" s="115" t="e">
        <f>VLOOKUP($A28,'S46'!$C:$BQ,29,0)</f>
        <v>#N/A</v>
      </c>
      <c r="Y28" s="115" t="e">
        <f>VLOOKUP($A28,'S46'!$C:$BQ,30,0)</f>
        <v>#N/A</v>
      </c>
      <c r="Z28" s="115" t="e">
        <f>VLOOKUP($A28,'S46'!$C:$BQ,52,0)</f>
        <v>#N/A</v>
      </c>
      <c r="AA28" s="115" t="e">
        <f>VLOOKUP($A28,'S46'!$C:$BQ,59,0)</f>
        <v>#N/A</v>
      </c>
      <c r="AB28" s="115" t="e">
        <f>VLOOKUP($A28,'S46'!$C:$BQ,60,0)</f>
        <v>#N/A</v>
      </c>
      <c r="AC28" s="107" t="e">
        <f>VLOOKUP($A28,'S47'!$C:$BQ,32,0)</f>
        <v>#N/A</v>
      </c>
      <c r="AD28" s="107" t="e">
        <f>VLOOKUP($A28,'S47'!$C:$BQ,39,0)</f>
        <v>#N/A</v>
      </c>
      <c r="AE28" s="107" t="e">
        <f>VLOOKUP($A28,'S47'!$C:$BQ,40,0)</f>
        <v>#N/A</v>
      </c>
      <c r="AF28" s="107" t="e">
        <f>VLOOKUP($A28,'S47'!$C:$BQ,22,0)</f>
        <v>#N/A</v>
      </c>
      <c r="AG28" s="115" t="e">
        <f>VLOOKUP($A28,'S47'!$C:$BQ,29,0)</f>
        <v>#N/A</v>
      </c>
      <c r="AH28" s="115" t="e">
        <f>VLOOKUP($A28,'S47'!$C:$BQ,30,0)</f>
        <v>#N/A</v>
      </c>
      <c r="AI28" s="115" t="e">
        <f>VLOOKUP($A28,'S47'!$C:$BQ,52,0)</f>
        <v>#N/A</v>
      </c>
      <c r="AJ28" s="115" t="e">
        <f>VLOOKUP($A28,'S47'!$C:$BQ,59,0)</f>
        <v>#N/A</v>
      </c>
      <c r="AK28" s="115" t="e">
        <f>VLOOKUP($A28,'S47'!$C:$BQ,60,0)</f>
        <v>#N/A</v>
      </c>
      <c r="AL28" s="107" t="e">
        <f>VLOOKUP($A28,'S48'!$C:$BQ,32,0)</f>
        <v>#N/A</v>
      </c>
      <c r="AM28" s="107" t="e">
        <f>VLOOKUP($A28,'S48'!$C:$BQ,39,0)</f>
        <v>#N/A</v>
      </c>
      <c r="AN28" s="107" t="e">
        <f>VLOOKUP($A28,'S48'!$C:$BQ,40,0)</f>
        <v>#N/A</v>
      </c>
      <c r="AO28" s="107" t="e">
        <f>VLOOKUP($A28,'S48'!$C:$BQ,22,0)</f>
        <v>#N/A</v>
      </c>
      <c r="AP28" s="115" t="e">
        <f>VLOOKUP($A28,'S48'!$C:$BQ,29,0)</f>
        <v>#N/A</v>
      </c>
      <c r="AQ28" s="115" t="e">
        <f>VLOOKUP($A28,'S48'!$C:$BQ,30,0)</f>
        <v>#N/A</v>
      </c>
      <c r="AR28" s="115" t="e">
        <f>VLOOKUP($A28,'S48'!$C:$BQ,52,0)</f>
        <v>#N/A</v>
      </c>
      <c r="AS28" s="115" t="e">
        <f>VLOOKUP($A28,'S48'!$C:$BQ,59,0)</f>
        <v>#N/A</v>
      </c>
      <c r="AT28" s="115" t="e">
        <f>VLOOKUP($A28,'S48'!$C:$BQ,60,0)</f>
        <v>#N/A</v>
      </c>
      <c r="AU28" s="107" t="e">
        <f>VLOOKUP($A28,'S49'!$C:$BQ,32,0)</f>
        <v>#N/A</v>
      </c>
      <c r="AV28" s="107" t="e">
        <f>VLOOKUP($A28,'S49'!$C:$BQ,39,0)</f>
        <v>#N/A</v>
      </c>
      <c r="AW28" s="107" t="e">
        <f>VLOOKUP($A28,'S49'!$C:$BQ,40,0)</f>
        <v>#N/A</v>
      </c>
      <c r="AX28" s="107" t="e">
        <f>VLOOKUP($A28,'S49'!$C:$BQ,22,0)</f>
        <v>#N/A</v>
      </c>
      <c r="AY28" s="115" t="e">
        <f>VLOOKUP($A28,'S49'!$C:$BQ,29,0)</f>
        <v>#N/A</v>
      </c>
      <c r="AZ28" s="115" t="e">
        <f>VLOOKUP($A28,'S49'!$C:$BQ,30,0)</f>
        <v>#N/A</v>
      </c>
      <c r="BA28" s="115" t="e">
        <f>VLOOKUP($A28,'S49'!$C:$BQ,52,0)</f>
        <v>#N/A</v>
      </c>
      <c r="BB28" s="115" t="e">
        <f>VLOOKUP($A28,'S49'!$C:$BQ,59,0)</f>
        <v>#N/A</v>
      </c>
      <c r="BC28" s="115" t="e">
        <f>VLOOKUP($A28,'S49'!$C:$BQ,60,0)</f>
        <v>#N/A</v>
      </c>
      <c r="BD28" s="107" t="e">
        <f>VLOOKUP($A28,'S50'!$C:$BQ,32,0)</f>
        <v>#N/A</v>
      </c>
      <c r="BE28" s="107" t="e">
        <f>VLOOKUP($A28,'S50'!$C:$BQ,39,0)</f>
        <v>#N/A</v>
      </c>
      <c r="BF28" s="107" t="e">
        <f>VLOOKUP($A28,'S50'!$C:$BQ,40,0)</f>
        <v>#N/A</v>
      </c>
      <c r="BG28" s="107" t="e">
        <f>VLOOKUP($A28,'S50'!$C:$BQ,22,0)</f>
        <v>#N/A</v>
      </c>
      <c r="BH28" s="115" t="e">
        <f>VLOOKUP($A28,'S50'!$C:$BQ,29,0)</f>
        <v>#N/A</v>
      </c>
      <c r="BI28" s="115" t="e">
        <f>VLOOKUP($A28,'S50'!$C:$BQ,30,0)</f>
        <v>#N/A</v>
      </c>
      <c r="BJ28" s="115" t="e">
        <f>VLOOKUP($A28,'S50'!$C:$BQ,52,0)</f>
        <v>#N/A</v>
      </c>
      <c r="BK28" s="115" t="e">
        <f>VLOOKUP($A28,'S50'!$C:$BQ,59,0)</f>
        <v>#N/A</v>
      </c>
      <c r="BL28" s="115" t="e">
        <f>VLOOKUP($A28,'S50'!$C:$BQ,60,0)</f>
        <v>#N/A</v>
      </c>
    </row>
    <row r="29" spans="1:64" x14ac:dyDescent="0.2">
      <c r="A29" s="106" t="s">
        <v>84</v>
      </c>
      <c r="B29" s="107">
        <f>VLOOKUP($A29,'S0 remplacer avec S44'!$C:$BQ,32,0)</f>
        <v>233.8</v>
      </c>
      <c r="C29" s="107">
        <f>VLOOKUP($A29,'S0 remplacer avec S44'!$C:$BQ,39,0)</f>
        <v>239</v>
      </c>
      <c r="D29" s="107">
        <f>VLOOKUP($A29,'S0 remplacer avec S44'!$C:$BQ,40,0)</f>
        <v>333</v>
      </c>
      <c r="E29" s="107">
        <f>VLOOKUP($A29,'S0 remplacer avec S44'!$C:$BQ,22,0)</f>
        <v>3491.3643649999999</v>
      </c>
      <c r="F29" s="115">
        <f>VLOOKUP($A29,'S0 remplacer avec S44'!$C:$BQ,29,0)</f>
        <v>802</v>
      </c>
      <c r="G29" s="115">
        <f>VLOOKUP($A29,'S0 remplacer avec S44'!$C:$BQ,30,0)</f>
        <v>1661</v>
      </c>
      <c r="H29" s="115">
        <f>VLOOKUP($A29,'S0 remplacer avec S44'!$C:$BQ,52,0)</f>
        <v>181</v>
      </c>
      <c r="I29" s="115">
        <f>VLOOKUP($A29,'S0 remplacer avec S44'!$C:$BQ,59,0)</f>
        <v>59</v>
      </c>
      <c r="J29" s="115">
        <f>VLOOKUP($A29,'S0 remplacer avec S44'!$C:$BQ,60,0)</f>
        <v>107</v>
      </c>
      <c r="K29" s="107" t="e">
        <f>VLOOKUP($A29,'S45'!$C:$BQ,32,0)</f>
        <v>#N/A</v>
      </c>
      <c r="L29" s="107" t="e">
        <f>VLOOKUP($A29,'S45'!$C:$BQ,39,0)</f>
        <v>#N/A</v>
      </c>
      <c r="M29" s="107" t="e">
        <f>VLOOKUP($A29,'S45'!$C:$BQ,40,0)</f>
        <v>#N/A</v>
      </c>
      <c r="N29" s="107" t="e">
        <f>VLOOKUP($A29,'S45'!$C:$BQ,22,0)</f>
        <v>#N/A</v>
      </c>
      <c r="O29" s="115" t="e">
        <f>VLOOKUP($A29,'S45'!$C:$BQ,29,0)</f>
        <v>#N/A</v>
      </c>
      <c r="P29" s="115" t="e">
        <f>VLOOKUP($A29,'S45'!$C:$BQ,30,0)</f>
        <v>#N/A</v>
      </c>
      <c r="Q29" s="115" t="e">
        <f>VLOOKUP($A29,'S45'!$C:$BQ,52,0)</f>
        <v>#N/A</v>
      </c>
      <c r="R29" s="115" t="e">
        <f>VLOOKUP($A29,'S45'!$C:$BQ,59,0)</f>
        <v>#N/A</v>
      </c>
      <c r="S29" s="115" t="e">
        <f>VLOOKUP($A29,'S45'!$C:$BQ,60,0)</f>
        <v>#N/A</v>
      </c>
      <c r="T29" s="107" t="e">
        <f>VLOOKUP($A29,'S46'!$C:$BQ,32,0)</f>
        <v>#N/A</v>
      </c>
      <c r="U29" s="107" t="e">
        <f>VLOOKUP($A29,'S46'!$C:$BQ,39,0)</f>
        <v>#N/A</v>
      </c>
      <c r="V29" s="107" t="e">
        <f>VLOOKUP($A29,'S46'!$C:$BQ,40,0)</f>
        <v>#N/A</v>
      </c>
      <c r="W29" s="107" t="e">
        <f>VLOOKUP($A29,'S46'!$C:$BQ,22,0)</f>
        <v>#N/A</v>
      </c>
      <c r="X29" s="115" t="e">
        <f>VLOOKUP($A29,'S46'!$C:$BQ,29,0)</f>
        <v>#N/A</v>
      </c>
      <c r="Y29" s="115" t="e">
        <f>VLOOKUP($A29,'S46'!$C:$BQ,30,0)</f>
        <v>#N/A</v>
      </c>
      <c r="Z29" s="115" t="e">
        <f>VLOOKUP($A29,'S46'!$C:$BQ,52,0)</f>
        <v>#N/A</v>
      </c>
      <c r="AA29" s="115" t="e">
        <f>VLOOKUP($A29,'S46'!$C:$BQ,59,0)</f>
        <v>#N/A</v>
      </c>
      <c r="AB29" s="115" t="e">
        <f>VLOOKUP($A29,'S46'!$C:$BQ,60,0)</f>
        <v>#N/A</v>
      </c>
      <c r="AC29" s="107" t="e">
        <f>VLOOKUP($A29,'S47'!$C:$BQ,32,0)</f>
        <v>#N/A</v>
      </c>
      <c r="AD29" s="107" t="e">
        <f>VLOOKUP($A29,'S47'!$C:$BQ,39,0)</f>
        <v>#N/A</v>
      </c>
      <c r="AE29" s="107" t="e">
        <f>VLOOKUP($A29,'S47'!$C:$BQ,40,0)</f>
        <v>#N/A</v>
      </c>
      <c r="AF29" s="107" t="e">
        <f>VLOOKUP($A29,'S47'!$C:$BQ,22,0)</f>
        <v>#N/A</v>
      </c>
      <c r="AG29" s="115" t="e">
        <f>VLOOKUP($A29,'S47'!$C:$BQ,29,0)</f>
        <v>#N/A</v>
      </c>
      <c r="AH29" s="115" t="e">
        <f>VLOOKUP($A29,'S47'!$C:$BQ,30,0)</f>
        <v>#N/A</v>
      </c>
      <c r="AI29" s="115" t="e">
        <f>VLOOKUP($A29,'S47'!$C:$BQ,52,0)</f>
        <v>#N/A</v>
      </c>
      <c r="AJ29" s="115" t="e">
        <f>VLOOKUP($A29,'S47'!$C:$BQ,59,0)</f>
        <v>#N/A</v>
      </c>
      <c r="AK29" s="115" t="e">
        <f>VLOOKUP($A29,'S47'!$C:$BQ,60,0)</f>
        <v>#N/A</v>
      </c>
      <c r="AL29" s="107" t="e">
        <f>VLOOKUP($A29,'S48'!$C:$BQ,32,0)</f>
        <v>#N/A</v>
      </c>
      <c r="AM29" s="107" t="e">
        <f>VLOOKUP($A29,'S48'!$C:$BQ,39,0)</f>
        <v>#N/A</v>
      </c>
      <c r="AN29" s="107" t="e">
        <f>VLOOKUP($A29,'S48'!$C:$BQ,40,0)</f>
        <v>#N/A</v>
      </c>
      <c r="AO29" s="107" t="e">
        <f>VLOOKUP($A29,'S48'!$C:$BQ,22,0)</f>
        <v>#N/A</v>
      </c>
      <c r="AP29" s="115" t="e">
        <f>VLOOKUP($A29,'S48'!$C:$BQ,29,0)</f>
        <v>#N/A</v>
      </c>
      <c r="AQ29" s="115" t="e">
        <f>VLOOKUP($A29,'S48'!$C:$BQ,30,0)</f>
        <v>#N/A</v>
      </c>
      <c r="AR29" s="115" t="e">
        <f>VLOOKUP($A29,'S48'!$C:$BQ,52,0)</f>
        <v>#N/A</v>
      </c>
      <c r="AS29" s="115" t="e">
        <f>VLOOKUP($A29,'S48'!$C:$BQ,59,0)</f>
        <v>#N/A</v>
      </c>
      <c r="AT29" s="115" t="e">
        <f>VLOOKUP($A29,'S48'!$C:$BQ,60,0)</f>
        <v>#N/A</v>
      </c>
      <c r="AU29" s="107" t="e">
        <f>VLOOKUP($A29,'S49'!$C:$BQ,32,0)</f>
        <v>#N/A</v>
      </c>
      <c r="AV29" s="107" t="e">
        <f>VLOOKUP($A29,'S49'!$C:$BQ,39,0)</f>
        <v>#N/A</v>
      </c>
      <c r="AW29" s="107" t="e">
        <f>VLOOKUP($A29,'S49'!$C:$BQ,40,0)</f>
        <v>#N/A</v>
      </c>
      <c r="AX29" s="107" t="e">
        <f>VLOOKUP($A29,'S49'!$C:$BQ,22,0)</f>
        <v>#N/A</v>
      </c>
      <c r="AY29" s="115" t="e">
        <f>VLOOKUP($A29,'S49'!$C:$BQ,29,0)</f>
        <v>#N/A</v>
      </c>
      <c r="AZ29" s="115" t="e">
        <f>VLOOKUP($A29,'S49'!$C:$BQ,30,0)</f>
        <v>#N/A</v>
      </c>
      <c r="BA29" s="115" t="e">
        <f>VLOOKUP($A29,'S49'!$C:$BQ,52,0)</f>
        <v>#N/A</v>
      </c>
      <c r="BB29" s="115" t="e">
        <f>VLOOKUP($A29,'S49'!$C:$BQ,59,0)</f>
        <v>#N/A</v>
      </c>
      <c r="BC29" s="115" t="e">
        <f>VLOOKUP($A29,'S49'!$C:$BQ,60,0)</f>
        <v>#N/A</v>
      </c>
      <c r="BD29" s="107" t="e">
        <f>VLOOKUP($A29,'S50'!$C:$BQ,32,0)</f>
        <v>#N/A</v>
      </c>
      <c r="BE29" s="107" t="e">
        <f>VLOOKUP($A29,'S50'!$C:$BQ,39,0)</f>
        <v>#N/A</v>
      </c>
      <c r="BF29" s="107" t="e">
        <f>VLOOKUP($A29,'S50'!$C:$BQ,40,0)</f>
        <v>#N/A</v>
      </c>
      <c r="BG29" s="107" t="e">
        <f>VLOOKUP($A29,'S50'!$C:$BQ,22,0)</f>
        <v>#N/A</v>
      </c>
      <c r="BH29" s="115" t="e">
        <f>VLOOKUP($A29,'S50'!$C:$BQ,29,0)</f>
        <v>#N/A</v>
      </c>
      <c r="BI29" s="115" t="e">
        <f>VLOOKUP($A29,'S50'!$C:$BQ,30,0)</f>
        <v>#N/A</v>
      </c>
      <c r="BJ29" s="115" t="e">
        <f>VLOOKUP($A29,'S50'!$C:$BQ,52,0)</f>
        <v>#N/A</v>
      </c>
      <c r="BK29" s="115" t="e">
        <f>VLOOKUP($A29,'S50'!$C:$BQ,59,0)</f>
        <v>#N/A</v>
      </c>
      <c r="BL29" s="115" t="e">
        <f>VLOOKUP($A29,'S50'!$C:$BQ,60,0)</f>
        <v>#N/A</v>
      </c>
    </row>
    <row r="30" spans="1:64" x14ac:dyDescent="0.2">
      <c r="A30" s="106" t="s">
        <v>85</v>
      </c>
      <c r="B30" s="107">
        <f>VLOOKUP($A30,'S0 remplacer avec S44'!$C:$BQ,32,0)</f>
        <v>352.65</v>
      </c>
      <c r="C30" s="107">
        <f>VLOOKUP($A30,'S0 remplacer avec S44'!$C:$BQ,39,0)</f>
        <v>156</v>
      </c>
      <c r="D30" s="107">
        <f>VLOOKUP($A30,'S0 remplacer avec S44'!$C:$BQ,40,0)</f>
        <v>258</v>
      </c>
      <c r="E30" s="107">
        <f>VLOOKUP($A30,'S0 remplacer avec S44'!$C:$BQ,22,0)</f>
        <v>3948.1300900000001</v>
      </c>
      <c r="F30" s="115">
        <f>VLOOKUP($A30,'S0 remplacer avec S44'!$C:$BQ,29,0)</f>
        <v>677</v>
      </c>
      <c r="G30" s="115">
        <f>VLOOKUP($A30,'S0 remplacer avec S44'!$C:$BQ,30,0)</f>
        <v>1602</v>
      </c>
      <c r="H30" s="115">
        <f>VLOOKUP($A30,'S0 remplacer avec S44'!$C:$BQ,52,0)</f>
        <v>291.8</v>
      </c>
      <c r="I30" s="115">
        <f>VLOOKUP($A30,'S0 remplacer avec S44'!$C:$BQ,59,0)</f>
        <v>0</v>
      </c>
      <c r="J30" s="115">
        <f>VLOOKUP($A30,'S0 remplacer avec S44'!$C:$BQ,60,0)</f>
        <v>19</v>
      </c>
      <c r="K30" s="107" t="e">
        <f>VLOOKUP($A30,'S45'!$C:$BQ,32,0)</f>
        <v>#N/A</v>
      </c>
      <c r="L30" s="107" t="e">
        <f>VLOOKUP($A30,'S45'!$C:$BQ,39,0)</f>
        <v>#N/A</v>
      </c>
      <c r="M30" s="107" t="e">
        <f>VLOOKUP($A30,'S45'!$C:$BQ,40,0)</f>
        <v>#N/A</v>
      </c>
      <c r="N30" s="107" t="e">
        <f>VLOOKUP($A30,'S45'!$C:$BQ,22,0)</f>
        <v>#N/A</v>
      </c>
      <c r="O30" s="115" t="e">
        <f>VLOOKUP($A30,'S45'!$C:$BQ,29,0)</f>
        <v>#N/A</v>
      </c>
      <c r="P30" s="115" t="e">
        <f>VLOOKUP($A30,'S45'!$C:$BQ,30,0)</f>
        <v>#N/A</v>
      </c>
      <c r="Q30" s="115" t="e">
        <f>VLOOKUP($A30,'S45'!$C:$BQ,52,0)</f>
        <v>#N/A</v>
      </c>
      <c r="R30" s="115" t="e">
        <f>VLOOKUP($A30,'S45'!$C:$BQ,59,0)</f>
        <v>#N/A</v>
      </c>
      <c r="S30" s="115" t="e">
        <f>VLOOKUP($A30,'S45'!$C:$BQ,60,0)</f>
        <v>#N/A</v>
      </c>
      <c r="T30" s="107" t="e">
        <f>VLOOKUP($A30,'S46'!$C:$BQ,32,0)</f>
        <v>#N/A</v>
      </c>
      <c r="U30" s="107" t="e">
        <f>VLOOKUP($A30,'S46'!$C:$BQ,39,0)</f>
        <v>#N/A</v>
      </c>
      <c r="V30" s="107" t="e">
        <f>VLOOKUP($A30,'S46'!$C:$BQ,40,0)</f>
        <v>#N/A</v>
      </c>
      <c r="W30" s="107" t="e">
        <f>VLOOKUP($A30,'S46'!$C:$BQ,22,0)</f>
        <v>#N/A</v>
      </c>
      <c r="X30" s="115" t="e">
        <f>VLOOKUP($A30,'S46'!$C:$BQ,29,0)</f>
        <v>#N/A</v>
      </c>
      <c r="Y30" s="115" t="e">
        <f>VLOOKUP($A30,'S46'!$C:$BQ,30,0)</f>
        <v>#N/A</v>
      </c>
      <c r="Z30" s="115" t="e">
        <f>VLOOKUP($A30,'S46'!$C:$BQ,52,0)</f>
        <v>#N/A</v>
      </c>
      <c r="AA30" s="115" t="e">
        <f>VLOOKUP($A30,'S46'!$C:$BQ,59,0)</f>
        <v>#N/A</v>
      </c>
      <c r="AB30" s="115" t="e">
        <f>VLOOKUP($A30,'S46'!$C:$BQ,60,0)</f>
        <v>#N/A</v>
      </c>
      <c r="AC30" s="107" t="e">
        <f>VLOOKUP($A30,'S47'!$C:$BQ,32,0)</f>
        <v>#N/A</v>
      </c>
      <c r="AD30" s="107" t="e">
        <f>VLOOKUP($A30,'S47'!$C:$BQ,39,0)</f>
        <v>#N/A</v>
      </c>
      <c r="AE30" s="107" t="e">
        <f>VLOOKUP($A30,'S47'!$C:$BQ,40,0)</f>
        <v>#N/A</v>
      </c>
      <c r="AF30" s="107" t="e">
        <f>VLOOKUP($A30,'S47'!$C:$BQ,22,0)</f>
        <v>#N/A</v>
      </c>
      <c r="AG30" s="115" t="e">
        <f>VLOOKUP($A30,'S47'!$C:$BQ,29,0)</f>
        <v>#N/A</v>
      </c>
      <c r="AH30" s="115" t="e">
        <f>VLOOKUP($A30,'S47'!$C:$BQ,30,0)</f>
        <v>#N/A</v>
      </c>
      <c r="AI30" s="115" t="e">
        <f>VLOOKUP($A30,'S47'!$C:$BQ,52,0)</f>
        <v>#N/A</v>
      </c>
      <c r="AJ30" s="115" t="e">
        <f>VLOOKUP($A30,'S47'!$C:$BQ,59,0)</f>
        <v>#N/A</v>
      </c>
      <c r="AK30" s="115" t="e">
        <f>VLOOKUP($A30,'S47'!$C:$BQ,60,0)</f>
        <v>#N/A</v>
      </c>
      <c r="AL30" s="107" t="e">
        <f>VLOOKUP($A30,'S48'!$C:$BQ,32,0)</f>
        <v>#N/A</v>
      </c>
      <c r="AM30" s="107" t="e">
        <f>VLOOKUP($A30,'S48'!$C:$BQ,39,0)</f>
        <v>#N/A</v>
      </c>
      <c r="AN30" s="107" t="e">
        <f>VLOOKUP($A30,'S48'!$C:$BQ,40,0)</f>
        <v>#N/A</v>
      </c>
      <c r="AO30" s="107" t="e">
        <f>VLOOKUP($A30,'S48'!$C:$BQ,22,0)</f>
        <v>#N/A</v>
      </c>
      <c r="AP30" s="115" t="e">
        <f>VLOOKUP($A30,'S48'!$C:$BQ,29,0)</f>
        <v>#N/A</v>
      </c>
      <c r="AQ30" s="115" t="e">
        <f>VLOOKUP($A30,'S48'!$C:$BQ,30,0)</f>
        <v>#N/A</v>
      </c>
      <c r="AR30" s="115" t="e">
        <f>VLOOKUP($A30,'S48'!$C:$BQ,52,0)</f>
        <v>#N/A</v>
      </c>
      <c r="AS30" s="115" t="e">
        <f>VLOOKUP($A30,'S48'!$C:$BQ,59,0)</f>
        <v>#N/A</v>
      </c>
      <c r="AT30" s="115" t="e">
        <f>VLOOKUP($A30,'S48'!$C:$BQ,60,0)</f>
        <v>#N/A</v>
      </c>
      <c r="AU30" s="107" t="e">
        <f>VLOOKUP($A30,'S49'!$C:$BQ,32,0)</f>
        <v>#N/A</v>
      </c>
      <c r="AV30" s="107" t="e">
        <f>VLOOKUP($A30,'S49'!$C:$BQ,39,0)</f>
        <v>#N/A</v>
      </c>
      <c r="AW30" s="107" t="e">
        <f>VLOOKUP($A30,'S49'!$C:$BQ,40,0)</f>
        <v>#N/A</v>
      </c>
      <c r="AX30" s="107" t="e">
        <f>VLOOKUP($A30,'S49'!$C:$BQ,22,0)</f>
        <v>#N/A</v>
      </c>
      <c r="AY30" s="115" t="e">
        <f>VLOOKUP($A30,'S49'!$C:$BQ,29,0)</f>
        <v>#N/A</v>
      </c>
      <c r="AZ30" s="115" t="e">
        <f>VLOOKUP($A30,'S49'!$C:$BQ,30,0)</f>
        <v>#N/A</v>
      </c>
      <c r="BA30" s="115" t="e">
        <f>VLOOKUP($A30,'S49'!$C:$BQ,52,0)</f>
        <v>#N/A</v>
      </c>
      <c r="BB30" s="115" t="e">
        <f>VLOOKUP($A30,'S49'!$C:$BQ,59,0)</f>
        <v>#N/A</v>
      </c>
      <c r="BC30" s="115" t="e">
        <f>VLOOKUP($A30,'S49'!$C:$BQ,60,0)</f>
        <v>#N/A</v>
      </c>
      <c r="BD30" s="107" t="e">
        <f>VLOOKUP($A30,'S50'!$C:$BQ,32,0)</f>
        <v>#N/A</v>
      </c>
      <c r="BE30" s="107" t="e">
        <f>VLOOKUP($A30,'S50'!$C:$BQ,39,0)</f>
        <v>#N/A</v>
      </c>
      <c r="BF30" s="107" t="e">
        <f>VLOOKUP($A30,'S50'!$C:$BQ,40,0)</f>
        <v>#N/A</v>
      </c>
      <c r="BG30" s="107" t="e">
        <f>VLOOKUP($A30,'S50'!$C:$BQ,22,0)</f>
        <v>#N/A</v>
      </c>
      <c r="BH30" s="115" t="e">
        <f>VLOOKUP($A30,'S50'!$C:$BQ,29,0)</f>
        <v>#N/A</v>
      </c>
      <c r="BI30" s="115" t="e">
        <f>VLOOKUP($A30,'S50'!$C:$BQ,30,0)</f>
        <v>#N/A</v>
      </c>
      <c r="BJ30" s="115" t="e">
        <f>VLOOKUP($A30,'S50'!$C:$BQ,52,0)</f>
        <v>#N/A</v>
      </c>
      <c r="BK30" s="115" t="e">
        <f>VLOOKUP($A30,'S50'!$C:$BQ,59,0)</f>
        <v>#N/A</v>
      </c>
      <c r="BL30" s="115" t="e">
        <f>VLOOKUP($A30,'S50'!$C:$BQ,60,0)</f>
        <v>#N/A</v>
      </c>
    </row>
    <row r="31" spans="1:64" x14ac:dyDescent="0.2">
      <c r="A31" s="106" t="s">
        <v>86</v>
      </c>
      <c r="B31" s="107">
        <f>VLOOKUP($A31,'S0 remplacer avec S44'!$C:$BQ,32,0)</f>
        <v>30.3</v>
      </c>
      <c r="C31" s="107">
        <f>VLOOKUP($A31,'S0 remplacer avec S44'!$C:$BQ,39,0)</f>
        <v>60</v>
      </c>
      <c r="D31" s="107">
        <f>VLOOKUP($A31,'S0 remplacer avec S44'!$C:$BQ,40,0)</f>
        <v>78</v>
      </c>
      <c r="E31" s="107">
        <f>VLOOKUP($A31,'S0 remplacer avec S44'!$C:$BQ,22,0)</f>
        <v>435.25427500000001</v>
      </c>
      <c r="F31" s="115">
        <f>VLOOKUP($A31,'S0 remplacer avec S44'!$C:$BQ,29,0)</f>
        <v>386</v>
      </c>
      <c r="G31" s="115">
        <f>VLOOKUP($A31,'S0 remplacer avec S44'!$C:$BQ,30,0)</f>
        <v>550</v>
      </c>
      <c r="H31" s="115">
        <f>VLOOKUP($A31,'S0 remplacer avec S44'!$C:$BQ,52,0)</f>
        <v>27.4</v>
      </c>
      <c r="I31" s="115">
        <f>VLOOKUP($A31,'S0 remplacer avec S44'!$C:$BQ,59,0)</f>
        <v>19</v>
      </c>
      <c r="J31" s="115">
        <f>VLOOKUP($A31,'S0 remplacer avec S44'!$C:$BQ,60,0)</f>
        <v>28</v>
      </c>
      <c r="K31" s="107" t="e">
        <f>VLOOKUP($A31,'S45'!$C:$BQ,32,0)</f>
        <v>#N/A</v>
      </c>
      <c r="L31" s="107" t="e">
        <f>VLOOKUP($A31,'S45'!$C:$BQ,39,0)</f>
        <v>#N/A</v>
      </c>
      <c r="M31" s="107" t="e">
        <f>VLOOKUP($A31,'S45'!$C:$BQ,40,0)</f>
        <v>#N/A</v>
      </c>
      <c r="N31" s="107" t="e">
        <f>VLOOKUP($A31,'S45'!$C:$BQ,22,0)</f>
        <v>#N/A</v>
      </c>
      <c r="O31" s="115" t="e">
        <f>VLOOKUP($A31,'S45'!$C:$BQ,29,0)</f>
        <v>#N/A</v>
      </c>
      <c r="P31" s="115" t="e">
        <f>VLOOKUP($A31,'S45'!$C:$BQ,30,0)</f>
        <v>#N/A</v>
      </c>
      <c r="Q31" s="115" t="e">
        <f>VLOOKUP($A31,'S45'!$C:$BQ,52,0)</f>
        <v>#N/A</v>
      </c>
      <c r="R31" s="115" t="e">
        <f>VLOOKUP($A31,'S45'!$C:$BQ,59,0)</f>
        <v>#N/A</v>
      </c>
      <c r="S31" s="115" t="e">
        <f>VLOOKUP($A31,'S45'!$C:$BQ,60,0)</f>
        <v>#N/A</v>
      </c>
      <c r="T31" s="107" t="e">
        <f>VLOOKUP($A31,'S46'!$C:$BQ,32,0)</f>
        <v>#N/A</v>
      </c>
      <c r="U31" s="107" t="e">
        <f>VLOOKUP($A31,'S46'!$C:$BQ,39,0)</f>
        <v>#N/A</v>
      </c>
      <c r="V31" s="107" t="e">
        <f>VLOOKUP($A31,'S46'!$C:$BQ,40,0)</f>
        <v>#N/A</v>
      </c>
      <c r="W31" s="107" t="e">
        <f>VLOOKUP($A31,'S46'!$C:$BQ,22,0)</f>
        <v>#N/A</v>
      </c>
      <c r="X31" s="115" t="e">
        <f>VLOOKUP($A31,'S46'!$C:$BQ,29,0)</f>
        <v>#N/A</v>
      </c>
      <c r="Y31" s="115" t="e">
        <f>VLOOKUP($A31,'S46'!$C:$BQ,30,0)</f>
        <v>#N/A</v>
      </c>
      <c r="Z31" s="115" t="e">
        <f>VLOOKUP($A31,'S46'!$C:$BQ,52,0)</f>
        <v>#N/A</v>
      </c>
      <c r="AA31" s="115" t="e">
        <f>VLOOKUP($A31,'S46'!$C:$BQ,59,0)</f>
        <v>#N/A</v>
      </c>
      <c r="AB31" s="115" t="e">
        <f>VLOOKUP($A31,'S46'!$C:$BQ,60,0)</f>
        <v>#N/A</v>
      </c>
      <c r="AC31" s="107" t="e">
        <f>VLOOKUP($A31,'S47'!$C:$BQ,32,0)</f>
        <v>#N/A</v>
      </c>
      <c r="AD31" s="107" t="e">
        <f>VLOOKUP($A31,'S47'!$C:$BQ,39,0)</f>
        <v>#N/A</v>
      </c>
      <c r="AE31" s="107" t="e">
        <f>VLOOKUP($A31,'S47'!$C:$BQ,40,0)</f>
        <v>#N/A</v>
      </c>
      <c r="AF31" s="107" t="e">
        <f>VLOOKUP($A31,'S47'!$C:$BQ,22,0)</f>
        <v>#N/A</v>
      </c>
      <c r="AG31" s="115" t="e">
        <f>VLOOKUP($A31,'S47'!$C:$BQ,29,0)</f>
        <v>#N/A</v>
      </c>
      <c r="AH31" s="115" t="e">
        <f>VLOOKUP($A31,'S47'!$C:$BQ,30,0)</f>
        <v>#N/A</v>
      </c>
      <c r="AI31" s="115" t="e">
        <f>VLOOKUP($A31,'S47'!$C:$BQ,52,0)</f>
        <v>#N/A</v>
      </c>
      <c r="AJ31" s="115" t="e">
        <f>VLOOKUP($A31,'S47'!$C:$BQ,59,0)</f>
        <v>#N/A</v>
      </c>
      <c r="AK31" s="115" t="e">
        <f>VLOOKUP($A31,'S47'!$C:$BQ,60,0)</f>
        <v>#N/A</v>
      </c>
      <c r="AL31" s="107" t="e">
        <f>VLOOKUP($A31,'S48'!$C:$BQ,32,0)</f>
        <v>#N/A</v>
      </c>
      <c r="AM31" s="107" t="e">
        <f>VLOOKUP($A31,'S48'!$C:$BQ,39,0)</f>
        <v>#N/A</v>
      </c>
      <c r="AN31" s="107" t="e">
        <f>VLOOKUP($A31,'S48'!$C:$BQ,40,0)</f>
        <v>#N/A</v>
      </c>
      <c r="AO31" s="107" t="e">
        <f>VLOOKUP($A31,'S48'!$C:$BQ,22,0)</f>
        <v>#N/A</v>
      </c>
      <c r="AP31" s="115" t="e">
        <f>VLOOKUP($A31,'S48'!$C:$BQ,29,0)</f>
        <v>#N/A</v>
      </c>
      <c r="AQ31" s="115" t="e">
        <f>VLOOKUP($A31,'S48'!$C:$BQ,30,0)</f>
        <v>#N/A</v>
      </c>
      <c r="AR31" s="115" t="e">
        <f>VLOOKUP($A31,'S48'!$C:$BQ,52,0)</f>
        <v>#N/A</v>
      </c>
      <c r="AS31" s="115" t="e">
        <f>VLOOKUP($A31,'S48'!$C:$BQ,59,0)</f>
        <v>#N/A</v>
      </c>
      <c r="AT31" s="115" t="e">
        <f>VLOOKUP($A31,'S48'!$C:$BQ,60,0)</f>
        <v>#N/A</v>
      </c>
      <c r="AU31" s="107" t="e">
        <f>VLOOKUP($A31,'S49'!$C:$BQ,32,0)</f>
        <v>#N/A</v>
      </c>
      <c r="AV31" s="107" t="e">
        <f>VLOOKUP($A31,'S49'!$C:$BQ,39,0)</f>
        <v>#N/A</v>
      </c>
      <c r="AW31" s="107" t="e">
        <f>VLOOKUP($A31,'S49'!$C:$BQ,40,0)</f>
        <v>#N/A</v>
      </c>
      <c r="AX31" s="107" t="e">
        <f>VLOOKUP($A31,'S49'!$C:$BQ,22,0)</f>
        <v>#N/A</v>
      </c>
      <c r="AY31" s="115" t="e">
        <f>VLOOKUP($A31,'S49'!$C:$BQ,29,0)</f>
        <v>#N/A</v>
      </c>
      <c r="AZ31" s="115" t="e">
        <f>VLOOKUP($A31,'S49'!$C:$BQ,30,0)</f>
        <v>#N/A</v>
      </c>
      <c r="BA31" s="115" t="e">
        <f>VLOOKUP($A31,'S49'!$C:$BQ,52,0)</f>
        <v>#N/A</v>
      </c>
      <c r="BB31" s="115" t="e">
        <f>VLOOKUP($A31,'S49'!$C:$BQ,59,0)</f>
        <v>#N/A</v>
      </c>
      <c r="BC31" s="115" t="e">
        <f>VLOOKUP($A31,'S49'!$C:$BQ,60,0)</f>
        <v>#N/A</v>
      </c>
      <c r="BD31" s="107" t="e">
        <f>VLOOKUP($A31,'S50'!$C:$BQ,32,0)</f>
        <v>#N/A</v>
      </c>
      <c r="BE31" s="107" t="e">
        <f>VLOOKUP($A31,'S50'!$C:$BQ,39,0)</f>
        <v>#N/A</v>
      </c>
      <c r="BF31" s="107" t="e">
        <f>VLOOKUP($A31,'S50'!$C:$BQ,40,0)</f>
        <v>#N/A</v>
      </c>
      <c r="BG31" s="107" t="e">
        <f>VLOOKUP($A31,'S50'!$C:$BQ,22,0)</f>
        <v>#N/A</v>
      </c>
      <c r="BH31" s="115" t="e">
        <f>VLOOKUP($A31,'S50'!$C:$BQ,29,0)</f>
        <v>#N/A</v>
      </c>
      <c r="BI31" s="115" t="e">
        <f>VLOOKUP($A31,'S50'!$C:$BQ,30,0)</f>
        <v>#N/A</v>
      </c>
      <c r="BJ31" s="115" t="e">
        <f>VLOOKUP($A31,'S50'!$C:$BQ,52,0)</f>
        <v>#N/A</v>
      </c>
      <c r="BK31" s="115" t="e">
        <f>VLOOKUP($A31,'S50'!$C:$BQ,59,0)</f>
        <v>#N/A</v>
      </c>
      <c r="BL31" s="115" t="e">
        <f>VLOOKUP($A31,'S50'!$C:$BQ,60,0)</f>
        <v>#N/A</v>
      </c>
    </row>
    <row r="32" spans="1:64" x14ac:dyDescent="0.2">
      <c r="A32" s="106" t="s">
        <v>87</v>
      </c>
      <c r="B32" s="107">
        <f>VLOOKUP($A32,'S0 remplacer avec S44'!$C:$BQ,32,0)</f>
        <v>161.69999999999999</v>
      </c>
      <c r="C32" s="107">
        <f>VLOOKUP($A32,'S0 remplacer avec S44'!$C:$BQ,39,0)</f>
        <v>0</v>
      </c>
      <c r="D32" s="107">
        <f>VLOOKUP($A32,'S0 remplacer avec S44'!$C:$BQ,40,0)</f>
        <v>22</v>
      </c>
      <c r="E32" s="107">
        <f>VLOOKUP($A32,'S0 remplacer avec S44'!$C:$BQ,22,0)</f>
        <v>1571.2996350000001</v>
      </c>
      <c r="F32" s="115">
        <f>VLOOKUP($A32,'S0 remplacer avec S44'!$C:$BQ,29,0)</f>
        <v>0</v>
      </c>
      <c r="G32" s="115">
        <f>VLOOKUP($A32,'S0 remplacer avec S44'!$C:$BQ,30,0)</f>
        <v>93</v>
      </c>
      <c r="H32" s="115">
        <f>VLOOKUP($A32,'S0 remplacer avec S44'!$C:$BQ,52,0)</f>
        <v>70.2</v>
      </c>
      <c r="I32" s="115">
        <f>VLOOKUP($A32,'S0 remplacer avec S44'!$C:$BQ,59,0)</f>
        <v>8</v>
      </c>
      <c r="J32" s="115">
        <f>VLOOKUP($A32,'S0 remplacer avec S44'!$C:$BQ,60,0)</f>
        <v>23</v>
      </c>
      <c r="K32" s="107" t="e">
        <f>VLOOKUP($A32,'S45'!$C:$BQ,32,0)</f>
        <v>#N/A</v>
      </c>
      <c r="L32" s="107" t="e">
        <f>VLOOKUP($A32,'S45'!$C:$BQ,39,0)</f>
        <v>#N/A</v>
      </c>
      <c r="M32" s="107" t="e">
        <f>VLOOKUP($A32,'S45'!$C:$BQ,40,0)</f>
        <v>#N/A</v>
      </c>
      <c r="N32" s="107" t="e">
        <f>VLOOKUP($A32,'S45'!$C:$BQ,22,0)</f>
        <v>#N/A</v>
      </c>
      <c r="O32" s="115" t="e">
        <f>VLOOKUP($A32,'S45'!$C:$BQ,29,0)</f>
        <v>#N/A</v>
      </c>
      <c r="P32" s="115" t="e">
        <f>VLOOKUP($A32,'S45'!$C:$BQ,30,0)</f>
        <v>#N/A</v>
      </c>
      <c r="Q32" s="115" t="e">
        <f>VLOOKUP($A32,'S45'!$C:$BQ,52,0)</f>
        <v>#N/A</v>
      </c>
      <c r="R32" s="115" t="e">
        <f>VLOOKUP($A32,'S45'!$C:$BQ,59,0)</f>
        <v>#N/A</v>
      </c>
      <c r="S32" s="115" t="e">
        <f>VLOOKUP($A32,'S45'!$C:$BQ,60,0)</f>
        <v>#N/A</v>
      </c>
      <c r="T32" s="107" t="e">
        <f>VLOOKUP($A32,'S46'!$C:$BQ,32,0)</f>
        <v>#N/A</v>
      </c>
      <c r="U32" s="107" t="e">
        <f>VLOOKUP($A32,'S46'!$C:$BQ,39,0)</f>
        <v>#N/A</v>
      </c>
      <c r="V32" s="107" t="e">
        <f>VLOOKUP($A32,'S46'!$C:$BQ,40,0)</f>
        <v>#N/A</v>
      </c>
      <c r="W32" s="107" t="e">
        <f>VLOOKUP($A32,'S46'!$C:$BQ,22,0)</f>
        <v>#N/A</v>
      </c>
      <c r="X32" s="115" t="e">
        <f>VLOOKUP($A32,'S46'!$C:$BQ,29,0)</f>
        <v>#N/A</v>
      </c>
      <c r="Y32" s="115" t="e">
        <f>VLOOKUP($A32,'S46'!$C:$BQ,30,0)</f>
        <v>#N/A</v>
      </c>
      <c r="Z32" s="115" t="e">
        <f>VLOOKUP($A32,'S46'!$C:$BQ,52,0)</f>
        <v>#N/A</v>
      </c>
      <c r="AA32" s="115" t="e">
        <f>VLOOKUP($A32,'S46'!$C:$BQ,59,0)</f>
        <v>#N/A</v>
      </c>
      <c r="AB32" s="115" t="e">
        <f>VLOOKUP($A32,'S46'!$C:$BQ,60,0)</f>
        <v>#N/A</v>
      </c>
      <c r="AC32" s="107" t="e">
        <f>VLOOKUP($A32,'S47'!$C:$BQ,32,0)</f>
        <v>#N/A</v>
      </c>
      <c r="AD32" s="107" t="e">
        <f>VLOOKUP($A32,'S47'!$C:$BQ,39,0)</f>
        <v>#N/A</v>
      </c>
      <c r="AE32" s="107" t="e">
        <f>VLOOKUP($A32,'S47'!$C:$BQ,40,0)</f>
        <v>#N/A</v>
      </c>
      <c r="AF32" s="107" t="e">
        <f>VLOOKUP($A32,'S47'!$C:$BQ,22,0)</f>
        <v>#N/A</v>
      </c>
      <c r="AG32" s="115" t="e">
        <f>VLOOKUP($A32,'S47'!$C:$BQ,29,0)</f>
        <v>#N/A</v>
      </c>
      <c r="AH32" s="115" t="e">
        <f>VLOOKUP($A32,'S47'!$C:$BQ,30,0)</f>
        <v>#N/A</v>
      </c>
      <c r="AI32" s="115" t="e">
        <f>VLOOKUP($A32,'S47'!$C:$BQ,52,0)</f>
        <v>#N/A</v>
      </c>
      <c r="AJ32" s="115" t="e">
        <f>VLOOKUP($A32,'S47'!$C:$BQ,59,0)</f>
        <v>#N/A</v>
      </c>
      <c r="AK32" s="115" t="e">
        <f>VLOOKUP($A32,'S47'!$C:$BQ,60,0)</f>
        <v>#N/A</v>
      </c>
      <c r="AL32" s="107" t="e">
        <f>VLOOKUP($A32,'S48'!$C:$BQ,32,0)</f>
        <v>#N/A</v>
      </c>
      <c r="AM32" s="107" t="e">
        <f>VLOOKUP($A32,'S48'!$C:$BQ,39,0)</f>
        <v>#N/A</v>
      </c>
      <c r="AN32" s="107" t="e">
        <f>VLOOKUP($A32,'S48'!$C:$BQ,40,0)</f>
        <v>#N/A</v>
      </c>
      <c r="AO32" s="107" t="e">
        <f>VLOOKUP($A32,'S48'!$C:$BQ,22,0)</f>
        <v>#N/A</v>
      </c>
      <c r="AP32" s="115" t="e">
        <f>VLOOKUP($A32,'S48'!$C:$BQ,29,0)</f>
        <v>#N/A</v>
      </c>
      <c r="AQ32" s="115" t="e">
        <f>VLOOKUP($A32,'S48'!$C:$BQ,30,0)</f>
        <v>#N/A</v>
      </c>
      <c r="AR32" s="115" t="e">
        <f>VLOOKUP($A32,'S48'!$C:$BQ,52,0)</f>
        <v>#N/A</v>
      </c>
      <c r="AS32" s="115" t="e">
        <f>VLOOKUP($A32,'S48'!$C:$BQ,59,0)</f>
        <v>#N/A</v>
      </c>
      <c r="AT32" s="115" t="e">
        <f>VLOOKUP($A32,'S48'!$C:$BQ,60,0)</f>
        <v>#N/A</v>
      </c>
      <c r="AU32" s="107" t="e">
        <f>VLOOKUP($A32,'S49'!$C:$BQ,32,0)</f>
        <v>#N/A</v>
      </c>
      <c r="AV32" s="107" t="e">
        <f>VLOOKUP($A32,'S49'!$C:$BQ,39,0)</f>
        <v>#N/A</v>
      </c>
      <c r="AW32" s="107" t="e">
        <f>VLOOKUP($A32,'S49'!$C:$BQ,40,0)</f>
        <v>#N/A</v>
      </c>
      <c r="AX32" s="107" t="e">
        <f>VLOOKUP($A32,'S49'!$C:$BQ,22,0)</f>
        <v>#N/A</v>
      </c>
      <c r="AY32" s="115" t="e">
        <f>VLOOKUP($A32,'S49'!$C:$BQ,29,0)</f>
        <v>#N/A</v>
      </c>
      <c r="AZ32" s="115" t="e">
        <f>VLOOKUP($A32,'S49'!$C:$BQ,30,0)</f>
        <v>#N/A</v>
      </c>
      <c r="BA32" s="115" t="e">
        <f>VLOOKUP($A32,'S49'!$C:$BQ,52,0)</f>
        <v>#N/A</v>
      </c>
      <c r="BB32" s="115" t="e">
        <f>VLOOKUP($A32,'S49'!$C:$BQ,59,0)</f>
        <v>#N/A</v>
      </c>
      <c r="BC32" s="115" t="e">
        <f>VLOOKUP($A32,'S49'!$C:$BQ,60,0)</f>
        <v>#N/A</v>
      </c>
      <c r="BD32" s="107" t="e">
        <f>VLOOKUP($A32,'S50'!$C:$BQ,32,0)</f>
        <v>#N/A</v>
      </c>
      <c r="BE32" s="107" t="e">
        <f>VLOOKUP($A32,'S50'!$C:$BQ,39,0)</f>
        <v>#N/A</v>
      </c>
      <c r="BF32" s="107" t="e">
        <f>VLOOKUP($A32,'S50'!$C:$BQ,40,0)</f>
        <v>#N/A</v>
      </c>
      <c r="BG32" s="107" t="e">
        <f>VLOOKUP($A32,'S50'!$C:$BQ,22,0)</f>
        <v>#N/A</v>
      </c>
      <c r="BH32" s="115" t="e">
        <f>VLOOKUP($A32,'S50'!$C:$BQ,29,0)</f>
        <v>#N/A</v>
      </c>
      <c r="BI32" s="115" t="e">
        <f>VLOOKUP($A32,'S50'!$C:$BQ,30,0)</f>
        <v>#N/A</v>
      </c>
      <c r="BJ32" s="115" t="e">
        <f>VLOOKUP($A32,'S50'!$C:$BQ,52,0)</f>
        <v>#N/A</v>
      </c>
      <c r="BK32" s="115" t="e">
        <f>VLOOKUP($A32,'S50'!$C:$BQ,59,0)</f>
        <v>#N/A</v>
      </c>
      <c r="BL32" s="115" t="e">
        <f>VLOOKUP($A32,'S50'!$C:$BQ,60,0)</f>
        <v>#N/A</v>
      </c>
    </row>
    <row r="33" spans="1:64" x14ac:dyDescent="0.2">
      <c r="A33" s="106" t="s">
        <v>88</v>
      </c>
      <c r="B33" s="107">
        <f>VLOOKUP($A33,'S0 remplacer avec S44'!$C:$BQ,32,0)</f>
        <v>139.9</v>
      </c>
      <c r="C33" s="107">
        <f>VLOOKUP($A33,'S0 remplacer avec S44'!$C:$BQ,39,0)</f>
        <v>15</v>
      </c>
      <c r="D33" s="107">
        <f>VLOOKUP($A33,'S0 remplacer avec S44'!$C:$BQ,40,0)</f>
        <v>46</v>
      </c>
      <c r="E33" s="107">
        <f>VLOOKUP($A33,'S0 remplacer avec S44'!$C:$BQ,22,0)</f>
        <v>1182.5286000000001</v>
      </c>
      <c r="F33" s="115">
        <f>VLOOKUP($A33,'S0 remplacer avec S44'!$C:$BQ,29,0)</f>
        <v>221</v>
      </c>
      <c r="G33" s="115">
        <f>VLOOKUP($A33,'S0 remplacer avec S44'!$C:$BQ,30,0)</f>
        <v>502</v>
      </c>
      <c r="H33" s="115">
        <f>VLOOKUP($A33,'S0 remplacer avec S44'!$C:$BQ,52,0)</f>
        <v>92.6</v>
      </c>
      <c r="I33" s="115">
        <f>VLOOKUP($A33,'S0 remplacer avec S44'!$C:$BQ,59,0)</f>
        <v>0</v>
      </c>
      <c r="J33" s="115">
        <f>VLOOKUP($A33,'S0 remplacer avec S44'!$C:$BQ,60,0)</f>
        <v>2</v>
      </c>
      <c r="K33" s="107" t="e">
        <f>VLOOKUP($A33,'S45'!$C:$BQ,32,0)</f>
        <v>#N/A</v>
      </c>
      <c r="L33" s="107" t="e">
        <f>VLOOKUP($A33,'S45'!$C:$BQ,39,0)</f>
        <v>#N/A</v>
      </c>
      <c r="M33" s="107" t="e">
        <f>VLOOKUP($A33,'S45'!$C:$BQ,40,0)</f>
        <v>#N/A</v>
      </c>
      <c r="N33" s="107" t="e">
        <f>VLOOKUP($A33,'S45'!$C:$BQ,22,0)</f>
        <v>#N/A</v>
      </c>
      <c r="O33" s="115" t="e">
        <f>VLOOKUP($A33,'S45'!$C:$BQ,29,0)</f>
        <v>#N/A</v>
      </c>
      <c r="P33" s="115" t="e">
        <f>VLOOKUP($A33,'S45'!$C:$BQ,30,0)</f>
        <v>#N/A</v>
      </c>
      <c r="Q33" s="115" t="e">
        <f>VLOOKUP($A33,'S45'!$C:$BQ,52,0)</f>
        <v>#N/A</v>
      </c>
      <c r="R33" s="115" t="e">
        <f>VLOOKUP($A33,'S45'!$C:$BQ,59,0)</f>
        <v>#N/A</v>
      </c>
      <c r="S33" s="115" t="e">
        <f>VLOOKUP($A33,'S45'!$C:$BQ,60,0)</f>
        <v>#N/A</v>
      </c>
      <c r="T33" s="107" t="e">
        <f>VLOOKUP($A33,'S46'!$C:$BQ,32,0)</f>
        <v>#N/A</v>
      </c>
      <c r="U33" s="107" t="e">
        <f>VLOOKUP($A33,'S46'!$C:$BQ,39,0)</f>
        <v>#N/A</v>
      </c>
      <c r="V33" s="107" t="e">
        <f>VLOOKUP($A33,'S46'!$C:$BQ,40,0)</f>
        <v>#N/A</v>
      </c>
      <c r="W33" s="107" t="e">
        <f>VLOOKUP($A33,'S46'!$C:$BQ,22,0)</f>
        <v>#N/A</v>
      </c>
      <c r="X33" s="115" t="e">
        <f>VLOOKUP($A33,'S46'!$C:$BQ,29,0)</f>
        <v>#N/A</v>
      </c>
      <c r="Y33" s="115" t="e">
        <f>VLOOKUP($A33,'S46'!$C:$BQ,30,0)</f>
        <v>#N/A</v>
      </c>
      <c r="Z33" s="115" t="e">
        <f>VLOOKUP($A33,'S46'!$C:$BQ,52,0)</f>
        <v>#N/A</v>
      </c>
      <c r="AA33" s="115" t="e">
        <f>VLOOKUP($A33,'S46'!$C:$BQ,59,0)</f>
        <v>#N/A</v>
      </c>
      <c r="AB33" s="115" t="e">
        <f>VLOOKUP($A33,'S46'!$C:$BQ,60,0)</f>
        <v>#N/A</v>
      </c>
      <c r="AC33" s="107" t="e">
        <f>VLOOKUP($A33,'S47'!$C:$BQ,32,0)</f>
        <v>#N/A</v>
      </c>
      <c r="AD33" s="107" t="e">
        <f>VLOOKUP($A33,'S47'!$C:$BQ,39,0)</f>
        <v>#N/A</v>
      </c>
      <c r="AE33" s="107" t="e">
        <f>VLOOKUP($A33,'S47'!$C:$BQ,40,0)</f>
        <v>#N/A</v>
      </c>
      <c r="AF33" s="107" t="e">
        <f>VLOOKUP($A33,'S47'!$C:$BQ,22,0)</f>
        <v>#N/A</v>
      </c>
      <c r="AG33" s="115" t="e">
        <f>VLOOKUP($A33,'S47'!$C:$BQ,29,0)</f>
        <v>#N/A</v>
      </c>
      <c r="AH33" s="115" t="e">
        <f>VLOOKUP($A33,'S47'!$C:$BQ,30,0)</f>
        <v>#N/A</v>
      </c>
      <c r="AI33" s="115" t="e">
        <f>VLOOKUP($A33,'S47'!$C:$BQ,52,0)</f>
        <v>#N/A</v>
      </c>
      <c r="AJ33" s="115" t="e">
        <f>VLOOKUP($A33,'S47'!$C:$BQ,59,0)</f>
        <v>#N/A</v>
      </c>
      <c r="AK33" s="115" t="e">
        <f>VLOOKUP($A33,'S47'!$C:$BQ,60,0)</f>
        <v>#N/A</v>
      </c>
      <c r="AL33" s="107" t="e">
        <f>VLOOKUP($A33,'S48'!$C:$BQ,32,0)</f>
        <v>#N/A</v>
      </c>
      <c r="AM33" s="107" t="e">
        <f>VLOOKUP($A33,'S48'!$C:$BQ,39,0)</f>
        <v>#N/A</v>
      </c>
      <c r="AN33" s="107" t="e">
        <f>VLOOKUP($A33,'S48'!$C:$BQ,40,0)</f>
        <v>#N/A</v>
      </c>
      <c r="AO33" s="107" t="e">
        <f>VLOOKUP($A33,'S48'!$C:$BQ,22,0)</f>
        <v>#N/A</v>
      </c>
      <c r="AP33" s="115" t="e">
        <f>VLOOKUP($A33,'S48'!$C:$BQ,29,0)</f>
        <v>#N/A</v>
      </c>
      <c r="AQ33" s="115" t="e">
        <f>VLOOKUP($A33,'S48'!$C:$BQ,30,0)</f>
        <v>#N/A</v>
      </c>
      <c r="AR33" s="115" t="e">
        <f>VLOOKUP($A33,'S48'!$C:$BQ,52,0)</f>
        <v>#N/A</v>
      </c>
      <c r="AS33" s="115" t="e">
        <f>VLOOKUP($A33,'S48'!$C:$BQ,59,0)</f>
        <v>#N/A</v>
      </c>
      <c r="AT33" s="115" t="e">
        <f>VLOOKUP($A33,'S48'!$C:$BQ,60,0)</f>
        <v>#N/A</v>
      </c>
      <c r="AU33" s="107" t="e">
        <f>VLOOKUP($A33,'S49'!$C:$BQ,32,0)</f>
        <v>#N/A</v>
      </c>
      <c r="AV33" s="107" t="e">
        <f>VLOOKUP($A33,'S49'!$C:$BQ,39,0)</f>
        <v>#N/A</v>
      </c>
      <c r="AW33" s="107" t="e">
        <f>VLOOKUP($A33,'S49'!$C:$BQ,40,0)</f>
        <v>#N/A</v>
      </c>
      <c r="AX33" s="107" t="e">
        <f>VLOOKUP($A33,'S49'!$C:$BQ,22,0)</f>
        <v>#N/A</v>
      </c>
      <c r="AY33" s="115" t="e">
        <f>VLOOKUP($A33,'S49'!$C:$BQ,29,0)</f>
        <v>#N/A</v>
      </c>
      <c r="AZ33" s="115" t="e">
        <f>VLOOKUP($A33,'S49'!$C:$BQ,30,0)</f>
        <v>#N/A</v>
      </c>
      <c r="BA33" s="115" t="e">
        <f>VLOOKUP($A33,'S49'!$C:$BQ,52,0)</f>
        <v>#N/A</v>
      </c>
      <c r="BB33" s="115" t="e">
        <f>VLOOKUP($A33,'S49'!$C:$BQ,59,0)</f>
        <v>#N/A</v>
      </c>
      <c r="BC33" s="115" t="e">
        <f>VLOOKUP($A33,'S49'!$C:$BQ,60,0)</f>
        <v>#N/A</v>
      </c>
      <c r="BD33" s="107" t="e">
        <f>VLOOKUP($A33,'S50'!$C:$BQ,32,0)</f>
        <v>#N/A</v>
      </c>
      <c r="BE33" s="107" t="e">
        <f>VLOOKUP($A33,'S50'!$C:$BQ,39,0)</f>
        <v>#N/A</v>
      </c>
      <c r="BF33" s="107" t="e">
        <f>VLOOKUP($A33,'S50'!$C:$BQ,40,0)</f>
        <v>#N/A</v>
      </c>
      <c r="BG33" s="107" t="e">
        <f>VLOOKUP($A33,'S50'!$C:$BQ,22,0)</f>
        <v>#N/A</v>
      </c>
      <c r="BH33" s="115" t="e">
        <f>VLOOKUP($A33,'S50'!$C:$BQ,29,0)</f>
        <v>#N/A</v>
      </c>
      <c r="BI33" s="115" t="e">
        <f>VLOOKUP($A33,'S50'!$C:$BQ,30,0)</f>
        <v>#N/A</v>
      </c>
      <c r="BJ33" s="115" t="e">
        <f>VLOOKUP($A33,'S50'!$C:$BQ,52,0)</f>
        <v>#N/A</v>
      </c>
      <c r="BK33" s="115" t="e">
        <f>VLOOKUP($A33,'S50'!$C:$BQ,59,0)</f>
        <v>#N/A</v>
      </c>
      <c r="BL33" s="115" t="e">
        <f>VLOOKUP($A33,'S50'!$C:$BQ,60,0)</f>
        <v>#N/A</v>
      </c>
    </row>
    <row r="34" spans="1:64" x14ac:dyDescent="0.2">
      <c r="A34" s="106" t="s">
        <v>89</v>
      </c>
      <c r="B34" s="107">
        <f>VLOOKUP($A34,'S0 remplacer avec S44'!$C:$BQ,32,0)</f>
        <v>195.2</v>
      </c>
      <c r="C34" s="107">
        <f>VLOOKUP($A34,'S0 remplacer avec S44'!$C:$BQ,39,0)</f>
        <v>41</v>
      </c>
      <c r="D34" s="107">
        <f>VLOOKUP($A34,'S0 remplacer avec S44'!$C:$BQ,40,0)</f>
        <v>89</v>
      </c>
      <c r="E34" s="107">
        <f>VLOOKUP($A34,'S0 remplacer avec S44'!$C:$BQ,22,0)</f>
        <v>2298.4796999999999</v>
      </c>
      <c r="F34" s="115">
        <f>VLOOKUP($A34,'S0 remplacer avec S44'!$C:$BQ,29,0)</f>
        <v>0</v>
      </c>
      <c r="G34" s="115">
        <f>VLOOKUP($A34,'S0 remplacer avec S44'!$C:$BQ,30,0)</f>
        <v>280</v>
      </c>
      <c r="H34" s="115">
        <f>VLOOKUP($A34,'S0 remplacer avec S44'!$C:$BQ,52,0)</f>
        <v>95</v>
      </c>
      <c r="I34" s="115">
        <f>VLOOKUP($A34,'S0 remplacer avec S44'!$C:$BQ,59,0)</f>
        <v>25</v>
      </c>
      <c r="J34" s="115">
        <f>VLOOKUP($A34,'S0 remplacer avec S44'!$C:$BQ,60,0)</f>
        <v>49</v>
      </c>
      <c r="K34" s="107" t="e">
        <f>VLOOKUP($A34,'S45'!$C:$BQ,32,0)</f>
        <v>#N/A</v>
      </c>
      <c r="L34" s="107" t="e">
        <f>VLOOKUP($A34,'S45'!$C:$BQ,39,0)</f>
        <v>#N/A</v>
      </c>
      <c r="M34" s="107" t="e">
        <f>VLOOKUP($A34,'S45'!$C:$BQ,40,0)</f>
        <v>#N/A</v>
      </c>
      <c r="N34" s="107" t="e">
        <f>VLOOKUP($A34,'S45'!$C:$BQ,22,0)</f>
        <v>#N/A</v>
      </c>
      <c r="O34" s="115" t="e">
        <f>VLOOKUP($A34,'S45'!$C:$BQ,29,0)</f>
        <v>#N/A</v>
      </c>
      <c r="P34" s="115" t="e">
        <f>VLOOKUP($A34,'S45'!$C:$BQ,30,0)</f>
        <v>#N/A</v>
      </c>
      <c r="Q34" s="115" t="e">
        <f>VLOOKUP($A34,'S45'!$C:$BQ,52,0)</f>
        <v>#N/A</v>
      </c>
      <c r="R34" s="115" t="e">
        <f>VLOOKUP($A34,'S45'!$C:$BQ,59,0)</f>
        <v>#N/A</v>
      </c>
      <c r="S34" s="115" t="e">
        <f>VLOOKUP($A34,'S45'!$C:$BQ,60,0)</f>
        <v>#N/A</v>
      </c>
      <c r="T34" s="107" t="e">
        <f>VLOOKUP($A34,'S46'!$C:$BQ,32,0)</f>
        <v>#N/A</v>
      </c>
      <c r="U34" s="107" t="e">
        <f>VLOOKUP($A34,'S46'!$C:$BQ,39,0)</f>
        <v>#N/A</v>
      </c>
      <c r="V34" s="107" t="e">
        <f>VLOOKUP($A34,'S46'!$C:$BQ,40,0)</f>
        <v>#N/A</v>
      </c>
      <c r="W34" s="107" t="e">
        <f>VLOOKUP($A34,'S46'!$C:$BQ,22,0)</f>
        <v>#N/A</v>
      </c>
      <c r="X34" s="115" t="e">
        <f>VLOOKUP($A34,'S46'!$C:$BQ,29,0)</f>
        <v>#N/A</v>
      </c>
      <c r="Y34" s="115" t="e">
        <f>VLOOKUP($A34,'S46'!$C:$BQ,30,0)</f>
        <v>#N/A</v>
      </c>
      <c r="Z34" s="115" t="e">
        <f>VLOOKUP($A34,'S46'!$C:$BQ,52,0)</f>
        <v>#N/A</v>
      </c>
      <c r="AA34" s="115" t="e">
        <f>VLOOKUP($A34,'S46'!$C:$BQ,59,0)</f>
        <v>#N/A</v>
      </c>
      <c r="AB34" s="115" t="e">
        <f>VLOOKUP($A34,'S46'!$C:$BQ,60,0)</f>
        <v>#N/A</v>
      </c>
      <c r="AC34" s="107" t="e">
        <f>VLOOKUP($A34,'S47'!$C:$BQ,32,0)</f>
        <v>#N/A</v>
      </c>
      <c r="AD34" s="107" t="e">
        <f>VLOOKUP($A34,'S47'!$C:$BQ,39,0)</f>
        <v>#N/A</v>
      </c>
      <c r="AE34" s="107" t="e">
        <f>VLOOKUP($A34,'S47'!$C:$BQ,40,0)</f>
        <v>#N/A</v>
      </c>
      <c r="AF34" s="107" t="e">
        <f>VLOOKUP($A34,'S47'!$C:$BQ,22,0)</f>
        <v>#N/A</v>
      </c>
      <c r="AG34" s="115" t="e">
        <f>VLOOKUP($A34,'S47'!$C:$BQ,29,0)</f>
        <v>#N/A</v>
      </c>
      <c r="AH34" s="115" t="e">
        <f>VLOOKUP($A34,'S47'!$C:$BQ,30,0)</f>
        <v>#N/A</v>
      </c>
      <c r="AI34" s="115" t="e">
        <f>VLOOKUP($A34,'S47'!$C:$BQ,52,0)</f>
        <v>#N/A</v>
      </c>
      <c r="AJ34" s="115" t="e">
        <f>VLOOKUP($A34,'S47'!$C:$BQ,59,0)</f>
        <v>#N/A</v>
      </c>
      <c r="AK34" s="115" t="e">
        <f>VLOOKUP($A34,'S47'!$C:$BQ,60,0)</f>
        <v>#N/A</v>
      </c>
      <c r="AL34" s="107" t="e">
        <f>VLOOKUP($A34,'S48'!$C:$BQ,32,0)</f>
        <v>#N/A</v>
      </c>
      <c r="AM34" s="107" t="e">
        <f>VLOOKUP($A34,'S48'!$C:$BQ,39,0)</f>
        <v>#N/A</v>
      </c>
      <c r="AN34" s="107" t="e">
        <f>VLOOKUP($A34,'S48'!$C:$BQ,40,0)</f>
        <v>#N/A</v>
      </c>
      <c r="AO34" s="107" t="e">
        <f>VLOOKUP($A34,'S48'!$C:$BQ,22,0)</f>
        <v>#N/A</v>
      </c>
      <c r="AP34" s="115" t="e">
        <f>VLOOKUP($A34,'S48'!$C:$BQ,29,0)</f>
        <v>#N/A</v>
      </c>
      <c r="AQ34" s="115" t="e">
        <f>VLOOKUP($A34,'S48'!$C:$BQ,30,0)</f>
        <v>#N/A</v>
      </c>
      <c r="AR34" s="115" t="e">
        <f>VLOOKUP($A34,'S48'!$C:$BQ,52,0)</f>
        <v>#N/A</v>
      </c>
      <c r="AS34" s="115" t="e">
        <f>VLOOKUP($A34,'S48'!$C:$BQ,59,0)</f>
        <v>#N/A</v>
      </c>
      <c r="AT34" s="115" t="e">
        <f>VLOOKUP($A34,'S48'!$C:$BQ,60,0)</f>
        <v>#N/A</v>
      </c>
      <c r="AU34" s="107" t="e">
        <f>VLOOKUP($A34,'S49'!$C:$BQ,32,0)</f>
        <v>#N/A</v>
      </c>
      <c r="AV34" s="107" t="e">
        <f>VLOOKUP($A34,'S49'!$C:$BQ,39,0)</f>
        <v>#N/A</v>
      </c>
      <c r="AW34" s="107" t="e">
        <f>VLOOKUP($A34,'S49'!$C:$BQ,40,0)</f>
        <v>#N/A</v>
      </c>
      <c r="AX34" s="107" t="e">
        <f>VLOOKUP($A34,'S49'!$C:$BQ,22,0)</f>
        <v>#N/A</v>
      </c>
      <c r="AY34" s="115" t="e">
        <f>VLOOKUP($A34,'S49'!$C:$BQ,29,0)</f>
        <v>#N/A</v>
      </c>
      <c r="AZ34" s="115" t="e">
        <f>VLOOKUP($A34,'S49'!$C:$BQ,30,0)</f>
        <v>#N/A</v>
      </c>
      <c r="BA34" s="115" t="e">
        <f>VLOOKUP($A34,'S49'!$C:$BQ,52,0)</f>
        <v>#N/A</v>
      </c>
      <c r="BB34" s="115" t="e">
        <f>VLOOKUP($A34,'S49'!$C:$BQ,59,0)</f>
        <v>#N/A</v>
      </c>
      <c r="BC34" s="115" t="e">
        <f>VLOOKUP($A34,'S49'!$C:$BQ,60,0)</f>
        <v>#N/A</v>
      </c>
      <c r="BD34" s="107" t="e">
        <f>VLOOKUP($A34,'S50'!$C:$BQ,32,0)</f>
        <v>#N/A</v>
      </c>
      <c r="BE34" s="107" t="e">
        <f>VLOOKUP($A34,'S50'!$C:$BQ,39,0)</f>
        <v>#N/A</v>
      </c>
      <c r="BF34" s="107" t="e">
        <f>VLOOKUP($A34,'S50'!$C:$BQ,40,0)</f>
        <v>#N/A</v>
      </c>
      <c r="BG34" s="107" t="e">
        <f>VLOOKUP($A34,'S50'!$C:$BQ,22,0)</f>
        <v>#N/A</v>
      </c>
      <c r="BH34" s="115" t="e">
        <f>VLOOKUP($A34,'S50'!$C:$BQ,29,0)</f>
        <v>#N/A</v>
      </c>
      <c r="BI34" s="115" t="e">
        <f>VLOOKUP($A34,'S50'!$C:$BQ,30,0)</f>
        <v>#N/A</v>
      </c>
      <c r="BJ34" s="115" t="e">
        <f>VLOOKUP($A34,'S50'!$C:$BQ,52,0)</f>
        <v>#N/A</v>
      </c>
      <c r="BK34" s="115" t="e">
        <f>VLOOKUP($A34,'S50'!$C:$BQ,59,0)</f>
        <v>#N/A</v>
      </c>
      <c r="BL34" s="115" t="e">
        <f>VLOOKUP($A34,'S50'!$C:$BQ,60,0)</f>
        <v>#N/A</v>
      </c>
    </row>
    <row r="35" spans="1:64" x14ac:dyDescent="0.2">
      <c r="A35" s="106" t="s">
        <v>90</v>
      </c>
      <c r="B35" s="107">
        <f>VLOOKUP($A35,'S0 remplacer avec S44'!$C:$BQ,32,0)</f>
        <v>268.75</v>
      </c>
      <c r="C35" s="107">
        <f>VLOOKUP($A35,'S0 remplacer avec S44'!$C:$BQ,39,0)</f>
        <v>97</v>
      </c>
      <c r="D35" s="107">
        <f>VLOOKUP($A35,'S0 remplacer avec S44'!$C:$BQ,40,0)</f>
        <v>171</v>
      </c>
      <c r="E35" s="107">
        <f>VLOOKUP($A35,'S0 remplacer avec S44'!$C:$BQ,22,0)</f>
        <v>3361.0334050000001</v>
      </c>
      <c r="F35" s="115">
        <f>VLOOKUP($A35,'S0 remplacer avec S44'!$C:$BQ,29,0)</f>
        <v>0</v>
      </c>
      <c r="G35" s="115">
        <f>VLOOKUP($A35,'S0 remplacer avec S44'!$C:$BQ,30,0)</f>
        <v>630</v>
      </c>
      <c r="H35" s="115">
        <f>VLOOKUP($A35,'S0 remplacer avec S44'!$C:$BQ,52,0)</f>
        <v>165.2</v>
      </c>
      <c r="I35" s="115">
        <f>VLOOKUP($A35,'S0 remplacer avec S44'!$C:$BQ,59,0)</f>
        <v>21</v>
      </c>
      <c r="J35" s="115">
        <f>VLOOKUP($A35,'S0 remplacer avec S44'!$C:$BQ,60,0)</f>
        <v>58</v>
      </c>
      <c r="K35" s="107" t="e">
        <f>VLOOKUP($A35,'S45'!$C:$BQ,32,0)</f>
        <v>#N/A</v>
      </c>
      <c r="L35" s="107" t="e">
        <f>VLOOKUP($A35,'S45'!$C:$BQ,39,0)</f>
        <v>#N/A</v>
      </c>
      <c r="M35" s="107" t="e">
        <f>VLOOKUP($A35,'S45'!$C:$BQ,40,0)</f>
        <v>#N/A</v>
      </c>
      <c r="N35" s="107" t="e">
        <f>VLOOKUP($A35,'S45'!$C:$BQ,22,0)</f>
        <v>#N/A</v>
      </c>
      <c r="O35" s="115" t="e">
        <f>VLOOKUP($A35,'S45'!$C:$BQ,29,0)</f>
        <v>#N/A</v>
      </c>
      <c r="P35" s="115" t="e">
        <f>VLOOKUP($A35,'S45'!$C:$BQ,30,0)</f>
        <v>#N/A</v>
      </c>
      <c r="Q35" s="115" t="e">
        <f>VLOOKUP($A35,'S45'!$C:$BQ,52,0)</f>
        <v>#N/A</v>
      </c>
      <c r="R35" s="115" t="e">
        <f>VLOOKUP($A35,'S45'!$C:$BQ,59,0)</f>
        <v>#N/A</v>
      </c>
      <c r="S35" s="115" t="e">
        <f>VLOOKUP($A35,'S45'!$C:$BQ,60,0)</f>
        <v>#N/A</v>
      </c>
      <c r="T35" s="107" t="e">
        <f>VLOOKUP($A35,'S46'!$C:$BQ,32,0)</f>
        <v>#N/A</v>
      </c>
      <c r="U35" s="107" t="e">
        <f>VLOOKUP($A35,'S46'!$C:$BQ,39,0)</f>
        <v>#N/A</v>
      </c>
      <c r="V35" s="107" t="e">
        <f>VLOOKUP($A35,'S46'!$C:$BQ,40,0)</f>
        <v>#N/A</v>
      </c>
      <c r="W35" s="107" t="e">
        <f>VLOOKUP($A35,'S46'!$C:$BQ,22,0)</f>
        <v>#N/A</v>
      </c>
      <c r="X35" s="115" t="e">
        <f>VLOOKUP($A35,'S46'!$C:$BQ,29,0)</f>
        <v>#N/A</v>
      </c>
      <c r="Y35" s="115" t="e">
        <f>VLOOKUP($A35,'S46'!$C:$BQ,30,0)</f>
        <v>#N/A</v>
      </c>
      <c r="Z35" s="115" t="e">
        <f>VLOOKUP($A35,'S46'!$C:$BQ,52,0)</f>
        <v>#N/A</v>
      </c>
      <c r="AA35" s="115" t="e">
        <f>VLOOKUP($A35,'S46'!$C:$BQ,59,0)</f>
        <v>#N/A</v>
      </c>
      <c r="AB35" s="115" t="e">
        <f>VLOOKUP($A35,'S46'!$C:$BQ,60,0)</f>
        <v>#N/A</v>
      </c>
      <c r="AC35" s="107" t="e">
        <f>VLOOKUP($A35,'S47'!$C:$BQ,32,0)</f>
        <v>#N/A</v>
      </c>
      <c r="AD35" s="107" t="e">
        <f>VLOOKUP($A35,'S47'!$C:$BQ,39,0)</f>
        <v>#N/A</v>
      </c>
      <c r="AE35" s="107" t="e">
        <f>VLOOKUP($A35,'S47'!$C:$BQ,40,0)</f>
        <v>#N/A</v>
      </c>
      <c r="AF35" s="107" t="e">
        <f>VLOOKUP($A35,'S47'!$C:$BQ,22,0)</f>
        <v>#N/A</v>
      </c>
      <c r="AG35" s="115" t="e">
        <f>VLOOKUP($A35,'S47'!$C:$BQ,29,0)</f>
        <v>#N/A</v>
      </c>
      <c r="AH35" s="115" t="e">
        <f>VLOOKUP($A35,'S47'!$C:$BQ,30,0)</f>
        <v>#N/A</v>
      </c>
      <c r="AI35" s="115" t="e">
        <f>VLOOKUP($A35,'S47'!$C:$BQ,52,0)</f>
        <v>#N/A</v>
      </c>
      <c r="AJ35" s="115" t="e">
        <f>VLOOKUP($A35,'S47'!$C:$BQ,59,0)</f>
        <v>#N/A</v>
      </c>
      <c r="AK35" s="115" t="e">
        <f>VLOOKUP($A35,'S47'!$C:$BQ,60,0)</f>
        <v>#N/A</v>
      </c>
      <c r="AL35" s="107" t="e">
        <f>VLOOKUP($A35,'S48'!$C:$BQ,32,0)</f>
        <v>#N/A</v>
      </c>
      <c r="AM35" s="107" t="e">
        <f>VLOOKUP($A35,'S48'!$C:$BQ,39,0)</f>
        <v>#N/A</v>
      </c>
      <c r="AN35" s="107" t="e">
        <f>VLOOKUP($A35,'S48'!$C:$BQ,40,0)</f>
        <v>#N/A</v>
      </c>
      <c r="AO35" s="107" t="e">
        <f>VLOOKUP($A35,'S48'!$C:$BQ,22,0)</f>
        <v>#N/A</v>
      </c>
      <c r="AP35" s="115" t="e">
        <f>VLOOKUP($A35,'S48'!$C:$BQ,29,0)</f>
        <v>#N/A</v>
      </c>
      <c r="AQ35" s="115" t="e">
        <f>VLOOKUP($A35,'S48'!$C:$BQ,30,0)</f>
        <v>#N/A</v>
      </c>
      <c r="AR35" s="115" t="e">
        <f>VLOOKUP($A35,'S48'!$C:$BQ,52,0)</f>
        <v>#N/A</v>
      </c>
      <c r="AS35" s="115" t="e">
        <f>VLOOKUP($A35,'S48'!$C:$BQ,59,0)</f>
        <v>#N/A</v>
      </c>
      <c r="AT35" s="115" t="e">
        <f>VLOOKUP($A35,'S48'!$C:$BQ,60,0)</f>
        <v>#N/A</v>
      </c>
      <c r="AU35" s="107" t="e">
        <f>VLOOKUP($A35,'S49'!$C:$BQ,32,0)</f>
        <v>#N/A</v>
      </c>
      <c r="AV35" s="107" t="e">
        <f>VLOOKUP($A35,'S49'!$C:$BQ,39,0)</f>
        <v>#N/A</v>
      </c>
      <c r="AW35" s="107" t="e">
        <f>VLOOKUP($A35,'S49'!$C:$BQ,40,0)</f>
        <v>#N/A</v>
      </c>
      <c r="AX35" s="107" t="e">
        <f>VLOOKUP($A35,'S49'!$C:$BQ,22,0)</f>
        <v>#N/A</v>
      </c>
      <c r="AY35" s="115" t="e">
        <f>VLOOKUP($A35,'S49'!$C:$BQ,29,0)</f>
        <v>#N/A</v>
      </c>
      <c r="AZ35" s="115" t="e">
        <f>VLOOKUP($A35,'S49'!$C:$BQ,30,0)</f>
        <v>#N/A</v>
      </c>
      <c r="BA35" s="115" t="e">
        <f>VLOOKUP($A35,'S49'!$C:$BQ,52,0)</f>
        <v>#N/A</v>
      </c>
      <c r="BB35" s="115" t="e">
        <f>VLOOKUP($A35,'S49'!$C:$BQ,59,0)</f>
        <v>#N/A</v>
      </c>
      <c r="BC35" s="115" t="e">
        <f>VLOOKUP($A35,'S49'!$C:$BQ,60,0)</f>
        <v>#N/A</v>
      </c>
      <c r="BD35" s="107" t="e">
        <f>VLOOKUP($A35,'S50'!$C:$BQ,32,0)</f>
        <v>#N/A</v>
      </c>
      <c r="BE35" s="107" t="e">
        <f>VLOOKUP($A35,'S50'!$C:$BQ,39,0)</f>
        <v>#N/A</v>
      </c>
      <c r="BF35" s="107" t="e">
        <f>VLOOKUP($A35,'S50'!$C:$BQ,40,0)</f>
        <v>#N/A</v>
      </c>
      <c r="BG35" s="107" t="e">
        <f>VLOOKUP($A35,'S50'!$C:$BQ,22,0)</f>
        <v>#N/A</v>
      </c>
      <c r="BH35" s="115" t="e">
        <f>VLOOKUP($A35,'S50'!$C:$BQ,29,0)</f>
        <v>#N/A</v>
      </c>
      <c r="BI35" s="115" t="e">
        <f>VLOOKUP($A35,'S50'!$C:$BQ,30,0)</f>
        <v>#N/A</v>
      </c>
      <c r="BJ35" s="115" t="e">
        <f>VLOOKUP($A35,'S50'!$C:$BQ,52,0)</f>
        <v>#N/A</v>
      </c>
      <c r="BK35" s="115" t="e">
        <f>VLOOKUP($A35,'S50'!$C:$BQ,59,0)</f>
        <v>#N/A</v>
      </c>
      <c r="BL35" s="115" t="e">
        <f>VLOOKUP($A35,'S50'!$C:$BQ,60,0)</f>
        <v>#N/A</v>
      </c>
    </row>
    <row r="36" spans="1:64" x14ac:dyDescent="0.2">
      <c r="A36" s="106" t="s">
        <v>91</v>
      </c>
      <c r="B36" s="107">
        <f>VLOOKUP($A36,'S0 remplacer avec S44'!$C:$BQ,32,0)</f>
        <v>142.75</v>
      </c>
      <c r="C36" s="107">
        <f>VLOOKUP($A36,'S0 remplacer avec S44'!$C:$BQ,39,0)</f>
        <v>42</v>
      </c>
      <c r="D36" s="107">
        <f>VLOOKUP($A36,'S0 remplacer avec S44'!$C:$BQ,40,0)</f>
        <v>79</v>
      </c>
      <c r="E36" s="107">
        <f>VLOOKUP($A36,'S0 remplacer avec S44'!$C:$BQ,22,0)</f>
        <v>1218.8441350000001</v>
      </c>
      <c r="F36" s="115">
        <f>VLOOKUP($A36,'S0 remplacer avec S44'!$C:$BQ,29,0)</f>
        <v>455</v>
      </c>
      <c r="G36" s="115">
        <f>VLOOKUP($A36,'S0 remplacer avec S44'!$C:$BQ,30,0)</f>
        <v>790</v>
      </c>
      <c r="H36" s="115">
        <f>VLOOKUP($A36,'S0 remplacer avec S44'!$C:$BQ,52,0)</f>
        <v>101.2</v>
      </c>
      <c r="I36" s="115">
        <f>VLOOKUP($A36,'S0 remplacer avec S44'!$C:$BQ,59,0)</f>
        <v>0</v>
      </c>
      <c r="J36" s="115">
        <f>VLOOKUP($A36,'S0 remplacer avec S44'!$C:$BQ,60,0)</f>
        <v>11</v>
      </c>
      <c r="K36" s="107" t="e">
        <f>VLOOKUP($A36,'S45'!$C:$BQ,32,0)</f>
        <v>#N/A</v>
      </c>
      <c r="L36" s="107" t="e">
        <f>VLOOKUP($A36,'S45'!$C:$BQ,39,0)</f>
        <v>#N/A</v>
      </c>
      <c r="M36" s="107" t="e">
        <f>VLOOKUP($A36,'S45'!$C:$BQ,40,0)</f>
        <v>#N/A</v>
      </c>
      <c r="N36" s="107" t="e">
        <f>VLOOKUP($A36,'S45'!$C:$BQ,22,0)</f>
        <v>#N/A</v>
      </c>
      <c r="O36" s="115" t="e">
        <f>VLOOKUP($A36,'S45'!$C:$BQ,29,0)</f>
        <v>#N/A</v>
      </c>
      <c r="P36" s="115" t="e">
        <f>VLOOKUP($A36,'S45'!$C:$BQ,30,0)</f>
        <v>#N/A</v>
      </c>
      <c r="Q36" s="115" t="e">
        <f>VLOOKUP($A36,'S45'!$C:$BQ,52,0)</f>
        <v>#N/A</v>
      </c>
      <c r="R36" s="115" t="e">
        <f>VLOOKUP($A36,'S45'!$C:$BQ,59,0)</f>
        <v>#N/A</v>
      </c>
      <c r="S36" s="115" t="e">
        <f>VLOOKUP($A36,'S45'!$C:$BQ,60,0)</f>
        <v>#N/A</v>
      </c>
      <c r="T36" s="107" t="e">
        <f>VLOOKUP($A36,'S46'!$C:$BQ,32,0)</f>
        <v>#N/A</v>
      </c>
      <c r="U36" s="107" t="e">
        <f>VLOOKUP($A36,'S46'!$C:$BQ,39,0)</f>
        <v>#N/A</v>
      </c>
      <c r="V36" s="107" t="e">
        <f>VLOOKUP($A36,'S46'!$C:$BQ,40,0)</f>
        <v>#N/A</v>
      </c>
      <c r="W36" s="107" t="e">
        <f>VLOOKUP($A36,'S46'!$C:$BQ,22,0)</f>
        <v>#N/A</v>
      </c>
      <c r="X36" s="115" t="e">
        <f>VLOOKUP($A36,'S46'!$C:$BQ,29,0)</f>
        <v>#N/A</v>
      </c>
      <c r="Y36" s="115" t="e">
        <f>VLOOKUP($A36,'S46'!$C:$BQ,30,0)</f>
        <v>#N/A</v>
      </c>
      <c r="Z36" s="115" t="e">
        <f>VLOOKUP($A36,'S46'!$C:$BQ,52,0)</f>
        <v>#N/A</v>
      </c>
      <c r="AA36" s="115" t="e">
        <f>VLOOKUP($A36,'S46'!$C:$BQ,59,0)</f>
        <v>#N/A</v>
      </c>
      <c r="AB36" s="115" t="e">
        <f>VLOOKUP($A36,'S46'!$C:$BQ,60,0)</f>
        <v>#N/A</v>
      </c>
      <c r="AC36" s="107" t="e">
        <f>VLOOKUP($A36,'S47'!$C:$BQ,32,0)</f>
        <v>#N/A</v>
      </c>
      <c r="AD36" s="107" t="e">
        <f>VLOOKUP($A36,'S47'!$C:$BQ,39,0)</f>
        <v>#N/A</v>
      </c>
      <c r="AE36" s="107" t="e">
        <f>VLOOKUP($A36,'S47'!$C:$BQ,40,0)</f>
        <v>#N/A</v>
      </c>
      <c r="AF36" s="107" t="e">
        <f>VLOOKUP($A36,'S47'!$C:$BQ,22,0)</f>
        <v>#N/A</v>
      </c>
      <c r="AG36" s="115" t="e">
        <f>VLOOKUP($A36,'S47'!$C:$BQ,29,0)</f>
        <v>#N/A</v>
      </c>
      <c r="AH36" s="115" t="e">
        <f>VLOOKUP($A36,'S47'!$C:$BQ,30,0)</f>
        <v>#N/A</v>
      </c>
      <c r="AI36" s="115" t="e">
        <f>VLOOKUP($A36,'S47'!$C:$BQ,52,0)</f>
        <v>#N/A</v>
      </c>
      <c r="AJ36" s="115" t="e">
        <f>VLOOKUP($A36,'S47'!$C:$BQ,59,0)</f>
        <v>#N/A</v>
      </c>
      <c r="AK36" s="115" t="e">
        <f>VLOOKUP($A36,'S47'!$C:$BQ,60,0)</f>
        <v>#N/A</v>
      </c>
      <c r="AL36" s="107" t="e">
        <f>VLOOKUP($A36,'S48'!$C:$BQ,32,0)</f>
        <v>#N/A</v>
      </c>
      <c r="AM36" s="107" t="e">
        <f>VLOOKUP($A36,'S48'!$C:$BQ,39,0)</f>
        <v>#N/A</v>
      </c>
      <c r="AN36" s="107" t="e">
        <f>VLOOKUP($A36,'S48'!$C:$BQ,40,0)</f>
        <v>#N/A</v>
      </c>
      <c r="AO36" s="107" t="e">
        <f>VLOOKUP($A36,'S48'!$C:$BQ,22,0)</f>
        <v>#N/A</v>
      </c>
      <c r="AP36" s="115" t="e">
        <f>VLOOKUP($A36,'S48'!$C:$BQ,29,0)</f>
        <v>#N/A</v>
      </c>
      <c r="AQ36" s="115" t="e">
        <f>VLOOKUP($A36,'S48'!$C:$BQ,30,0)</f>
        <v>#N/A</v>
      </c>
      <c r="AR36" s="115" t="e">
        <f>VLOOKUP($A36,'S48'!$C:$BQ,52,0)</f>
        <v>#N/A</v>
      </c>
      <c r="AS36" s="115" t="e">
        <f>VLOOKUP($A36,'S48'!$C:$BQ,59,0)</f>
        <v>#N/A</v>
      </c>
      <c r="AT36" s="115" t="e">
        <f>VLOOKUP($A36,'S48'!$C:$BQ,60,0)</f>
        <v>#N/A</v>
      </c>
      <c r="AU36" s="107" t="e">
        <f>VLOOKUP($A36,'S49'!$C:$BQ,32,0)</f>
        <v>#N/A</v>
      </c>
      <c r="AV36" s="107" t="e">
        <f>VLOOKUP($A36,'S49'!$C:$BQ,39,0)</f>
        <v>#N/A</v>
      </c>
      <c r="AW36" s="107" t="e">
        <f>VLOOKUP($A36,'S49'!$C:$BQ,40,0)</f>
        <v>#N/A</v>
      </c>
      <c r="AX36" s="107" t="e">
        <f>VLOOKUP($A36,'S49'!$C:$BQ,22,0)</f>
        <v>#N/A</v>
      </c>
      <c r="AY36" s="115" t="e">
        <f>VLOOKUP($A36,'S49'!$C:$BQ,29,0)</f>
        <v>#N/A</v>
      </c>
      <c r="AZ36" s="115" t="e">
        <f>VLOOKUP($A36,'S49'!$C:$BQ,30,0)</f>
        <v>#N/A</v>
      </c>
      <c r="BA36" s="115" t="e">
        <f>VLOOKUP($A36,'S49'!$C:$BQ,52,0)</f>
        <v>#N/A</v>
      </c>
      <c r="BB36" s="115" t="e">
        <f>VLOOKUP($A36,'S49'!$C:$BQ,59,0)</f>
        <v>#N/A</v>
      </c>
      <c r="BC36" s="115" t="e">
        <f>VLOOKUP($A36,'S49'!$C:$BQ,60,0)</f>
        <v>#N/A</v>
      </c>
      <c r="BD36" s="107" t="e">
        <f>VLOOKUP($A36,'S50'!$C:$BQ,32,0)</f>
        <v>#N/A</v>
      </c>
      <c r="BE36" s="107" t="e">
        <f>VLOOKUP($A36,'S50'!$C:$BQ,39,0)</f>
        <v>#N/A</v>
      </c>
      <c r="BF36" s="107" t="e">
        <f>VLOOKUP($A36,'S50'!$C:$BQ,40,0)</f>
        <v>#N/A</v>
      </c>
      <c r="BG36" s="107" t="e">
        <f>VLOOKUP($A36,'S50'!$C:$BQ,22,0)</f>
        <v>#N/A</v>
      </c>
      <c r="BH36" s="115" t="e">
        <f>VLOOKUP($A36,'S50'!$C:$BQ,29,0)</f>
        <v>#N/A</v>
      </c>
      <c r="BI36" s="115" t="e">
        <f>VLOOKUP($A36,'S50'!$C:$BQ,30,0)</f>
        <v>#N/A</v>
      </c>
      <c r="BJ36" s="115" t="e">
        <f>VLOOKUP($A36,'S50'!$C:$BQ,52,0)</f>
        <v>#N/A</v>
      </c>
      <c r="BK36" s="115" t="e">
        <f>VLOOKUP($A36,'S50'!$C:$BQ,59,0)</f>
        <v>#N/A</v>
      </c>
      <c r="BL36" s="115" t="e">
        <f>VLOOKUP($A36,'S50'!$C:$BQ,60,0)</f>
        <v>#N/A</v>
      </c>
    </row>
    <row r="37" spans="1:64" x14ac:dyDescent="0.2">
      <c r="A37" s="106" t="s">
        <v>92</v>
      </c>
      <c r="B37" s="107">
        <f>VLOOKUP($A37,'S0 remplacer avec S44'!$C:$BQ,32,0)</f>
        <v>177.3</v>
      </c>
      <c r="C37" s="107">
        <f>VLOOKUP($A37,'S0 remplacer avec S44'!$C:$BQ,39,0)</f>
        <v>84</v>
      </c>
      <c r="D37" s="107">
        <f>VLOOKUP($A37,'S0 remplacer avec S44'!$C:$BQ,40,0)</f>
        <v>136</v>
      </c>
      <c r="E37" s="107">
        <f>VLOOKUP($A37,'S0 remplacer avec S44'!$C:$BQ,22,0)</f>
        <v>2837.3960149999998</v>
      </c>
      <c r="F37" s="115">
        <f>VLOOKUP($A37,'S0 remplacer avec S44'!$C:$BQ,29,0)</f>
        <v>0</v>
      </c>
      <c r="G37" s="115">
        <f>VLOOKUP($A37,'S0 remplacer avec S44'!$C:$BQ,30,0)</f>
        <v>8</v>
      </c>
      <c r="H37" s="115">
        <f>VLOOKUP($A37,'S0 remplacer avec S44'!$C:$BQ,52,0)</f>
        <v>131</v>
      </c>
      <c r="I37" s="115">
        <f>VLOOKUP($A37,'S0 remplacer avec S44'!$C:$BQ,59,0)</f>
        <v>2</v>
      </c>
      <c r="J37" s="115">
        <f>VLOOKUP($A37,'S0 remplacer avec S44'!$C:$BQ,60,0)</f>
        <v>28</v>
      </c>
      <c r="K37" s="107" t="e">
        <f>VLOOKUP($A37,'S45'!$C:$BQ,32,0)</f>
        <v>#N/A</v>
      </c>
      <c r="L37" s="107" t="e">
        <f>VLOOKUP($A37,'S45'!$C:$BQ,39,0)</f>
        <v>#N/A</v>
      </c>
      <c r="M37" s="107" t="e">
        <f>VLOOKUP($A37,'S45'!$C:$BQ,40,0)</f>
        <v>#N/A</v>
      </c>
      <c r="N37" s="107" t="e">
        <f>VLOOKUP($A37,'S45'!$C:$BQ,22,0)</f>
        <v>#N/A</v>
      </c>
      <c r="O37" s="115" t="e">
        <f>VLOOKUP($A37,'S45'!$C:$BQ,29,0)</f>
        <v>#N/A</v>
      </c>
      <c r="P37" s="115" t="e">
        <f>VLOOKUP($A37,'S45'!$C:$BQ,30,0)</f>
        <v>#N/A</v>
      </c>
      <c r="Q37" s="115" t="e">
        <f>VLOOKUP($A37,'S45'!$C:$BQ,52,0)</f>
        <v>#N/A</v>
      </c>
      <c r="R37" s="115" t="e">
        <f>VLOOKUP($A37,'S45'!$C:$BQ,59,0)</f>
        <v>#N/A</v>
      </c>
      <c r="S37" s="115" t="e">
        <f>VLOOKUP($A37,'S45'!$C:$BQ,60,0)</f>
        <v>#N/A</v>
      </c>
      <c r="T37" s="107" t="e">
        <f>VLOOKUP($A37,'S46'!$C:$BQ,32,0)</f>
        <v>#N/A</v>
      </c>
      <c r="U37" s="107" t="e">
        <f>VLOOKUP($A37,'S46'!$C:$BQ,39,0)</f>
        <v>#N/A</v>
      </c>
      <c r="V37" s="107" t="e">
        <f>VLOOKUP($A37,'S46'!$C:$BQ,40,0)</f>
        <v>#N/A</v>
      </c>
      <c r="W37" s="107" t="e">
        <f>VLOOKUP($A37,'S46'!$C:$BQ,22,0)</f>
        <v>#N/A</v>
      </c>
      <c r="X37" s="115" t="e">
        <f>VLOOKUP($A37,'S46'!$C:$BQ,29,0)</f>
        <v>#N/A</v>
      </c>
      <c r="Y37" s="115" t="e">
        <f>VLOOKUP($A37,'S46'!$C:$BQ,30,0)</f>
        <v>#N/A</v>
      </c>
      <c r="Z37" s="115" t="e">
        <f>VLOOKUP($A37,'S46'!$C:$BQ,52,0)</f>
        <v>#N/A</v>
      </c>
      <c r="AA37" s="115" t="e">
        <f>VLOOKUP($A37,'S46'!$C:$BQ,59,0)</f>
        <v>#N/A</v>
      </c>
      <c r="AB37" s="115" t="e">
        <f>VLOOKUP($A37,'S46'!$C:$BQ,60,0)</f>
        <v>#N/A</v>
      </c>
      <c r="AC37" s="107" t="e">
        <f>VLOOKUP($A37,'S47'!$C:$BQ,32,0)</f>
        <v>#N/A</v>
      </c>
      <c r="AD37" s="107" t="e">
        <f>VLOOKUP($A37,'S47'!$C:$BQ,39,0)</f>
        <v>#N/A</v>
      </c>
      <c r="AE37" s="107" t="e">
        <f>VLOOKUP($A37,'S47'!$C:$BQ,40,0)</f>
        <v>#N/A</v>
      </c>
      <c r="AF37" s="107" t="e">
        <f>VLOOKUP($A37,'S47'!$C:$BQ,22,0)</f>
        <v>#N/A</v>
      </c>
      <c r="AG37" s="115" t="e">
        <f>VLOOKUP($A37,'S47'!$C:$BQ,29,0)</f>
        <v>#N/A</v>
      </c>
      <c r="AH37" s="115" t="e">
        <f>VLOOKUP($A37,'S47'!$C:$BQ,30,0)</f>
        <v>#N/A</v>
      </c>
      <c r="AI37" s="115" t="e">
        <f>VLOOKUP($A37,'S47'!$C:$BQ,52,0)</f>
        <v>#N/A</v>
      </c>
      <c r="AJ37" s="115" t="e">
        <f>VLOOKUP($A37,'S47'!$C:$BQ,59,0)</f>
        <v>#N/A</v>
      </c>
      <c r="AK37" s="115" t="e">
        <f>VLOOKUP($A37,'S47'!$C:$BQ,60,0)</f>
        <v>#N/A</v>
      </c>
      <c r="AL37" s="107" t="e">
        <f>VLOOKUP($A37,'S48'!$C:$BQ,32,0)</f>
        <v>#N/A</v>
      </c>
      <c r="AM37" s="107" t="e">
        <f>VLOOKUP($A37,'S48'!$C:$BQ,39,0)</f>
        <v>#N/A</v>
      </c>
      <c r="AN37" s="107" t="e">
        <f>VLOOKUP($A37,'S48'!$C:$BQ,40,0)</f>
        <v>#N/A</v>
      </c>
      <c r="AO37" s="107" t="e">
        <f>VLOOKUP($A37,'S48'!$C:$BQ,22,0)</f>
        <v>#N/A</v>
      </c>
      <c r="AP37" s="115" t="e">
        <f>VLOOKUP($A37,'S48'!$C:$BQ,29,0)</f>
        <v>#N/A</v>
      </c>
      <c r="AQ37" s="115" t="e">
        <f>VLOOKUP($A37,'S48'!$C:$BQ,30,0)</f>
        <v>#N/A</v>
      </c>
      <c r="AR37" s="115" t="e">
        <f>VLOOKUP($A37,'S48'!$C:$BQ,52,0)</f>
        <v>#N/A</v>
      </c>
      <c r="AS37" s="115" t="e">
        <f>VLOOKUP($A37,'S48'!$C:$BQ,59,0)</f>
        <v>#N/A</v>
      </c>
      <c r="AT37" s="115" t="e">
        <f>VLOOKUP($A37,'S48'!$C:$BQ,60,0)</f>
        <v>#N/A</v>
      </c>
      <c r="AU37" s="107" t="e">
        <f>VLOOKUP($A37,'S49'!$C:$BQ,32,0)</f>
        <v>#N/A</v>
      </c>
      <c r="AV37" s="107" t="e">
        <f>VLOOKUP($A37,'S49'!$C:$BQ,39,0)</f>
        <v>#N/A</v>
      </c>
      <c r="AW37" s="107" t="e">
        <f>VLOOKUP($A37,'S49'!$C:$BQ,40,0)</f>
        <v>#N/A</v>
      </c>
      <c r="AX37" s="107" t="e">
        <f>VLOOKUP($A37,'S49'!$C:$BQ,22,0)</f>
        <v>#N/A</v>
      </c>
      <c r="AY37" s="115" t="e">
        <f>VLOOKUP($A37,'S49'!$C:$BQ,29,0)</f>
        <v>#N/A</v>
      </c>
      <c r="AZ37" s="115" t="e">
        <f>VLOOKUP($A37,'S49'!$C:$BQ,30,0)</f>
        <v>#N/A</v>
      </c>
      <c r="BA37" s="115" t="e">
        <f>VLOOKUP($A37,'S49'!$C:$BQ,52,0)</f>
        <v>#N/A</v>
      </c>
      <c r="BB37" s="115" t="e">
        <f>VLOOKUP($A37,'S49'!$C:$BQ,59,0)</f>
        <v>#N/A</v>
      </c>
      <c r="BC37" s="115" t="e">
        <f>VLOOKUP($A37,'S49'!$C:$BQ,60,0)</f>
        <v>#N/A</v>
      </c>
      <c r="BD37" s="107" t="e">
        <f>VLOOKUP($A37,'S50'!$C:$BQ,32,0)</f>
        <v>#N/A</v>
      </c>
      <c r="BE37" s="107" t="e">
        <f>VLOOKUP($A37,'S50'!$C:$BQ,39,0)</f>
        <v>#N/A</v>
      </c>
      <c r="BF37" s="107" t="e">
        <f>VLOOKUP($A37,'S50'!$C:$BQ,40,0)</f>
        <v>#N/A</v>
      </c>
      <c r="BG37" s="107" t="e">
        <f>VLOOKUP($A37,'S50'!$C:$BQ,22,0)</f>
        <v>#N/A</v>
      </c>
      <c r="BH37" s="115" t="e">
        <f>VLOOKUP($A37,'S50'!$C:$BQ,29,0)</f>
        <v>#N/A</v>
      </c>
      <c r="BI37" s="115" t="e">
        <f>VLOOKUP($A37,'S50'!$C:$BQ,30,0)</f>
        <v>#N/A</v>
      </c>
      <c r="BJ37" s="115" t="e">
        <f>VLOOKUP($A37,'S50'!$C:$BQ,52,0)</f>
        <v>#N/A</v>
      </c>
      <c r="BK37" s="115" t="e">
        <f>VLOOKUP($A37,'S50'!$C:$BQ,59,0)</f>
        <v>#N/A</v>
      </c>
      <c r="BL37" s="115" t="e">
        <f>VLOOKUP($A37,'S50'!$C:$BQ,60,0)</f>
        <v>#N/A</v>
      </c>
    </row>
    <row r="38" spans="1:64" x14ac:dyDescent="0.2">
      <c r="A38" s="106" t="s">
        <v>93</v>
      </c>
      <c r="B38" s="107">
        <f>VLOOKUP($A38,'S0 remplacer avec S44'!$C:$BQ,32,0)</f>
        <v>322.05</v>
      </c>
      <c r="C38" s="107">
        <f>VLOOKUP($A38,'S0 remplacer avec S44'!$C:$BQ,39,0)</f>
        <v>162</v>
      </c>
      <c r="D38" s="107">
        <f>VLOOKUP($A38,'S0 remplacer avec S44'!$C:$BQ,40,0)</f>
        <v>259</v>
      </c>
      <c r="E38" s="107">
        <f>VLOOKUP($A38,'S0 remplacer avec S44'!$C:$BQ,22,0)</f>
        <v>5070.1574049999999</v>
      </c>
      <c r="F38" s="115">
        <f>VLOOKUP($A38,'S0 remplacer avec S44'!$C:$BQ,29,0)</f>
        <v>0</v>
      </c>
      <c r="G38" s="115">
        <f>VLOOKUP($A38,'S0 remplacer avec S44'!$C:$BQ,30,0)</f>
        <v>210</v>
      </c>
      <c r="H38" s="115">
        <f>VLOOKUP($A38,'S0 remplacer avec S44'!$C:$BQ,52,0)</f>
        <v>246</v>
      </c>
      <c r="I38" s="115">
        <f>VLOOKUP($A38,'S0 remplacer avec S44'!$C:$BQ,59,0)</f>
        <v>0</v>
      </c>
      <c r="J38" s="115">
        <f>VLOOKUP($A38,'S0 remplacer avec S44'!$C:$BQ,60,0)</f>
        <v>49</v>
      </c>
      <c r="K38" s="107" t="e">
        <f>VLOOKUP($A38,'S45'!$C:$BQ,32,0)</f>
        <v>#N/A</v>
      </c>
      <c r="L38" s="107" t="e">
        <f>VLOOKUP($A38,'S45'!$C:$BQ,39,0)</f>
        <v>#N/A</v>
      </c>
      <c r="M38" s="107" t="e">
        <f>VLOOKUP($A38,'S45'!$C:$BQ,40,0)</f>
        <v>#N/A</v>
      </c>
      <c r="N38" s="107" t="e">
        <f>VLOOKUP($A38,'S45'!$C:$BQ,22,0)</f>
        <v>#N/A</v>
      </c>
      <c r="O38" s="115" t="e">
        <f>VLOOKUP($A38,'S45'!$C:$BQ,29,0)</f>
        <v>#N/A</v>
      </c>
      <c r="P38" s="115" t="e">
        <f>VLOOKUP($A38,'S45'!$C:$BQ,30,0)</f>
        <v>#N/A</v>
      </c>
      <c r="Q38" s="115" t="e">
        <f>VLOOKUP($A38,'S45'!$C:$BQ,52,0)</f>
        <v>#N/A</v>
      </c>
      <c r="R38" s="115" t="e">
        <f>VLOOKUP($A38,'S45'!$C:$BQ,59,0)</f>
        <v>#N/A</v>
      </c>
      <c r="S38" s="115" t="e">
        <f>VLOOKUP($A38,'S45'!$C:$BQ,60,0)</f>
        <v>#N/A</v>
      </c>
      <c r="T38" s="107" t="e">
        <f>VLOOKUP($A38,'S46'!$C:$BQ,32,0)</f>
        <v>#N/A</v>
      </c>
      <c r="U38" s="107" t="e">
        <f>VLOOKUP($A38,'S46'!$C:$BQ,39,0)</f>
        <v>#N/A</v>
      </c>
      <c r="V38" s="107" t="e">
        <f>VLOOKUP($A38,'S46'!$C:$BQ,40,0)</f>
        <v>#N/A</v>
      </c>
      <c r="W38" s="107" t="e">
        <f>VLOOKUP($A38,'S46'!$C:$BQ,22,0)</f>
        <v>#N/A</v>
      </c>
      <c r="X38" s="115" t="e">
        <f>VLOOKUP($A38,'S46'!$C:$BQ,29,0)</f>
        <v>#N/A</v>
      </c>
      <c r="Y38" s="115" t="e">
        <f>VLOOKUP($A38,'S46'!$C:$BQ,30,0)</f>
        <v>#N/A</v>
      </c>
      <c r="Z38" s="115" t="e">
        <f>VLOOKUP($A38,'S46'!$C:$BQ,52,0)</f>
        <v>#N/A</v>
      </c>
      <c r="AA38" s="115" t="e">
        <f>VLOOKUP($A38,'S46'!$C:$BQ,59,0)</f>
        <v>#N/A</v>
      </c>
      <c r="AB38" s="115" t="e">
        <f>VLOOKUP($A38,'S46'!$C:$BQ,60,0)</f>
        <v>#N/A</v>
      </c>
      <c r="AC38" s="107" t="e">
        <f>VLOOKUP($A38,'S47'!$C:$BQ,32,0)</f>
        <v>#N/A</v>
      </c>
      <c r="AD38" s="107" t="e">
        <f>VLOOKUP($A38,'S47'!$C:$BQ,39,0)</f>
        <v>#N/A</v>
      </c>
      <c r="AE38" s="107" t="e">
        <f>VLOOKUP($A38,'S47'!$C:$BQ,40,0)</f>
        <v>#N/A</v>
      </c>
      <c r="AF38" s="107" t="e">
        <f>VLOOKUP($A38,'S47'!$C:$BQ,22,0)</f>
        <v>#N/A</v>
      </c>
      <c r="AG38" s="115" t="e">
        <f>VLOOKUP($A38,'S47'!$C:$BQ,29,0)</f>
        <v>#N/A</v>
      </c>
      <c r="AH38" s="115" t="e">
        <f>VLOOKUP($A38,'S47'!$C:$BQ,30,0)</f>
        <v>#N/A</v>
      </c>
      <c r="AI38" s="115" t="e">
        <f>VLOOKUP($A38,'S47'!$C:$BQ,52,0)</f>
        <v>#N/A</v>
      </c>
      <c r="AJ38" s="115" t="e">
        <f>VLOOKUP($A38,'S47'!$C:$BQ,59,0)</f>
        <v>#N/A</v>
      </c>
      <c r="AK38" s="115" t="e">
        <f>VLOOKUP($A38,'S47'!$C:$BQ,60,0)</f>
        <v>#N/A</v>
      </c>
      <c r="AL38" s="107" t="e">
        <f>VLOOKUP($A38,'S48'!$C:$BQ,32,0)</f>
        <v>#N/A</v>
      </c>
      <c r="AM38" s="107" t="e">
        <f>VLOOKUP($A38,'S48'!$C:$BQ,39,0)</f>
        <v>#N/A</v>
      </c>
      <c r="AN38" s="107" t="e">
        <f>VLOOKUP($A38,'S48'!$C:$BQ,40,0)</f>
        <v>#N/A</v>
      </c>
      <c r="AO38" s="107" t="e">
        <f>VLOOKUP($A38,'S48'!$C:$BQ,22,0)</f>
        <v>#N/A</v>
      </c>
      <c r="AP38" s="115" t="e">
        <f>VLOOKUP($A38,'S48'!$C:$BQ,29,0)</f>
        <v>#N/A</v>
      </c>
      <c r="AQ38" s="115" t="e">
        <f>VLOOKUP($A38,'S48'!$C:$BQ,30,0)</f>
        <v>#N/A</v>
      </c>
      <c r="AR38" s="115" t="e">
        <f>VLOOKUP($A38,'S48'!$C:$BQ,52,0)</f>
        <v>#N/A</v>
      </c>
      <c r="AS38" s="115" t="e">
        <f>VLOOKUP($A38,'S48'!$C:$BQ,59,0)</f>
        <v>#N/A</v>
      </c>
      <c r="AT38" s="115" t="e">
        <f>VLOOKUP($A38,'S48'!$C:$BQ,60,0)</f>
        <v>#N/A</v>
      </c>
      <c r="AU38" s="107" t="e">
        <f>VLOOKUP($A38,'S49'!$C:$BQ,32,0)</f>
        <v>#N/A</v>
      </c>
      <c r="AV38" s="107" t="e">
        <f>VLOOKUP($A38,'S49'!$C:$BQ,39,0)</f>
        <v>#N/A</v>
      </c>
      <c r="AW38" s="107" t="e">
        <f>VLOOKUP($A38,'S49'!$C:$BQ,40,0)</f>
        <v>#N/A</v>
      </c>
      <c r="AX38" s="107" t="e">
        <f>VLOOKUP($A38,'S49'!$C:$BQ,22,0)</f>
        <v>#N/A</v>
      </c>
      <c r="AY38" s="115" t="e">
        <f>VLOOKUP($A38,'S49'!$C:$BQ,29,0)</f>
        <v>#N/A</v>
      </c>
      <c r="AZ38" s="115" t="e">
        <f>VLOOKUP($A38,'S49'!$C:$BQ,30,0)</f>
        <v>#N/A</v>
      </c>
      <c r="BA38" s="115" t="e">
        <f>VLOOKUP($A38,'S49'!$C:$BQ,52,0)</f>
        <v>#N/A</v>
      </c>
      <c r="BB38" s="115" t="e">
        <f>VLOOKUP($A38,'S49'!$C:$BQ,59,0)</f>
        <v>#N/A</v>
      </c>
      <c r="BC38" s="115" t="e">
        <f>VLOOKUP($A38,'S49'!$C:$BQ,60,0)</f>
        <v>#N/A</v>
      </c>
      <c r="BD38" s="107" t="e">
        <f>VLOOKUP($A38,'S50'!$C:$BQ,32,0)</f>
        <v>#N/A</v>
      </c>
      <c r="BE38" s="107" t="e">
        <f>VLOOKUP($A38,'S50'!$C:$BQ,39,0)</f>
        <v>#N/A</v>
      </c>
      <c r="BF38" s="107" t="e">
        <f>VLOOKUP($A38,'S50'!$C:$BQ,40,0)</f>
        <v>#N/A</v>
      </c>
      <c r="BG38" s="107" t="e">
        <f>VLOOKUP($A38,'S50'!$C:$BQ,22,0)</f>
        <v>#N/A</v>
      </c>
      <c r="BH38" s="115" t="e">
        <f>VLOOKUP($A38,'S50'!$C:$BQ,29,0)</f>
        <v>#N/A</v>
      </c>
      <c r="BI38" s="115" t="e">
        <f>VLOOKUP($A38,'S50'!$C:$BQ,30,0)</f>
        <v>#N/A</v>
      </c>
      <c r="BJ38" s="115" t="e">
        <f>VLOOKUP($A38,'S50'!$C:$BQ,52,0)</f>
        <v>#N/A</v>
      </c>
      <c r="BK38" s="115" t="e">
        <f>VLOOKUP($A38,'S50'!$C:$BQ,59,0)</f>
        <v>#N/A</v>
      </c>
      <c r="BL38" s="115" t="e">
        <f>VLOOKUP($A38,'S50'!$C:$BQ,60,0)</f>
        <v>#N/A</v>
      </c>
    </row>
    <row r="39" spans="1:64" x14ac:dyDescent="0.2">
      <c r="A39" s="106" t="s">
        <v>94</v>
      </c>
      <c r="B39" s="107">
        <f>VLOOKUP($A39,'S0 remplacer avec S44'!$C:$BQ,32,0)</f>
        <v>100.35</v>
      </c>
      <c r="C39" s="107">
        <f>VLOOKUP($A39,'S0 remplacer avec S44'!$C:$BQ,39,0)</f>
        <v>53</v>
      </c>
      <c r="D39" s="107">
        <f>VLOOKUP($A39,'S0 remplacer avec S44'!$C:$BQ,40,0)</f>
        <v>83</v>
      </c>
      <c r="E39" s="107">
        <f>VLOOKUP($A39,'S0 remplacer avec S44'!$C:$BQ,22,0)</f>
        <v>1184.9787899999999</v>
      </c>
      <c r="F39" s="115">
        <f>VLOOKUP($A39,'S0 remplacer avec S44'!$C:$BQ,29,0)</f>
        <v>203</v>
      </c>
      <c r="G39" s="115">
        <f>VLOOKUP($A39,'S0 remplacer avec S44'!$C:$BQ,30,0)</f>
        <v>480</v>
      </c>
      <c r="H39" s="115">
        <f>VLOOKUP($A39,'S0 remplacer avec S44'!$C:$BQ,52,0)</f>
        <v>63.6</v>
      </c>
      <c r="I39" s="115">
        <f>VLOOKUP($A39,'S0 remplacer avec S44'!$C:$BQ,59,0)</f>
        <v>14</v>
      </c>
      <c r="J39" s="115">
        <f>VLOOKUP($A39,'S0 remplacer avec S44'!$C:$BQ,60,0)</f>
        <v>30</v>
      </c>
      <c r="K39" s="107" t="e">
        <f>VLOOKUP($A39,'S45'!$C:$BQ,32,0)</f>
        <v>#N/A</v>
      </c>
      <c r="L39" s="107" t="e">
        <f>VLOOKUP($A39,'S45'!$C:$BQ,39,0)</f>
        <v>#N/A</v>
      </c>
      <c r="M39" s="107" t="e">
        <f>VLOOKUP($A39,'S45'!$C:$BQ,40,0)</f>
        <v>#N/A</v>
      </c>
      <c r="N39" s="107" t="e">
        <f>VLOOKUP($A39,'S45'!$C:$BQ,22,0)</f>
        <v>#N/A</v>
      </c>
      <c r="O39" s="115" t="e">
        <f>VLOOKUP($A39,'S45'!$C:$BQ,29,0)</f>
        <v>#N/A</v>
      </c>
      <c r="P39" s="115" t="e">
        <f>VLOOKUP($A39,'S45'!$C:$BQ,30,0)</f>
        <v>#N/A</v>
      </c>
      <c r="Q39" s="115" t="e">
        <f>VLOOKUP($A39,'S45'!$C:$BQ,52,0)</f>
        <v>#N/A</v>
      </c>
      <c r="R39" s="115" t="e">
        <f>VLOOKUP($A39,'S45'!$C:$BQ,59,0)</f>
        <v>#N/A</v>
      </c>
      <c r="S39" s="115" t="e">
        <f>VLOOKUP($A39,'S45'!$C:$BQ,60,0)</f>
        <v>#N/A</v>
      </c>
      <c r="T39" s="107" t="e">
        <f>VLOOKUP($A39,'S46'!$C:$BQ,32,0)</f>
        <v>#N/A</v>
      </c>
      <c r="U39" s="107" t="e">
        <f>VLOOKUP($A39,'S46'!$C:$BQ,39,0)</f>
        <v>#N/A</v>
      </c>
      <c r="V39" s="107" t="e">
        <f>VLOOKUP($A39,'S46'!$C:$BQ,40,0)</f>
        <v>#N/A</v>
      </c>
      <c r="W39" s="107" t="e">
        <f>VLOOKUP($A39,'S46'!$C:$BQ,22,0)</f>
        <v>#N/A</v>
      </c>
      <c r="X39" s="115" t="e">
        <f>VLOOKUP($A39,'S46'!$C:$BQ,29,0)</f>
        <v>#N/A</v>
      </c>
      <c r="Y39" s="115" t="e">
        <f>VLOOKUP($A39,'S46'!$C:$BQ,30,0)</f>
        <v>#N/A</v>
      </c>
      <c r="Z39" s="115" t="e">
        <f>VLOOKUP($A39,'S46'!$C:$BQ,52,0)</f>
        <v>#N/A</v>
      </c>
      <c r="AA39" s="115" t="e">
        <f>VLOOKUP($A39,'S46'!$C:$BQ,59,0)</f>
        <v>#N/A</v>
      </c>
      <c r="AB39" s="115" t="e">
        <f>VLOOKUP($A39,'S46'!$C:$BQ,60,0)</f>
        <v>#N/A</v>
      </c>
      <c r="AC39" s="107" t="e">
        <f>VLOOKUP($A39,'S47'!$C:$BQ,32,0)</f>
        <v>#N/A</v>
      </c>
      <c r="AD39" s="107" t="e">
        <f>VLOOKUP($A39,'S47'!$C:$BQ,39,0)</f>
        <v>#N/A</v>
      </c>
      <c r="AE39" s="107" t="e">
        <f>VLOOKUP($A39,'S47'!$C:$BQ,40,0)</f>
        <v>#N/A</v>
      </c>
      <c r="AF39" s="107" t="e">
        <f>VLOOKUP($A39,'S47'!$C:$BQ,22,0)</f>
        <v>#N/A</v>
      </c>
      <c r="AG39" s="115" t="e">
        <f>VLOOKUP($A39,'S47'!$C:$BQ,29,0)</f>
        <v>#N/A</v>
      </c>
      <c r="AH39" s="115" t="e">
        <f>VLOOKUP($A39,'S47'!$C:$BQ,30,0)</f>
        <v>#N/A</v>
      </c>
      <c r="AI39" s="115" t="e">
        <f>VLOOKUP($A39,'S47'!$C:$BQ,52,0)</f>
        <v>#N/A</v>
      </c>
      <c r="AJ39" s="115" t="e">
        <f>VLOOKUP($A39,'S47'!$C:$BQ,59,0)</f>
        <v>#N/A</v>
      </c>
      <c r="AK39" s="115" t="e">
        <f>VLOOKUP($A39,'S47'!$C:$BQ,60,0)</f>
        <v>#N/A</v>
      </c>
      <c r="AL39" s="107" t="e">
        <f>VLOOKUP($A39,'S48'!$C:$BQ,32,0)</f>
        <v>#N/A</v>
      </c>
      <c r="AM39" s="107" t="e">
        <f>VLOOKUP($A39,'S48'!$C:$BQ,39,0)</f>
        <v>#N/A</v>
      </c>
      <c r="AN39" s="107" t="e">
        <f>VLOOKUP($A39,'S48'!$C:$BQ,40,0)</f>
        <v>#N/A</v>
      </c>
      <c r="AO39" s="107" t="e">
        <f>VLOOKUP($A39,'S48'!$C:$BQ,22,0)</f>
        <v>#N/A</v>
      </c>
      <c r="AP39" s="115" t="e">
        <f>VLOOKUP($A39,'S48'!$C:$BQ,29,0)</f>
        <v>#N/A</v>
      </c>
      <c r="AQ39" s="115" t="e">
        <f>VLOOKUP($A39,'S48'!$C:$BQ,30,0)</f>
        <v>#N/A</v>
      </c>
      <c r="AR39" s="115" t="e">
        <f>VLOOKUP($A39,'S48'!$C:$BQ,52,0)</f>
        <v>#N/A</v>
      </c>
      <c r="AS39" s="115" t="e">
        <f>VLOOKUP($A39,'S48'!$C:$BQ,59,0)</f>
        <v>#N/A</v>
      </c>
      <c r="AT39" s="115" t="e">
        <f>VLOOKUP($A39,'S48'!$C:$BQ,60,0)</f>
        <v>#N/A</v>
      </c>
      <c r="AU39" s="107" t="e">
        <f>VLOOKUP($A39,'S49'!$C:$BQ,32,0)</f>
        <v>#N/A</v>
      </c>
      <c r="AV39" s="107" t="e">
        <f>VLOOKUP($A39,'S49'!$C:$BQ,39,0)</f>
        <v>#N/A</v>
      </c>
      <c r="AW39" s="107" t="e">
        <f>VLOOKUP($A39,'S49'!$C:$BQ,40,0)</f>
        <v>#N/A</v>
      </c>
      <c r="AX39" s="107" t="e">
        <f>VLOOKUP($A39,'S49'!$C:$BQ,22,0)</f>
        <v>#N/A</v>
      </c>
      <c r="AY39" s="115" t="e">
        <f>VLOOKUP($A39,'S49'!$C:$BQ,29,0)</f>
        <v>#N/A</v>
      </c>
      <c r="AZ39" s="115" t="e">
        <f>VLOOKUP($A39,'S49'!$C:$BQ,30,0)</f>
        <v>#N/A</v>
      </c>
      <c r="BA39" s="115" t="e">
        <f>VLOOKUP($A39,'S49'!$C:$BQ,52,0)</f>
        <v>#N/A</v>
      </c>
      <c r="BB39" s="115" t="e">
        <f>VLOOKUP($A39,'S49'!$C:$BQ,59,0)</f>
        <v>#N/A</v>
      </c>
      <c r="BC39" s="115" t="e">
        <f>VLOOKUP($A39,'S49'!$C:$BQ,60,0)</f>
        <v>#N/A</v>
      </c>
      <c r="BD39" s="107" t="e">
        <f>VLOOKUP($A39,'S50'!$C:$BQ,32,0)</f>
        <v>#N/A</v>
      </c>
      <c r="BE39" s="107" t="e">
        <f>VLOOKUP($A39,'S50'!$C:$BQ,39,0)</f>
        <v>#N/A</v>
      </c>
      <c r="BF39" s="107" t="e">
        <f>VLOOKUP($A39,'S50'!$C:$BQ,40,0)</f>
        <v>#N/A</v>
      </c>
      <c r="BG39" s="107" t="e">
        <f>VLOOKUP($A39,'S50'!$C:$BQ,22,0)</f>
        <v>#N/A</v>
      </c>
      <c r="BH39" s="115" t="e">
        <f>VLOOKUP($A39,'S50'!$C:$BQ,29,0)</f>
        <v>#N/A</v>
      </c>
      <c r="BI39" s="115" t="e">
        <f>VLOOKUP($A39,'S50'!$C:$BQ,30,0)</f>
        <v>#N/A</v>
      </c>
      <c r="BJ39" s="115" t="e">
        <f>VLOOKUP($A39,'S50'!$C:$BQ,52,0)</f>
        <v>#N/A</v>
      </c>
      <c r="BK39" s="115" t="e">
        <f>VLOOKUP($A39,'S50'!$C:$BQ,59,0)</f>
        <v>#N/A</v>
      </c>
      <c r="BL39" s="115" t="e">
        <f>VLOOKUP($A39,'S50'!$C:$BQ,60,0)</f>
        <v>#N/A</v>
      </c>
    </row>
    <row r="40" spans="1:64" x14ac:dyDescent="0.2">
      <c r="A40" s="106" t="s">
        <v>95</v>
      </c>
      <c r="B40" s="107">
        <f>VLOOKUP($A40,'S0 remplacer avec S44'!$C:$BQ,32,0)</f>
        <v>75.099999999999994</v>
      </c>
      <c r="C40" s="107">
        <f>VLOOKUP($A40,'S0 remplacer avec S44'!$C:$BQ,39,0)</f>
        <v>27</v>
      </c>
      <c r="D40" s="107">
        <f>VLOOKUP($A40,'S0 remplacer avec S44'!$C:$BQ,40,0)</f>
        <v>48</v>
      </c>
      <c r="E40" s="107">
        <f>VLOOKUP($A40,'S0 remplacer avec S44'!$C:$BQ,22,0)</f>
        <v>751.66916000000003</v>
      </c>
      <c r="F40" s="115">
        <f>VLOOKUP($A40,'S0 remplacer avec S44'!$C:$BQ,29,0)</f>
        <v>175</v>
      </c>
      <c r="G40" s="115">
        <f>VLOOKUP($A40,'S0 remplacer avec S44'!$C:$BQ,30,0)</f>
        <v>360</v>
      </c>
      <c r="H40" s="115">
        <f>VLOOKUP($A40,'S0 remplacer avec S44'!$C:$BQ,52,0)</f>
        <v>42</v>
      </c>
      <c r="I40" s="115">
        <f>VLOOKUP($A40,'S0 remplacer avec S44'!$C:$BQ,59,0)</f>
        <v>10</v>
      </c>
      <c r="J40" s="115">
        <f>VLOOKUP($A40,'S0 remplacer avec S44'!$C:$BQ,60,0)</f>
        <v>21</v>
      </c>
      <c r="K40" s="107" t="e">
        <f>VLOOKUP($A40,'S45'!$C:$BQ,32,0)</f>
        <v>#N/A</v>
      </c>
      <c r="L40" s="107" t="e">
        <f>VLOOKUP($A40,'S45'!$C:$BQ,39,0)</f>
        <v>#N/A</v>
      </c>
      <c r="M40" s="107" t="e">
        <f>VLOOKUP($A40,'S45'!$C:$BQ,40,0)</f>
        <v>#N/A</v>
      </c>
      <c r="N40" s="107" t="e">
        <f>VLOOKUP($A40,'S45'!$C:$BQ,22,0)</f>
        <v>#N/A</v>
      </c>
      <c r="O40" s="115" t="e">
        <f>VLOOKUP($A40,'S45'!$C:$BQ,29,0)</f>
        <v>#N/A</v>
      </c>
      <c r="P40" s="115" t="e">
        <f>VLOOKUP($A40,'S45'!$C:$BQ,30,0)</f>
        <v>#N/A</v>
      </c>
      <c r="Q40" s="115" t="e">
        <f>VLOOKUP($A40,'S45'!$C:$BQ,52,0)</f>
        <v>#N/A</v>
      </c>
      <c r="R40" s="115" t="e">
        <f>VLOOKUP($A40,'S45'!$C:$BQ,59,0)</f>
        <v>#N/A</v>
      </c>
      <c r="S40" s="115" t="e">
        <f>VLOOKUP($A40,'S45'!$C:$BQ,60,0)</f>
        <v>#N/A</v>
      </c>
      <c r="T40" s="107" t="e">
        <f>VLOOKUP($A40,'S46'!$C:$BQ,32,0)</f>
        <v>#N/A</v>
      </c>
      <c r="U40" s="107" t="e">
        <f>VLOOKUP($A40,'S46'!$C:$BQ,39,0)</f>
        <v>#N/A</v>
      </c>
      <c r="V40" s="107" t="e">
        <f>VLOOKUP($A40,'S46'!$C:$BQ,40,0)</f>
        <v>#N/A</v>
      </c>
      <c r="W40" s="107" t="e">
        <f>VLOOKUP($A40,'S46'!$C:$BQ,22,0)</f>
        <v>#N/A</v>
      </c>
      <c r="X40" s="115" t="e">
        <f>VLOOKUP($A40,'S46'!$C:$BQ,29,0)</f>
        <v>#N/A</v>
      </c>
      <c r="Y40" s="115" t="e">
        <f>VLOOKUP($A40,'S46'!$C:$BQ,30,0)</f>
        <v>#N/A</v>
      </c>
      <c r="Z40" s="115" t="e">
        <f>VLOOKUP($A40,'S46'!$C:$BQ,52,0)</f>
        <v>#N/A</v>
      </c>
      <c r="AA40" s="115" t="e">
        <f>VLOOKUP($A40,'S46'!$C:$BQ,59,0)</f>
        <v>#N/A</v>
      </c>
      <c r="AB40" s="115" t="e">
        <f>VLOOKUP($A40,'S46'!$C:$BQ,60,0)</f>
        <v>#N/A</v>
      </c>
      <c r="AC40" s="107" t="e">
        <f>VLOOKUP($A40,'S47'!$C:$BQ,32,0)</f>
        <v>#N/A</v>
      </c>
      <c r="AD40" s="107" t="e">
        <f>VLOOKUP($A40,'S47'!$C:$BQ,39,0)</f>
        <v>#N/A</v>
      </c>
      <c r="AE40" s="107" t="e">
        <f>VLOOKUP($A40,'S47'!$C:$BQ,40,0)</f>
        <v>#N/A</v>
      </c>
      <c r="AF40" s="107" t="e">
        <f>VLOOKUP($A40,'S47'!$C:$BQ,22,0)</f>
        <v>#N/A</v>
      </c>
      <c r="AG40" s="115" t="e">
        <f>VLOOKUP($A40,'S47'!$C:$BQ,29,0)</f>
        <v>#N/A</v>
      </c>
      <c r="AH40" s="115" t="e">
        <f>VLOOKUP($A40,'S47'!$C:$BQ,30,0)</f>
        <v>#N/A</v>
      </c>
      <c r="AI40" s="115" t="e">
        <f>VLOOKUP($A40,'S47'!$C:$BQ,52,0)</f>
        <v>#N/A</v>
      </c>
      <c r="AJ40" s="115" t="e">
        <f>VLOOKUP($A40,'S47'!$C:$BQ,59,0)</f>
        <v>#N/A</v>
      </c>
      <c r="AK40" s="115" t="e">
        <f>VLOOKUP($A40,'S47'!$C:$BQ,60,0)</f>
        <v>#N/A</v>
      </c>
      <c r="AL40" s="107" t="e">
        <f>VLOOKUP($A40,'S48'!$C:$BQ,32,0)</f>
        <v>#N/A</v>
      </c>
      <c r="AM40" s="107" t="e">
        <f>VLOOKUP($A40,'S48'!$C:$BQ,39,0)</f>
        <v>#N/A</v>
      </c>
      <c r="AN40" s="107" t="e">
        <f>VLOOKUP($A40,'S48'!$C:$BQ,40,0)</f>
        <v>#N/A</v>
      </c>
      <c r="AO40" s="107" t="e">
        <f>VLOOKUP($A40,'S48'!$C:$BQ,22,0)</f>
        <v>#N/A</v>
      </c>
      <c r="AP40" s="115" t="e">
        <f>VLOOKUP($A40,'S48'!$C:$BQ,29,0)</f>
        <v>#N/A</v>
      </c>
      <c r="AQ40" s="115" t="e">
        <f>VLOOKUP($A40,'S48'!$C:$BQ,30,0)</f>
        <v>#N/A</v>
      </c>
      <c r="AR40" s="115" t="e">
        <f>VLOOKUP($A40,'S48'!$C:$BQ,52,0)</f>
        <v>#N/A</v>
      </c>
      <c r="AS40" s="115" t="e">
        <f>VLOOKUP($A40,'S48'!$C:$BQ,59,0)</f>
        <v>#N/A</v>
      </c>
      <c r="AT40" s="115" t="e">
        <f>VLOOKUP($A40,'S48'!$C:$BQ,60,0)</f>
        <v>#N/A</v>
      </c>
      <c r="AU40" s="107" t="e">
        <f>VLOOKUP($A40,'S49'!$C:$BQ,32,0)</f>
        <v>#N/A</v>
      </c>
      <c r="AV40" s="107" t="e">
        <f>VLOOKUP($A40,'S49'!$C:$BQ,39,0)</f>
        <v>#N/A</v>
      </c>
      <c r="AW40" s="107" t="e">
        <f>VLOOKUP($A40,'S49'!$C:$BQ,40,0)</f>
        <v>#N/A</v>
      </c>
      <c r="AX40" s="107" t="e">
        <f>VLOOKUP($A40,'S49'!$C:$BQ,22,0)</f>
        <v>#N/A</v>
      </c>
      <c r="AY40" s="115" t="e">
        <f>VLOOKUP($A40,'S49'!$C:$BQ,29,0)</f>
        <v>#N/A</v>
      </c>
      <c r="AZ40" s="115" t="e">
        <f>VLOOKUP($A40,'S49'!$C:$BQ,30,0)</f>
        <v>#N/A</v>
      </c>
      <c r="BA40" s="115" t="e">
        <f>VLOOKUP($A40,'S49'!$C:$BQ,52,0)</f>
        <v>#N/A</v>
      </c>
      <c r="BB40" s="115" t="e">
        <f>VLOOKUP($A40,'S49'!$C:$BQ,59,0)</f>
        <v>#N/A</v>
      </c>
      <c r="BC40" s="115" t="e">
        <f>VLOOKUP($A40,'S49'!$C:$BQ,60,0)</f>
        <v>#N/A</v>
      </c>
      <c r="BD40" s="107" t="e">
        <f>VLOOKUP($A40,'S50'!$C:$BQ,32,0)</f>
        <v>#N/A</v>
      </c>
      <c r="BE40" s="107" t="e">
        <f>VLOOKUP($A40,'S50'!$C:$BQ,39,0)</f>
        <v>#N/A</v>
      </c>
      <c r="BF40" s="107" t="e">
        <f>VLOOKUP($A40,'S50'!$C:$BQ,40,0)</f>
        <v>#N/A</v>
      </c>
      <c r="BG40" s="107" t="e">
        <f>VLOOKUP($A40,'S50'!$C:$BQ,22,0)</f>
        <v>#N/A</v>
      </c>
      <c r="BH40" s="115" t="e">
        <f>VLOOKUP($A40,'S50'!$C:$BQ,29,0)</f>
        <v>#N/A</v>
      </c>
      <c r="BI40" s="115" t="e">
        <f>VLOOKUP($A40,'S50'!$C:$BQ,30,0)</f>
        <v>#N/A</v>
      </c>
      <c r="BJ40" s="115" t="e">
        <f>VLOOKUP($A40,'S50'!$C:$BQ,52,0)</f>
        <v>#N/A</v>
      </c>
      <c r="BK40" s="115" t="e">
        <f>VLOOKUP($A40,'S50'!$C:$BQ,59,0)</f>
        <v>#N/A</v>
      </c>
      <c r="BL40" s="115" t="e">
        <f>VLOOKUP($A40,'S50'!$C:$BQ,60,0)</f>
        <v>#N/A</v>
      </c>
    </row>
    <row r="41" spans="1:64" x14ac:dyDescent="0.2">
      <c r="A41" s="106" t="s">
        <v>96</v>
      </c>
      <c r="B41" s="107">
        <f>VLOOKUP($A41,'S0 remplacer avec S44'!$C:$BQ,32,0)</f>
        <v>177.1</v>
      </c>
      <c r="C41" s="107">
        <f>VLOOKUP($A41,'S0 remplacer avec S44'!$C:$BQ,39,0)</f>
        <v>0</v>
      </c>
      <c r="D41" s="107">
        <f>VLOOKUP($A41,'S0 remplacer avec S44'!$C:$BQ,40,0)</f>
        <v>4</v>
      </c>
      <c r="E41" s="107">
        <f>VLOOKUP($A41,'S0 remplacer avec S44'!$C:$BQ,22,0)</f>
        <v>1268.2179699999999</v>
      </c>
      <c r="F41" s="115">
        <f>VLOOKUP($A41,'S0 remplacer avec S44'!$C:$BQ,29,0)</f>
        <v>99</v>
      </c>
      <c r="G41" s="115">
        <f>VLOOKUP($A41,'S0 remplacer avec S44'!$C:$BQ,30,0)</f>
        <v>372</v>
      </c>
      <c r="H41" s="115">
        <f>VLOOKUP($A41,'S0 remplacer avec S44'!$C:$BQ,52,0)</f>
        <v>111.6</v>
      </c>
      <c r="I41" s="115">
        <f>VLOOKUP($A41,'S0 remplacer avec S44'!$C:$BQ,59,0)</f>
        <v>0</v>
      </c>
      <c r="J41" s="115">
        <f>VLOOKUP($A41,'S0 remplacer avec S44'!$C:$BQ,60,0)</f>
        <v>0</v>
      </c>
      <c r="K41" s="107" t="e">
        <f>VLOOKUP($A41,'S45'!$C:$BQ,32,0)</f>
        <v>#N/A</v>
      </c>
      <c r="L41" s="107" t="e">
        <f>VLOOKUP($A41,'S45'!$C:$BQ,39,0)</f>
        <v>#N/A</v>
      </c>
      <c r="M41" s="107" t="e">
        <f>VLOOKUP($A41,'S45'!$C:$BQ,40,0)</f>
        <v>#N/A</v>
      </c>
      <c r="N41" s="107" t="e">
        <f>VLOOKUP($A41,'S45'!$C:$BQ,22,0)</f>
        <v>#N/A</v>
      </c>
      <c r="O41" s="115" t="e">
        <f>VLOOKUP($A41,'S45'!$C:$BQ,29,0)</f>
        <v>#N/A</v>
      </c>
      <c r="P41" s="115" t="e">
        <f>VLOOKUP($A41,'S45'!$C:$BQ,30,0)</f>
        <v>#N/A</v>
      </c>
      <c r="Q41" s="115" t="e">
        <f>VLOOKUP($A41,'S45'!$C:$BQ,52,0)</f>
        <v>#N/A</v>
      </c>
      <c r="R41" s="115" t="e">
        <f>VLOOKUP($A41,'S45'!$C:$BQ,59,0)</f>
        <v>#N/A</v>
      </c>
      <c r="S41" s="115" t="e">
        <f>VLOOKUP($A41,'S45'!$C:$BQ,60,0)</f>
        <v>#N/A</v>
      </c>
      <c r="T41" s="107" t="e">
        <f>VLOOKUP($A41,'S46'!$C:$BQ,32,0)</f>
        <v>#N/A</v>
      </c>
      <c r="U41" s="107" t="e">
        <f>VLOOKUP($A41,'S46'!$C:$BQ,39,0)</f>
        <v>#N/A</v>
      </c>
      <c r="V41" s="107" t="e">
        <f>VLOOKUP($A41,'S46'!$C:$BQ,40,0)</f>
        <v>#N/A</v>
      </c>
      <c r="W41" s="107" t="e">
        <f>VLOOKUP($A41,'S46'!$C:$BQ,22,0)</f>
        <v>#N/A</v>
      </c>
      <c r="X41" s="115" t="e">
        <f>VLOOKUP($A41,'S46'!$C:$BQ,29,0)</f>
        <v>#N/A</v>
      </c>
      <c r="Y41" s="115" t="e">
        <f>VLOOKUP($A41,'S46'!$C:$BQ,30,0)</f>
        <v>#N/A</v>
      </c>
      <c r="Z41" s="115" t="e">
        <f>VLOOKUP($A41,'S46'!$C:$BQ,52,0)</f>
        <v>#N/A</v>
      </c>
      <c r="AA41" s="115" t="e">
        <f>VLOOKUP($A41,'S46'!$C:$BQ,59,0)</f>
        <v>#N/A</v>
      </c>
      <c r="AB41" s="115" t="e">
        <f>VLOOKUP($A41,'S46'!$C:$BQ,60,0)</f>
        <v>#N/A</v>
      </c>
      <c r="AC41" s="107" t="e">
        <f>VLOOKUP($A41,'S47'!$C:$BQ,32,0)</f>
        <v>#N/A</v>
      </c>
      <c r="AD41" s="107" t="e">
        <f>VLOOKUP($A41,'S47'!$C:$BQ,39,0)</f>
        <v>#N/A</v>
      </c>
      <c r="AE41" s="107" t="e">
        <f>VLOOKUP($A41,'S47'!$C:$BQ,40,0)</f>
        <v>#N/A</v>
      </c>
      <c r="AF41" s="107" t="e">
        <f>VLOOKUP($A41,'S47'!$C:$BQ,22,0)</f>
        <v>#N/A</v>
      </c>
      <c r="AG41" s="115" t="e">
        <f>VLOOKUP($A41,'S47'!$C:$BQ,29,0)</f>
        <v>#N/A</v>
      </c>
      <c r="AH41" s="115" t="e">
        <f>VLOOKUP($A41,'S47'!$C:$BQ,30,0)</f>
        <v>#N/A</v>
      </c>
      <c r="AI41" s="115" t="e">
        <f>VLOOKUP($A41,'S47'!$C:$BQ,52,0)</f>
        <v>#N/A</v>
      </c>
      <c r="AJ41" s="115" t="e">
        <f>VLOOKUP($A41,'S47'!$C:$BQ,59,0)</f>
        <v>#N/A</v>
      </c>
      <c r="AK41" s="115" t="e">
        <f>VLOOKUP($A41,'S47'!$C:$BQ,60,0)</f>
        <v>#N/A</v>
      </c>
      <c r="AL41" s="107" t="e">
        <f>VLOOKUP($A41,'S48'!$C:$BQ,32,0)</f>
        <v>#N/A</v>
      </c>
      <c r="AM41" s="107" t="e">
        <f>VLOOKUP($A41,'S48'!$C:$BQ,39,0)</f>
        <v>#N/A</v>
      </c>
      <c r="AN41" s="107" t="e">
        <f>VLOOKUP($A41,'S48'!$C:$BQ,40,0)</f>
        <v>#N/A</v>
      </c>
      <c r="AO41" s="107" t="e">
        <f>VLOOKUP($A41,'S48'!$C:$BQ,22,0)</f>
        <v>#N/A</v>
      </c>
      <c r="AP41" s="115" t="e">
        <f>VLOOKUP($A41,'S48'!$C:$BQ,29,0)</f>
        <v>#N/A</v>
      </c>
      <c r="AQ41" s="115" t="e">
        <f>VLOOKUP($A41,'S48'!$C:$BQ,30,0)</f>
        <v>#N/A</v>
      </c>
      <c r="AR41" s="115" t="e">
        <f>VLOOKUP($A41,'S48'!$C:$BQ,52,0)</f>
        <v>#N/A</v>
      </c>
      <c r="AS41" s="115" t="e">
        <f>VLOOKUP($A41,'S48'!$C:$BQ,59,0)</f>
        <v>#N/A</v>
      </c>
      <c r="AT41" s="115" t="e">
        <f>VLOOKUP($A41,'S48'!$C:$BQ,60,0)</f>
        <v>#N/A</v>
      </c>
      <c r="AU41" s="107" t="e">
        <f>VLOOKUP($A41,'S49'!$C:$BQ,32,0)</f>
        <v>#N/A</v>
      </c>
      <c r="AV41" s="107" t="e">
        <f>VLOOKUP($A41,'S49'!$C:$BQ,39,0)</f>
        <v>#N/A</v>
      </c>
      <c r="AW41" s="107" t="e">
        <f>VLOOKUP($A41,'S49'!$C:$BQ,40,0)</f>
        <v>#N/A</v>
      </c>
      <c r="AX41" s="107" t="e">
        <f>VLOOKUP($A41,'S49'!$C:$BQ,22,0)</f>
        <v>#N/A</v>
      </c>
      <c r="AY41" s="115" t="e">
        <f>VLOOKUP($A41,'S49'!$C:$BQ,29,0)</f>
        <v>#N/A</v>
      </c>
      <c r="AZ41" s="115" t="e">
        <f>VLOOKUP($A41,'S49'!$C:$BQ,30,0)</f>
        <v>#N/A</v>
      </c>
      <c r="BA41" s="115" t="e">
        <f>VLOOKUP($A41,'S49'!$C:$BQ,52,0)</f>
        <v>#N/A</v>
      </c>
      <c r="BB41" s="115" t="e">
        <f>VLOOKUP($A41,'S49'!$C:$BQ,59,0)</f>
        <v>#N/A</v>
      </c>
      <c r="BC41" s="115" t="e">
        <f>VLOOKUP($A41,'S49'!$C:$BQ,60,0)</f>
        <v>#N/A</v>
      </c>
      <c r="BD41" s="107" t="e">
        <f>VLOOKUP($A41,'S50'!$C:$BQ,32,0)</f>
        <v>#N/A</v>
      </c>
      <c r="BE41" s="107" t="e">
        <f>VLOOKUP($A41,'S50'!$C:$BQ,39,0)</f>
        <v>#N/A</v>
      </c>
      <c r="BF41" s="107" t="e">
        <f>VLOOKUP($A41,'S50'!$C:$BQ,40,0)</f>
        <v>#N/A</v>
      </c>
      <c r="BG41" s="107" t="e">
        <f>VLOOKUP($A41,'S50'!$C:$BQ,22,0)</f>
        <v>#N/A</v>
      </c>
      <c r="BH41" s="115" t="e">
        <f>VLOOKUP($A41,'S50'!$C:$BQ,29,0)</f>
        <v>#N/A</v>
      </c>
      <c r="BI41" s="115" t="e">
        <f>VLOOKUP($A41,'S50'!$C:$BQ,30,0)</f>
        <v>#N/A</v>
      </c>
      <c r="BJ41" s="115" t="e">
        <f>VLOOKUP($A41,'S50'!$C:$BQ,52,0)</f>
        <v>#N/A</v>
      </c>
      <c r="BK41" s="115" t="e">
        <f>VLOOKUP($A41,'S50'!$C:$BQ,59,0)</f>
        <v>#N/A</v>
      </c>
      <c r="BL41" s="115" t="e">
        <f>VLOOKUP($A41,'S50'!$C:$BQ,60,0)</f>
        <v>#N/A</v>
      </c>
    </row>
    <row r="42" spans="1:64" x14ac:dyDescent="0.2">
      <c r="A42" s="106" t="s">
        <v>97</v>
      </c>
      <c r="B42" s="107">
        <f>VLOOKUP($A42,'S0 remplacer avec S44'!$C:$BQ,32,0)</f>
        <v>105.35</v>
      </c>
      <c r="C42" s="107">
        <f>VLOOKUP($A42,'S0 remplacer avec S44'!$C:$BQ,39,0)</f>
        <v>80</v>
      </c>
      <c r="D42" s="107">
        <f>VLOOKUP($A42,'S0 remplacer avec S44'!$C:$BQ,40,0)</f>
        <v>117</v>
      </c>
      <c r="E42" s="107">
        <f>VLOOKUP($A42,'S0 remplacer avec S44'!$C:$BQ,22,0)</f>
        <v>1857.68922</v>
      </c>
      <c r="F42" s="115">
        <f>VLOOKUP($A42,'S0 remplacer avec S44'!$C:$BQ,29,0)</f>
        <v>0</v>
      </c>
      <c r="G42" s="115">
        <f>VLOOKUP($A42,'S0 remplacer avec S44'!$C:$BQ,30,0)</f>
        <v>165</v>
      </c>
      <c r="H42" s="115">
        <f>VLOOKUP($A42,'S0 remplacer avec S44'!$C:$BQ,52,0)</f>
        <v>120</v>
      </c>
      <c r="I42" s="115">
        <f>VLOOKUP($A42,'S0 remplacer avec S44'!$C:$BQ,59,0)</f>
        <v>0</v>
      </c>
      <c r="J42" s="115">
        <f>VLOOKUP($A42,'S0 remplacer avec S44'!$C:$BQ,60,0)</f>
        <v>0</v>
      </c>
      <c r="K42" s="107" t="e">
        <f>VLOOKUP($A42,'S45'!$C:$BQ,32,0)</f>
        <v>#N/A</v>
      </c>
      <c r="L42" s="107" t="e">
        <f>VLOOKUP($A42,'S45'!$C:$BQ,39,0)</f>
        <v>#N/A</v>
      </c>
      <c r="M42" s="107" t="e">
        <f>VLOOKUP($A42,'S45'!$C:$BQ,40,0)</f>
        <v>#N/A</v>
      </c>
      <c r="N42" s="107" t="e">
        <f>VLOOKUP($A42,'S45'!$C:$BQ,22,0)</f>
        <v>#N/A</v>
      </c>
      <c r="O42" s="115" t="e">
        <f>VLOOKUP($A42,'S45'!$C:$BQ,29,0)</f>
        <v>#N/A</v>
      </c>
      <c r="P42" s="115" t="e">
        <f>VLOOKUP($A42,'S45'!$C:$BQ,30,0)</f>
        <v>#N/A</v>
      </c>
      <c r="Q42" s="115" t="e">
        <f>VLOOKUP($A42,'S45'!$C:$BQ,52,0)</f>
        <v>#N/A</v>
      </c>
      <c r="R42" s="115" t="e">
        <f>VLOOKUP($A42,'S45'!$C:$BQ,59,0)</f>
        <v>#N/A</v>
      </c>
      <c r="S42" s="115" t="e">
        <f>VLOOKUP($A42,'S45'!$C:$BQ,60,0)</f>
        <v>#N/A</v>
      </c>
      <c r="T42" s="107" t="e">
        <f>VLOOKUP($A42,'S46'!$C:$BQ,32,0)</f>
        <v>#N/A</v>
      </c>
      <c r="U42" s="107" t="e">
        <f>VLOOKUP($A42,'S46'!$C:$BQ,39,0)</f>
        <v>#N/A</v>
      </c>
      <c r="V42" s="107" t="e">
        <f>VLOOKUP($A42,'S46'!$C:$BQ,40,0)</f>
        <v>#N/A</v>
      </c>
      <c r="W42" s="107" t="e">
        <f>VLOOKUP($A42,'S46'!$C:$BQ,22,0)</f>
        <v>#N/A</v>
      </c>
      <c r="X42" s="115" t="e">
        <f>VLOOKUP($A42,'S46'!$C:$BQ,29,0)</f>
        <v>#N/A</v>
      </c>
      <c r="Y42" s="115" t="e">
        <f>VLOOKUP($A42,'S46'!$C:$BQ,30,0)</f>
        <v>#N/A</v>
      </c>
      <c r="Z42" s="115" t="e">
        <f>VLOOKUP($A42,'S46'!$C:$BQ,52,0)</f>
        <v>#N/A</v>
      </c>
      <c r="AA42" s="115" t="e">
        <f>VLOOKUP($A42,'S46'!$C:$BQ,59,0)</f>
        <v>#N/A</v>
      </c>
      <c r="AB42" s="115" t="e">
        <f>VLOOKUP($A42,'S46'!$C:$BQ,60,0)</f>
        <v>#N/A</v>
      </c>
      <c r="AC42" s="107" t="e">
        <f>VLOOKUP($A42,'S47'!$C:$BQ,32,0)</f>
        <v>#N/A</v>
      </c>
      <c r="AD42" s="107" t="e">
        <f>VLOOKUP($A42,'S47'!$C:$BQ,39,0)</f>
        <v>#N/A</v>
      </c>
      <c r="AE42" s="107" t="e">
        <f>VLOOKUP($A42,'S47'!$C:$BQ,40,0)</f>
        <v>#N/A</v>
      </c>
      <c r="AF42" s="107" t="e">
        <f>VLOOKUP($A42,'S47'!$C:$BQ,22,0)</f>
        <v>#N/A</v>
      </c>
      <c r="AG42" s="115" t="e">
        <f>VLOOKUP($A42,'S47'!$C:$BQ,29,0)</f>
        <v>#N/A</v>
      </c>
      <c r="AH42" s="115" t="e">
        <f>VLOOKUP($A42,'S47'!$C:$BQ,30,0)</f>
        <v>#N/A</v>
      </c>
      <c r="AI42" s="115" t="e">
        <f>VLOOKUP($A42,'S47'!$C:$BQ,52,0)</f>
        <v>#N/A</v>
      </c>
      <c r="AJ42" s="115" t="e">
        <f>VLOOKUP($A42,'S47'!$C:$BQ,59,0)</f>
        <v>#N/A</v>
      </c>
      <c r="AK42" s="115" t="e">
        <f>VLOOKUP($A42,'S47'!$C:$BQ,60,0)</f>
        <v>#N/A</v>
      </c>
      <c r="AL42" s="107" t="e">
        <f>VLOOKUP($A42,'S48'!$C:$BQ,32,0)</f>
        <v>#N/A</v>
      </c>
      <c r="AM42" s="107" t="e">
        <f>VLOOKUP($A42,'S48'!$C:$BQ,39,0)</f>
        <v>#N/A</v>
      </c>
      <c r="AN42" s="107" t="e">
        <f>VLOOKUP($A42,'S48'!$C:$BQ,40,0)</f>
        <v>#N/A</v>
      </c>
      <c r="AO42" s="107" t="e">
        <f>VLOOKUP($A42,'S48'!$C:$BQ,22,0)</f>
        <v>#N/A</v>
      </c>
      <c r="AP42" s="115" t="e">
        <f>VLOOKUP($A42,'S48'!$C:$BQ,29,0)</f>
        <v>#N/A</v>
      </c>
      <c r="AQ42" s="115" t="e">
        <f>VLOOKUP($A42,'S48'!$C:$BQ,30,0)</f>
        <v>#N/A</v>
      </c>
      <c r="AR42" s="115" t="e">
        <f>VLOOKUP($A42,'S48'!$C:$BQ,52,0)</f>
        <v>#N/A</v>
      </c>
      <c r="AS42" s="115" t="e">
        <f>VLOOKUP($A42,'S48'!$C:$BQ,59,0)</f>
        <v>#N/A</v>
      </c>
      <c r="AT42" s="115" t="e">
        <f>VLOOKUP($A42,'S48'!$C:$BQ,60,0)</f>
        <v>#N/A</v>
      </c>
      <c r="AU42" s="107" t="e">
        <f>VLOOKUP($A42,'S49'!$C:$BQ,32,0)</f>
        <v>#N/A</v>
      </c>
      <c r="AV42" s="107" t="e">
        <f>VLOOKUP($A42,'S49'!$C:$BQ,39,0)</f>
        <v>#N/A</v>
      </c>
      <c r="AW42" s="107" t="e">
        <f>VLOOKUP($A42,'S49'!$C:$BQ,40,0)</f>
        <v>#N/A</v>
      </c>
      <c r="AX42" s="107" t="e">
        <f>VLOOKUP($A42,'S49'!$C:$BQ,22,0)</f>
        <v>#N/A</v>
      </c>
      <c r="AY42" s="115" t="e">
        <f>VLOOKUP($A42,'S49'!$C:$BQ,29,0)</f>
        <v>#N/A</v>
      </c>
      <c r="AZ42" s="115" t="e">
        <f>VLOOKUP($A42,'S49'!$C:$BQ,30,0)</f>
        <v>#N/A</v>
      </c>
      <c r="BA42" s="115" t="e">
        <f>VLOOKUP($A42,'S49'!$C:$BQ,52,0)</f>
        <v>#N/A</v>
      </c>
      <c r="BB42" s="115" t="e">
        <f>VLOOKUP($A42,'S49'!$C:$BQ,59,0)</f>
        <v>#N/A</v>
      </c>
      <c r="BC42" s="115" t="e">
        <f>VLOOKUP($A42,'S49'!$C:$BQ,60,0)</f>
        <v>#N/A</v>
      </c>
      <c r="BD42" s="107" t="e">
        <f>VLOOKUP($A42,'S50'!$C:$BQ,32,0)</f>
        <v>#N/A</v>
      </c>
      <c r="BE42" s="107" t="e">
        <f>VLOOKUP($A42,'S50'!$C:$BQ,39,0)</f>
        <v>#N/A</v>
      </c>
      <c r="BF42" s="107" t="e">
        <f>VLOOKUP($A42,'S50'!$C:$BQ,40,0)</f>
        <v>#N/A</v>
      </c>
      <c r="BG42" s="107" t="e">
        <f>VLOOKUP($A42,'S50'!$C:$BQ,22,0)</f>
        <v>#N/A</v>
      </c>
      <c r="BH42" s="115" t="e">
        <f>VLOOKUP($A42,'S50'!$C:$BQ,29,0)</f>
        <v>#N/A</v>
      </c>
      <c r="BI42" s="115" t="e">
        <f>VLOOKUP($A42,'S50'!$C:$BQ,30,0)</f>
        <v>#N/A</v>
      </c>
      <c r="BJ42" s="115" t="e">
        <f>VLOOKUP($A42,'S50'!$C:$BQ,52,0)</f>
        <v>#N/A</v>
      </c>
      <c r="BK42" s="115" t="e">
        <f>VLOOKUP($A42,'S50'!$C:$BQ,59,0)</f>
        <v>#N/A</v>
      </c>
      <c r="BL42" s="115" t="e">
        <f>VLOOKUP($A42,'S50'!$C:$BQ,60,0)</f>
        <v>#N/A</v>
      </c>
    </row>
    <row r="43" spans="1:64" x14ac:dyDescent="0.2">
      <c r="A43" s="106" t="s">
        <v>98</v>
      </c>
      <c r="B43" s="107">
        <f>VLOOKUP($A43,'S0 remplacer avec S44'!$C:$BQ,32,0)</f>
        <v>485.25</v>
      </c>
      <c r="C43" s="107">
        <f>VLOOKUP($A43,'S0 remplacer avec S44'!$C:$BQ,39,0)</f>
        <v>61</v>
      </c>
      <c r="D43" s="107">
        <f>VLOOKUP($A43,'S0 remplacer avec S44'!$C:$BQ,40,0)</f>
        <v>170</v>
      </c>
      <c r="E43" s="107">
        <f>VLOOKUP($A43,'S0 remplacer avec S44'!$C:$BQ,22,0)</f>
        <v>4254.8397999999997</v>
      </c>
      <c r="F43" s="115">
        <f>VLOOKUP($A43,'S0 remplacer avec S44'!$C:$BQ,29,0)</f>
        <v>710</v>
      </c>
      <c r="G43" s="115">
        <f>VLOOKUP($A43,'S0 remplacer avec S44'!$C:$BQ,30,0)</f>
        <v>1702</v>
      </c>
      <c r="H43" s="115">
        <f>VLOOKUP($A43,'S0 remplacer avec S44'!$C:$BQ,52,0)</f>
        <v>283</v>
      </c>
      <c r="I43" s="115">
        <f>VLOOKUP($A43,'S0 remplacer avec S44'!$C:$BQ,59,0)</f>
        <v>0</v>
      </c>
      <c r="J43" s="115">
        <f>VLOOKUP($A43,'S0 remplacer avec S44'!$C:$BQ,60,0)</f>
        <v>50</v>
      </c>
      <c r="K43" s="107" t="e">
        <f>VLOOKUP($A43,'S45'!$C:$BQ,32,0)</f>
        <v>#N/A</v>
      </c>
      <c r="L43" s="107" t="e">
        <f>VLOOKUP($A43,'S45'!$C:$BQ,39,0)</f>
        <v>#N/A</v>
      </c>
      <c r="M43" s="107" t="e">
        <f>VLOOKUP($A43,'S45'!$C:$BQ,40,0)</f>
        <v>#N/A</v>
      </c>
      <c r="N43" s="107" t="e">
        <f>VLOOKUP($A43,'S45'!$C:$BQ,22,0)</f>
        <v>#N/A</v>
      </c>
      <c r="O43" s="115" t="e">
        <f>VLOOKUP($A43,'S45'!$C:$BQ,29,0)</f>
        <v>#N/A</v>
      </c>
      <c r="P43" s="115" t="e">
        <f>VLOOKUP($A43,'S45'!$C:$BQ,30,0)</f>
        <v>#N/A</v>
      </c>
      <c r="Q43" s="115" t="e">
        <f>VLOOKUP($A43,'S45'!$C:$BQ,52,0)</f>
        <v>#N/A</v>
      </c>
      <c r="R43" s="115" t="e">
        <f>VLOOKUP($A43,'S45'!$C:$BQ,59,0)</f>
        <v>#N/A</v>
      </c>
      <c r="S43" s="115" t="e">
        <f>VLOOKUP($A43,'S45'!$C:$BQ,60,0)</f>
        <v>#N/A</v>
      </c>
      <c r="T43" s="107" t="e">
        <f>VLOOKUP($A43,'S46'!$C:$BQ,32,0)</f>
        <v>#N/A</v>
      </c>
      <c r="U43" s="107" t="e">
        <f>VLOOKUP($A43,'S46'!$C:$BQ,39,0)</f>
        <v>#N/A</v>
      </c>
      <c r="V43" s="107" t="e">
        <f>VLOOKUP($A43,'S46'!$C:$BQ,40,0)</f>
        <v>#N/A</v>
      </c>
      <c r="W43" s="107" t="e">
        <f>VLOOKUP($A43,'S46'!$C:$BQ,22,0)</f>
        <v>#N/A</v>
      </c>
      <c r="X43" s="115" t="e">
        <f>VLOOKUP($A43,'S46'!$C:$BQ,29,0)</f>
        <v>#N/A</v>
      </c>
      <c r="Y43" s="115" t="e">
        <f>VLOOKUP($A43,'S46'!$C:$BQ,30,0)</f>
        <v>#N/A</v>
      </c>
      <c r="Z43" s="115" t="e">
        <f>VLOOKUP($A43,'S46'!$C:$BQ,52,0)</f>
        <v>#N/A</v>
      </c>
      <c r="AA43" s="115" t="e">
        <f>VLOOKUP($A43,'S46'!$C:$BQ,59,0)</f>
        <v>#N/A</v>
      </c>
      <c r="AB43" s="115" t="e">
        <f>VLOOKUP($A43,'S46'!$C:$BQ,60,0)</f>
        <v>#N/A</v>
      </c>
      <c r="AC43" s="107" t="e">
        <f>VLOOKUP($A43,'S47'!$C:$BQ,32,0)</f>
        <v>#N/A</v>
      </c>
      <c r="AD43" s="107" t="e">
        <f>VLOOKUP($A43,'S47'!$C:$BQ,39,0)</f>
        <v>#N/A</v>
      </c>
      <c r="AE43" s="107" t="e">
        <f>VLOOKUP($A43,'S47'!$C:$BQ,40,0)</f>
        <v>#N/A</v>
      </c>
      <c r="AF43" s="107" t="e">
        <f>VLOOKUP($A43,'S47'!$C:$BQ,22,0)</f>
        <v>#N/A</v>
      </c>
      <c r="AG43" s="115" t="e">
        <f>VLOOKUP($A43,'S47'!$C:$BQ,29,0)</f>
        <v>#N/A</v>
      </c>
      <c r="AH43" s="115" t="e">
        <f>VLOOKUP($A43,'S47'!$C:$BQ,30,0)</f>
        <v>#N/A</v>
      </c>
      <c r="AI43" s="115" t="e">
        <f>VLOOKUP($A43,'S47'!$C:$BQ,52,0)</f>
        <v>#N/A</v>
      </c>
      <c r="AJ43" s="115" t="e">
        <f>VLOOKUP($A43,'S47'!$C:$BQ,59,0)</f>
        <v>#N/A</v>
      </c>
      <c r="AK43" s="115" t="e">
        <f>VLOOKUP($A43,'S47'!$C:$BQ,60,0)</f>
        <v>#N/A</v>
      </c>
      <c r="AL43" s="107" t="e">
        <f>VLOOKUP($A43,'S48'!$C:$BQ,32,0)</f>
        <v>#N/A</v>
      </c>
      <c r="AM43" s="107" t="e">
        <f>VLOOKUP($A43,'S48'!$C:$BQ,39,0)</f>
        <v>#N/A</v>
      </c>
      <c r="AN43" s="107" t="e">
        <f>VLOOKUP($A43,'S48'!$C:$BQ,40,0)</f>
        <v>#N/A</v>
      </c>
      <c r="AO43" s="107" t="e">
        <f>VLOOKUP($A43,'S48'!$C:$BQ,22,0)</f>
        <v>#N/A</v>
      </c>
      <c r="AP43" s="115" t="e">
        <f>VLOOKUP($A43,'S48'!$C:$BQ,29,0)</f>
        <v>#N/A</v>
      </c>
      <c r="AQ43" s="115" t="e">
        <f>VLOOKUP($A43,'S48'!$C:$BQ,30,0)</f>
        <v>#N/A</v>
      </c>
      <c r="AR43" s="115" t="e">
        <f>VLOOKUP($A43,'S48'!$C:$BQ,52,0)</f>
        <v>#N/A</v>
      </c>
      <c r="AS43" s="115" t="e">
        <f>VLOOKUP($A43,'S48'!$C:$BQ,59,0)</f>
        <v>#N/A</v>
      </c>
      <c r="AT43" s="115" t="e">
        <f>VLOOKUP($A43,'S48'!$C:$BQ,60,0)</f>
        <v>#N/A</v>
      </c>
      <c r="AU43" s="107" t="e">
        <f>VLOOKUP($A43,'S49'!$C:$BQ,32,0)</f>
        <v>#N/A</v>
      </c>
      <c r="AV43" s="107" t="e">
        <f>VLOOKUP($A43,'S49'!$C:$BQ,39,0)</f>
        <v>#N/A</v>
      </c>
      <c r="AW43" s="107" t="e">
        <f>VLOOKUP($A43,'S49'!$C:$BQ,40,0)</f>
        <v>#N/A</v>
      </c>
      <c r="AX43" s="107" t="e">
        <f>VLOOKUP($A43,'S49'!$C:$BQ,22,0)</f>
        <v>#N/A</v>
      </c>
      <c r="AY43" s="115" t="e">
        <f>VLOOKUP($A43,'S49'!$C:$BQ,29,0)</f>
        <v>#N/A</v>
      </c>
      <c r="AZ43" s="115" t="e">
        <f>VLOOKUP($A43,'S49'!$C:$BQ,30,0)</f>
        <v>#N/A</v>
      </c>
      <c r="BA43" s="115" t="e">
        <f>VLOOKUP($A43,'S49'!$C:$BQ,52,0)</f>
        <v>#N/A</v>
      </c>
      <c r="BB43" s="115" t="e">
        <f>VLOOKUP($A43,'S49'!$C:$BQ,59,0)</f>
        <v>#N/A</v>
      </c>
      <c r="BC43" s="115" t="e">
        <f>VLOOKUP($A43,'S49'!$C:$BQ,60,0)</f>
        <v>#N/A</v>
      </c>
      <c r="BD43" s="107" t="e">
        <f>VLOOKUP($A43,'S50'!$C:$BQ,32,0)</f>
        <v>#N/A</v>
      </c>
      <c r="BE43" s="107" t="e">
        <f>VLOOKUP($A43,'S50'!$C:$BQ,39,0)</f>
        <v>#N/A</v>
      </c>
      <c r="BF43" s="107" t="e">
        <f>VLOOKUP($A43,'S50'!$C:$BQ,40,0)</f>
        <v>#N/A</v>
      </c>
      <c r="BG43" s="107" t="e">
        <f>VLOOKUP($A43,'S50'!$C:$BQ,22,0)</f>
        <v>#N/A</v>
      </c>
      <c r="BH43" s="115" t="e">
        <f>VLOOKUP($A43,'S50'!$C:$BQ,29,0)</f>
        <v>#N/A</v>
      </c>
      <c r="BI43" s="115" t="e">
        <f>VLOOKUP($A43,'S50'!$C:$BQ,30,0)</f>
        <v>#N/A</v>
      </c>
      <c r="BJ43" s="115" t="e">
        <f>VLOOKUP($A43,'S50'!$C:$BQ,52,0)</f>
        <v>#N/A</v>
      </c>
      <c r="BK43" s="115" t="e">
        <f>VLOOKUP($A43,'S50'!$C:$BQ,59,0)</f>
        <v>#N/A</v>
      </c>
      <c r="BL43" s="115" t="e">
        <f>VLOOKUP($A43,'S50'!$C:$BQ,60,0)</f>
        <v>#N/A</v>
      </c>
    </row>
    <row r="44" spans="1:64" x14ac:dyDescent="0.2">
      <c r="A44" s="106" t="s">
        <v>99</v>
      </c>
      <c r="B44" s="107">
        <f>VLOOKUP($A44,'S0 remplacer avec S44'!$C:$BQ,32,0)</f>
        <v>96.25</v>
      </c>
      <c r="C44" s="107">
        <f>VLOOKUP($A44,'S0 remplacer avec S44'!$C:$BQ,39,0)</f>
        <v>50</v>
      </c>
      <c r="D44" s="107">
        <f>VLOOKUP($A44,'S0 remplacer avec S44'!$C:$BQ,40,0)</f>
        <v>79</v>
      </c>
      <c r="E44" s="107">
        <f>VLOOKUP($A44,'S0 remplacer avec S44'!$C:$BQ,22,0)</f>
        <v>1088.4898700000001</v>
      </c>
      <c r="F44" s="115">
        <f>VLOOKUP($A44,'S0 remplacer avec S44'!$C:$BQ,29,0)</f>
        <v>236</v>
      </c>
      <c r="G44" s="115">
        <f>VLOOKUP($A44,'S0 remplacer avec S44'!$C:$BQ,30,0)</f>
        <v>500</v>
      </c>
      <c r="H44" s="115">
        <f>VLOOKUP($A44,'S0 remplacer avec S44'!$C:$BQ,52,0)</f>
        <v>63.2</v>
      </c>
      <c r="I44" s="115">
        <f>VLOOKUP($A44,'S0 remplacer avec S44'!$C:$BQ,59,0)</f>
        <v>11</v>
      </c>
      <c r="J44" s="115">
        <f>VLOOKUP($A44,'S0 remplacer avec S44'!$C:$BQ,60,0)</f>
        <v>26</v>
      </c>
      <c r="K44" s="107" t="e">
        <f>VLOOKUP($A44,'S45'!$C:$BQ,32,0)</f>
        <v>#N/A</v>
      </c>
      <c r="L44" s="107" t="e">
        <f>VLOOKUP($A44,'S45'!$C:$BQ,39,0)</f>
        <v>#N/A</v>
      </c>
      <c r="M44" s="107" t="e">
        <f>VLOOKUP($A44,'S45'!$C:$BQ,40,0)</f>
        <v>#N/A</v>
      </c>
      <c r="N44" s="107" t="e">
        <f>VLOOKUP($A44,'S45'!$C:$BQ,22,0)</f>
        <v>#N/A</v>
      </c>
      <c r="O44" s="115" t="e">
        <f>VLOOKUP($A44,'S45'!$C:$BQ,29,0)</f>
        <v>#N/A</v>
      </c>
      <c r="P44" s="115" t="e">
        <f>VLOOKUP($A44,'S45'!$C:$BQ,30,0)</f>
        <v>#N/A</v>
      </c>
      <c r="Q44" s="115" t="e">
        <f>VLOOKUP($A44,'S45'!$C:$BQ,52,0)</f>
        <v>#N/A</v>
      </c>
      <c r="R44" s="115" t="e">
        <f>VLOOKUP($A44,'S45'!$C:$BQ,59,0)</f>
        <v>#N/A</v>
      </c>
      <c r="S44" s="115" t="e">
        <f>VLOOKUP($A44,'S45'!$C:$BQ,60,0)</f>
        <v>#N/A</v>
      </c>
      <c r="T44" s="107" t="e">
        <f>VLOOKUP($A44,'S46'!$C:$BQ,32,0)</f>
        <v>#N/A</v>
      </c>
      <c r="U44" s="107" t="e">
        <f>VLOOKUP($A44,'S46'!$C:$BQ,39,0)</f>
        <v>#N/A</v>
      </c>
      <c r="V44" s="107" t="e">
        <f>VLOOKUP($A44,'S46'!$C:$BQ,40,0)</f>
        <v>#N/A</v>
      </c>
      <c r="W44" s="107" t="e">
        <f>VLOOKUP($A44,'S46'!$C:$BQ,22,0)</f>
        <v>#N/A</v>
      </c>
      <c r="X44" s="115" t="e">
        <f>VLOOKUP($A44,'S46'!$C:$BQ,29,0)</f>
        <v>#N/A</v>
      </c>
      <c r="Y44" s="115" t="e">
        <f>VLOOKUP($A44,'S46'!$C:$BQ,30,0)</f>
        <v>#N/A</v>
      </c>
      <c r="Z44" s="115" t="e">
        <f>VLOOKUP($A44,'S46'!$C:$BQ,52,0)</f>
        <v>#N/A</v>
      </c>
      <c r="AA44" s="115" t="e">
        <f>VLOOKUP($A44,'S46'!$C:$BQ,59,0)</f>
        <v>#N/A</v>
      </c>
      <c r="AB44" s="115" t="e">
        <f>VLOOKUP($A44,'S46'!$C:$BQ,60,0)</f>
        <v>#N/A</v>
      </c>
      <c r="AC44" s="107" t="e">
        <f>VLOOKUP($A44,'S47'!$C:$BQ,32,0)</f>
        <v>#N/A</v>
      </c>
      <c r="AD44" s="107" t="e">
        <f>VLOOKUP($A44,'S47'!$C:$BQ,39,0)</f>
        <v>#N/A</v>
      </c>
      <c r="AE44" s="107" t="e">
        <f>VLOOKUP($A44,'S47'!$C:$BQ,40,0)</f>
        <v>#N/A</v>
      </c>
      <c r="AF44" s="107" t="e">
        <f>VLOOKUP($A44,'S47'!$C:$BQ,22,0)</f>
        <v>#N/A</v>
      </c>
      <c r="AG44" s="115" t="e">
        <f>VLOOKUP($A44,'S47'!$C:$BQ,29,0)</f>
        <v>#N/A</v>
      </c>
      <c r="AH44" s="115" t="e">
        <f>VLOOKUP($A44,'S47'!$C:$BQ,30,0)</f>
        <v>#N/A</v>
      </c>
      <c r="AI44" s="115" t="e">
        <f>VLOOKUP($A44,'S47'!$C:$BQ,52,0)</f>
        <v>#N/A</v>
      </c>
      <c r="AJ44" s="115" t="e">
        <f>VLOOKUP($A44,'S47'!$C:$BQ,59,0)</f>
        <v>#N/A</v>
      </c>
      <c r="AK44" s="115" t="e">
        <f>VLOOKUP($A44,'S47'!$C:$BQ,60,0)</f>
        <v>#N/A</v>
      </c>
      <c r="AL44" s="107" t="e">
        <f>VLOOKUP($A44,'S48'!$C:$BQ,32,0)</f>
        <v>#N/A</v>
      </c>
      <c r="AM44" s="107" t="e">
        <f>VLOOKUP($A44,'S48'!$C:$BQ,39,0)</f>
        <v>#N/A</v>
      </c>
      <c r="AN44" s="107" t="e">
        <f>VLOOKUP($A44,'S48'!$C:$BQ,40,0)</f>
        <v>#N/A</v>
      </c>
      <c r="AO44" s="107" t="e">
        <f>VLOOKUP($A44,'S48'!$C:$BQ,22,0)</f>
        <v>#N/A</v>
      </c>
      <c r="AP44" s="115" t="e">
        <f>VLOOKUP($A44,'S48'!$C:$BQ,29,0)</f>
        <v>#N/A</v>
      </c>
      <c r="AQ44" s="115" t="e">
        <f>VLOOKUP($A44,'S48'!$C:$BQ,30,0)</f>
        <v>#N/A</v>
      </c>
      <c r="AR44" s="115" t="e">
        <f>VLOOKUP($A44,'S48'!$C:$BQ,52,0)</f>
        <v>#N/A</v>
      </c>
      <c r="AS44" s="115" t="e">
        <f>VLOOKUP($A44,'S48'!$C:$BQ,59,0)</f>
        <v>#N/A</v>
      </c>
      <c r="AT44" s="115" t="e">
        <f>VLOOKUP($A44,'S48'!$C:$BQ,60,0)</f>
        <v>#N/A</v>
      </c>
      <c r="AU44" s="107" t="e">
        <f>VLOOKUP($A44,'S49'!$C:$BQ,32,0)</f>
        <v>#N/A</v>
      </c>
      <c r="AV44" s="107" t="e">
        <f>VLOOKUP($A44,'S49'!$C:$BQ,39,0)</f>
        <v>#N/A</v>
      </c>
      <c r="AW44" s="107" t="e">
        <f>VLOOKUP($A44,'S49'!$C:$BQ,40,0)</f>
        <v>#N/A</v>
      </c>
      <c r="AX44" s="107" t="e">
        <f>VLOOKUP($A44,'S49'!$C:$BQ,22,0)</f>
        <v>#N/A</v>
      </c>
      <c r="AY44" s="115" t="e">
        <f>VLOOKUP($A44,'S49'!$C:$BQ,29,0)</f>
        <v>#N/A</v>
      </c>
      <c r="AZ44" s="115" t="e">
        <f>VLOOKUP($A44,'S49'!$C:$BQ,30,0)</f>
        <v>#N/A</v>
      </c>
      <c r="BA44" s="115" t="e">
        <f>VLOOKUP($A44,'S49'!$C:$BQ,52,0)</f>
        <v>#N/A</v>
      </c>
      <c r="BB44" s="115" t="e">
        <f>VLOOKUP($A44,'S49'!$C:$BQ,59,0)</f>
        <v>#N/A</v>
      </c>
      <c r="BC44" s="115" t="e">
        <f>VLOOKUP($A44,'S49'!$C:$BQ,60,0)</f>
        <v>#N/A</v>
      </c>
      <c r="BD44" s="107" t="e">
        <f>VLOOKUP($A44,'S50'!$C:$BQ,32,0)</f>
        <v>#N/A</v>
      </c>
      <c r="BE44" s="107" t="e">
        <f>VLOOKUP($A44,'S50'!$C:$BQ,39,0)</f>
        <v>#N/A</v>
      </c>
      <c r="BF44" s="107" t="e">
        <f>VLOOKUP($A44,'S50'!$C:$BQ,40,0)</f>
        <v>#N/A</v>
      </c>
      <c r="BG44" s="107" t="e">
        <f>VLOOKUP($A44,'S50'!$C:$BQ,22,0)</f>
        <v>#N/A</v>
      </c>
      <c r="BH44" s="115" t="e">
        <f>VLOOKUP($A44,'S50'!$C:$BQ,29,0)</f>
        <v>#N/A</v>
      </c>
      <c r="BI44" s="115" t="e">
        <f>VLOOKUP($A44,'S50'!$C:$BQ,30,0)</f>
        <v>#N/A</v>
      </c>
      <c r="BJ44" s="115" t="e">
        <f>VLOOKUP($A44,'S50'!$C:$BQ,52,0)</f>
        <v>#N/A</v>
      </c>
      <c r="BK44" s="115" t="e">
        <f>VLOOKUP($A44,'S50'!$C:$BQ,59,0)</f>
        <v>#N/A</v>
      </c>
      <c r="BL44" s="115" t="e">
        <f>VLOOKUP($A44,'S50'!$C:$BQ,60,0)</f>
        <v>#N/A</v>
      </c>
    </row>
    <row r="45" spans="1:64" x14ac:dyDescent="0.2">
      <c r="A45" s="106" t="s">
        <v>101</v>
      </c>
      <c r="B45" s="107">
        <f>VLOOKUP($A45,'S0 remplacer avec S44'!$C:$BQ,32,0)</f>
        <v>160.5</v>
      </c>
      <c r="C45" s="107">
        <f>VLOOKUP($A45,'S0 remplacer avec S44'!$C:$BQ,39,0)</f>
        <v>27</v>
      </c>
      <c r="D45" s="107">
        <f>VLOOKUP($A45,'S0 remplacer avec S44'!$C:$BQ,40,0)</f>
        <v>64</v>
      </c>
      <c r="E45" s="107">
        <f>VLOOKUP($A45,'S0 remplacer avec S44'!$C:$BQ,22,0)</f>
        <v>1500.644235</v>
      </c>
      <c r="F45" s="115">
        <f>VLOOKUP($A45,'S0 remplacer avec S44'!$C:$BQ,29,0)</f>
        <v>198</v>
      </c>
      <c r="G45" s="115">
        <f>VLOOKUP($A45,'S0 remplacer avec S44'!$C:$BQ,30,0)</f>
        <v>537</v>
      </c>
      <c r="H45" s="115">
        <f>VLOOKUP($A45,'S0 remplacer avec S44'!$C:$BQ,52,0)</f>
        <v>119</v>
      </c>
      <c r="I45" s="115">
        <f>VLOOKUP($A45,'S0 remplacer avec S44'!$C:$BQ,59,0)</f>
        <v>0</v>
      </c>
      <c r="J45" s="115">
        <f>VLOOKUP($A45,'S0 remplacer avec S44'!$C:$BQ,60,0)</f>
        <v>0</v>
      </c>
      <c r="K45" s="107" t="e">
        <f>VLOOKUP($A45,'S45'!$C:$BQ,32,0)</f>
        <v>#N/A</v>
      </c>
      <c r="L45" s="107" t="e">
        <f>VLOOKUP($A45,'S45'!$C:$BQ,39,0)</f>
        <v>#N/A</v>
      </c>
      <c r="M45" s="107" t="e">
        <f>VLOOKUP($A45,'S45'!$C:$BQ,40,0)</f>
        <v>#N/A</v>
      </c>
      <c r="N45" s="107" t="e">
        <f>VLOOKUP($A45,'S45'!$C:$BQ,22,0)</f>
        <v>#N/A</v>
      </c>
      <c r="O45" s="115" t="e">
        <f>VLOOKUP($A45,'S45'!$C:$BQ,29,0)</f>
        <v>#N/A</v>
      </c>
      <c r="P45" s="115" t="e">
        <f>VLOOKUP($A45,'S45'!$C:$BQ,30,0)</f>
        <v>#N/A</v>
      </c>
      <c r="Q45" s="115" t="e">
        <f>VLOOKUP($A45,'S45'!$C:$BQ,52,0)</f>
        <v>#N/A</v>
      </c>
      <c r="R45" s="115" t="e">
        <f>VLOOKUP($A45,'S45'!$C:$BQ,59,0)</f>
        <v>#N/A</v>
      </c>
      <c r="S45" s="115" t="e">
        <f>VLOOKUP($A45,'S45'!$C:$BQ,60,0)</f>
        <v>#N/A</v>
      </c>
      <c r="T45" s="107" t="e">
        <f>VLOOKUP($A45,'S46'!$C:$BQ,32,0)</f>
        <v>#N/A</v>
      </c>
      <c r="U45" s="107" t="e">
        <f>VLOOKUP($A45,'S46'!$C:$BQ,39,0)</f>
        <v>#N/A</v>
      </c>
      <c r="V45" s="107" t="e">
        <f>VLOOKUP($A45,'S46'!$C:$BQ,40,0)</f>
        <v>#N/A</v>
      </c>
      <c r="W45" s="107" t="e">
        <f>VLOOKUP($A45,'S46'!$C:$BQ,22,0)</f>
        <v>#N/A</v>
      </c>
      <c r="X45" s="115" t="e">
        <f>VLOOKUP($A45,'S46'!$C:$BQ,29,0)</f>
        <v>#N/A</v>
      </c>
      <c r="Y45" s="115" t="e">
        <f>VLOOKUP($A45,'S46'!$C:$BQ,30,0)</f>
        <v>#N/A</v>
      </c>
      <c r="Z45" s="115" t="e">
        <f>VLOOKUP($A45,'S46'!$C:$BQ,52,0)</f>
        <v>#N/A</v>
      </c>
      <c r="AA45" s="115" t="e">
        <f>VLOOKUP($A45,'S46'!$C:$BQ,59,0)</f>
        <v>#N/A</v>
      </c>
      <c r="AB45" s="115" t="e">
        <f>VLOOKUP($A45,'S46'!$C:$BQ,60,0)</f>
        <v>#N/A</v>
      </c>
      <c r="AC45" s="107" t="e">
        <f>VLOOKUP($A45,'S47'!$C:$BQ,32,0)</f>
        <v>#N/A</v>
      </c>
      <c r="AD45" s="107" t="e">
        <f>VLOOKUP($A45,'S47'!$C:$BQ,39,0)</f>
        <v>#N/A</v>
      </c>
      <c r="AE45" s="107" t="e">
        <f>VLOOKUP($A45,'S47'!$C:$BQ,40,0)</f>
        <v>#N/A</v>
      </c>
      <c r="AF45" s="107" t="e">
        <f>VLOOKUP($A45,'S47'!$C:$BQ,22,0)</f>
        <v>#N/A</v>
      </c>
      <c r="AG45" s="115" t="e">
        <f>VLOOKUP($A45,'S47'!$C:$BQ,29,0)</f>
        <v>#N/A</v>
      </c>
      <c r="AH45" s="115" t="e">
        <f>VLOOKUP($A45,'S47'!$C:$BQ,30,0)</f>
        <v>#N/A</v>
      </c>
      <c r="AI45" s="115" t="e">
        <f>VLOOKUP($A45,'S47'!$C:$BQ,52,0)</f>
        <v>#N/A</v>
      </c>
      <c r="AJ45" s="115" t="e">
        <f>VLOOKUP($A45,'S47'!$C:$BQ,59,0)</f>
        <v>#N/A</v>
      </c>
      <c r="AK45" s="115" t="e">
        <f>VLOOKUP($A45,'S47'!$C:$BQ,60,0)</f>
        <v>#N/A</v>
      </c>
      <c r="AL45" s="107" t="e">
        <f>VLOOKUP($A45,'S48'!$C:$BQ,32,0)</f>
        <v>#N/A</v>
      </c>
      <c r="AM45" s="107" t="e">
        <f>VLOOKUP($A45,'S48'!$C:$BQ,39,0)</f>
        <v>#N/A</v>
      </c>
      <c r="AN45" s="107" t="e">
        <f>VLOOKUP($A45,'S48'!$C:$BQ,40,0)</f>
        <v>#N/A</v>
      </c>
      <c r="AO45" s="107" t="e">
        <f>VLOOKUP($A45,'S48'!$C:$BQ,22,0)</f>
        <v>#N/A</v>
      </c>
      <c r="AP45" s="115" t="e">
        <f>VLOOKUP($A45,'S48'!$C:$BQ,29,0)</f>
        <v>#N/A</v>
      </c>
      <c r="AQ45" s="115" t="e">
        <f>VLOOKUP($A45,'S48'!$C:$BQ,30,0)</f>
        <v>#N/A</v>
      </c>
      <c r="AR45" s="115" t="e">
        <f>VLOOKUP($A45,'S48'!$C:$BQ,52,0)</f>
        <v>#N/A</v>
      </c>
      <c r="AS45" s="115" t="e">
        <f>VLOOKUP($A45,'S48'!$C:$BQ,59,0)</f>
        <v>#N/A</v>
      </c>
      <c r="AT45" s="115" t="e">
        <f>VLOOKUP($A45,'S48'!$C:$BQ,60,0)</f>
        <v>#N/A</v>
      </c>
      <c r="AU45" s="107" t="e">
        <f>VLOOKUP($A45,'S49'!$C:$BQ,32,0)</f>
        <v>#N/A</v>
      </c>
      <c r="AV45" s="107" t="e">
        <f>VLOOKUP($A45,'S49'!$C:$BQ,39,0)</f>
        <v>#N/A</v>
      </c>
      <c r="AW45" s="107" t="e">
        <f>VLOOKUP($A45,'S49'!$C:$BQ,40,0)</f>
        <v>#N/A</v>
      </c>
      <c r="AX45" s="107" t="e">
        <f>VLOOKUP($A45,'S49'!$C:$BQ,22,0)</f>
        <v>#N/A</v>
      </c>
      <c r="AY45" s="115" t="e">
        <f>VLOOKUP($A45,'S49'!$C:$BQ,29,0)</f>
        <v>#N/A</v>
      </c>
      <c r="AZ45" s="115" t="e">
        <f>VLOOKUP($A45,'S49'!$C:$BQ,30,0)</f>
        <v>#N/A</v>
      </c>
      <c r="BA45" s="115" t="e">
        <f>VLOOKUP($A45,'S49'!$C:$BQ,52,0)</f>
        <v>#N/A</v>
      </c>
      <c r="BB45" s="115" t="e">
        <f>VLOOKUP($A45,'S49'!$C:$BQ,59,0)</f>
        <v>#N/A</v>
      </c>
      <c r="BC45" s="115" t="e">
        <f>VLOOKUP($A45,'S49'!$C:$BQ,60,0)</f>
        <v>#N/A</v>
      </c>
      <c r="BD45" s="107" t="e">
        <f>VLOOKUP($A45,'S50'!$C:$BQ,32,0)</f>
        <v>#N/A</v>
      </c>
      <c r="BE45" s="107" t="e">
        <f>VLOOKUP($A45,'S50'!$C:$BQ,39,0)</f>
        <v>#N/A</v>
      </c>
      <c r="BF45" s="107" t="e">
        <f>VLOOKUP($A45,'S50'!$C:$BQ,40,0)</f>
        <v>#N/A</v>
      </c>
      <c r="BG45" s="107" t="e">
        <f>VLOOKUP($A45,'S50'!$C:$BQ,22,0)</f>
        <v>#N/A</v>
      </c>
      <c r="BH45" s="115" t="e">
        <f>VLOOKUP($A45,'S50'!$C:$BQ,29,0)</f>
        <v>#N/A</v>
      </c>
      <c r="BI45" s="115" t="e">
        <f>VLOOKUP($A45,'S50'!$C:$BQ,30,0)</f>
        <v>#N/A</v>
      </c>
      <c r="BJ45" s="115" t="e">
        <f>VLOOKUP($A45,'S50'!$C:$BQ,52,0)</f>
        <v>#N/A</v>
      </c>
      <c r="BK45" s="115" t="e">
        <f>VLOOKUP($A45,'S50'!$C:$BQ,59,0)</f>
        <v>#N/A</v>
      </c>
      <c r="BL45" s="115" t="e">
        <f>VLOOKUP($A45,'S50'!$C:$BQ,60,0)</f>
        <v>#N/A</v>
      </c>
    </row>
    <row r="46" spans="1:64" x14ac:dyDescent="0.2">
      <c r="A46" s="106" t="s">
        <v>102</v>
      </c>
      <c r="B46" s="107">
        <f>VLOOKUP($A46,'S0 remplacer avec S44'!$C:$BQ,32,0)</f>
        <v>124.5</v>
      </c>
      <c r="C46" s="107">
        <f>VLOOKUP($A46,'S0 remplacer avec S44'!$C:$BQ,39,0)</f>
        <v>107</v>
      </c>
      <c r="D46" s="107">
        <f>VLOOKUP($A46,'S0 remplacer avec S44'!$C:$BQ,40,0)</f>
        <v>153</v>
      </c>
      <c r="E46" s="107">
        <f>VLOOKUP($A46,'S0 remplacer avec S44'!$C:$BQ,22,0)</f>
        <v>1658.358365</v>
      </c>
      <c r="F46" s="115">
        <f>VLOOKUP($A46,'S0 remplacer avec S44'!$C:$BQ,29,0)</f>
        <v>441</v>
      </c>
      <c r="G46" s="115">
        <f>VLOOKUP($A46,'S0 remplacer avec S44'!$C:$BQ,30,0)</f>
        <v>861</v>
      </c>
      <c r="H46" s="115">
        <f>VLOOKUP($A46,'S0 remplacer avec S44'!$C:$BQ,52,0)</f>
        <v>93.6</v>
      </c>
      <c r="I46" s="115">
        <f>VLOOKUP($A46,'S0 remplacer avec S44'!$C:$BQ,59,0)</f>
        <v>24</v>
      </c>
      <c r="J46" s="115">
        <f>VLOOKUP($A46,'S0 remplacer avec S44'!$C:$BQ,60,0)</f>
        <v>48</v>
      </c>
      <c r="K46" s="107" t="e">
        <f>VLOOKUP($A46,'S45'!$C:$BQ,32,0)</f>
        <v>#N/A</v>
      </c>
      <c r="L46" s="107" t="e">
        <f>VLOOKUP($A46,'S45'!$C:$BQ,39,0)</f>
        <v>#N/A</v>
      </c>
      <c r="M46" s="107" t="e">
        <f>VLOOKUP($A46,'S45'!$C:$BQ,40,0)</f>
        <v>#N/A</v>
      </c>
      <c r="N46" s="107" t="e">
        <f>VLOOKUP($A46,'S45'!$C:$BQ,22,0)</f>
        <v>#N/A</v>
      </c>
      <c r="O46" s="115" t="e">
        <f>VLOOKUP($A46,'S45'!$C:$BQ,29,0)</f>
        <v>#N/A</v>
      </c>
      <c r="P46" s="115" t="e">
        <f>VLOOKUP($A46,'S45'!$C:$BQ,30,0)</f>
        <v>#N/A</v>
      </c>
      <c r="Q46" s="115" t="e">
        <f>VLOOKUP($A46,'S45'!$C:$BQ,52,0)</f>
        <v>#N/A</v>
      </c>
      <c r="R46" s="115" t="e">
        <f>VLOOKUP($A46,'S45'!$C:$BQ,59,0)</f>
        <v>#N/A</v>
      </c>
      <c r="S46" s="115" t="e">
        <f>VLOOKUP($A46,'S45'!$C:$BQ,60,0)</f>
        <v>#N/A</v>
      </c>
      <c r="T46" s="107" t="e">
        <f>VLOOKUP($A46,'S46'!$C:$BQ,32,0)</f>
        <v>#N/A</v>
      </c>
      <c r="U46" s="107" t="e">
        <f>VLOOKUP($A46,'S46'!$C:$BQ,39,0)</f>
        <v>#N/A</v>
      </c>
      <c r="V46" s="107" t="e">
        <f>VLOOKUP($A46,'S46'!$C:$BQ,40,0)</f>
        <v>#N/A</v>
      </c>
      <c r="W46" s="107" t="e">
        <f>VLOOKUP($A46,'S46'!$C:$BQ,22,0)</f>
        <v>#N/A</v>
      </c>
      <c r="X46" s="115" t="e">
        <f>VLOOKUP($A46,'S46'!$C:$BQ,29,0)</f>
        <v>#N/A</v>
      </c>
      <c r="Y46" s="115" t="e">
        <f>VLOOKUP($A46,'S46'!$C:$BQ,30,0)</f>
        <v>#N/A</v>
      </c>
      <c r="Z46" s="115" t="e">
        <f>VLOOKUP($A46,'S46'!$C:$BQ,52,0)</f>
        <v>#N/A</v>
      </c>
      <c r="AA46" s="115" t="e">
        <f>VLOOKUP($A46,'S46'!$C:$BQ,59,0)</f>
        <v>#N/A</v>
      </c>
      <c r="AB46" s="115" t="e">
        <f>VLOOKUP($A46,'S46'!$C:$BQ,60,0)</f>
        <v>#N/A</v>
      </c>
      <c r="AC46" s="107" t="e">
        <f>VLOOKUP($A46,'S47'!$C:$BQ,32,0)</f>
        <v>#N/A</v>
      </c>
      <c r="AD46" s="107" t="e">
        <f>VLOOKUP($A46,'S47'!$C:$BQ,39,0)</f>
        <v>#N/A</v>
      </c>
      <c r="AE46" s="107" t="e">
        <f>VLOOKUP($A46,'S47'!$C:$BQ,40,0)</f>
        <v>#N/A</v>
      </c>
      <c r="AF46" s="107" t="e">
        <f>VLOOKUP($A46,'S47'!$C:$BQ,22,0)</f>
        <v>#N/A</v>
      </c>
      <c r="AG46" s="115" t="e">
        <f>VLOOKUP($A46,'S47'!$C:$BQ,29,0)</f>
        <v>#N/A</v>
      </c>
      <c r="AH46" s="115" t="e">
        <f>VLOOKUP($A46,'S47'!$C:$BQ,30,0)</f>
        <v>#N/A</v>
      </c>
      <c r="AI46" s="115" t="e">
        <f>VLOOKUP($A46,'S47'!$C:$BQ,52,0)</f>
        <v>#N/A</v>
      </c>
      <c r="AJ46" s="115" t="e">
        <f>VLOOKUP($A46,'S47'!$C:$BQ,59,0)</f>
        <v>#N/A</v>
      </c>
      <c r="AK46" s="115" t="e">
        <f>VLOOKUP($A46,'S47'!$C:$BQ,60,0)</f>
        <v>#N/A</v>
      </c>
      <c r="AL46" s="107" t="e">
        <f>VLOOKUP($A46,'S48'!$C:$BQ,32,0)</f>
        <v>#N/A</v>
      </c>
      <c r="AM46" s="107" t="e">
        <f>VLOOKUP($A46,'S48'!$C:$BQ,39,0)</f>
        <v>#N/A</v>
      </c>
      <c r="AN46" s="107" t="e">
        <f>VLOOKUP($A46,'S48'!$C:$BQ,40,0)</f>
        <v>#N/A</v>
      </c>
      <c r="AO46" s="107" t="e">
        <f>VLOOKUP($A46,'S48'!$C:$BQ,22,0)</f>
        <v>#N/A</v>
      </c>
      <c r="AP46" s="115" t="e">
        <f>VLOOKUP($A46,'S48'!$C:$BQ,29,0)</f>
        <v>#N/A</v>
      </c>
      <c r="AQ46" s="115" t="e">
        <f>VLOOKUP($A46,'S48'!$C:$BQ,30,0)</f>
        <v>#N/A</v>
      </c>
      <c r="AR46" s="115" t="e">
        <f>VLOOKUP($A46,'S48'!$C:$BQ,52,0)</f>
        <v>#N/A</v>
      </c>
      <c r="AS46" s="115" t="e">
        <f>VLOOKUP($A46,'S48'!$C:$BQ,59,0)</f>
        <v>#N/A</v>
      </c>
      <c r="AT46" s="115" t="e">
        <f>VLOOKUP($A46,'S48'!$C:$BQ,60,0)</f>
        <v>#N/A</v>
      </c>
      <c r="AU46" s="107" t="e">
        <f>VLOOKUP($A46,'S49'!$C:$BQ,32,0)</f>
        <v>#N/A</v>
      </c>
      <c r="AV46" s="107" t="e">
        <f>VLOOKUP($A46,'S49'!$C:$BQ,39,0)</f>
        <v>#N/A</v>
      </c>
      <c r="AW46" s="107" t="e">
        <f>VLOOKUP($A46,'S49'!$C:$BQ,40,0)</f>
        <v>#N/A</v>
      </c>
      <c r="AX46" s="107" t="e">
        <f>VLOOKUP($A46,'S49'!$C:$BQ,22,0)</f>
        <v>#N/A</v>
      </c>
      <c r="AY46" s="115" t="e">
        <f>VLOOKUP($A46,'S49'!$C:$BQ,29,0)</f>
        <v>#N/A</v>
      </c>
      <c r="AZ46" s="115" t="e">
        <f>VLOOKUP($A46,'S49'!$C:$BQ,30,0)</f>
        <v>#N/A</v>
      </c>
      <c r="BA46" s="115" t="e">
        <f>VLOOKUP($A46,'S49'!$C:$BQ,52,0)</f>
        <v>#N/A</v>
      </c>
      <c r="BB46" s="115" t="e">
        <f>VLOOKUP($A46,'S49'!$C:$BQ,59,0)</f>
        <v>#N/A</v>
      </c>
      <c r="BC46" s="115" t="e">
        <f>VLOOKUP($A46,'S49'!$C:$BQ,60,0)</f>
        <v>#N/A</v>
      </c>
      <c r="BD46" s="107" t="e">
        <f>VLOOKUP($A46,'S50'!$C:$BQ,32,0)</f>
        <v>#N/A</v>
      </c>
      <c r="BE46" s="107" t="e">
        <f>VLOOKUP($A46,'S50'!$C:$BQ,39,0)</f>
        <v>#N/A</v>
      </c>
      <c r="BF46" s="107" t="e">
        <f>VLOOKUP($A46,'S50'!$C:$BQ,40,0)</f>
        <v>#N/A</v>
      </c>
      <c r="BG46" s="107" t="e">
        <f>VLOOKUP($A46,'S50'!$C:$BQ,22,0)</f>
        <v>#N/A</v>
      </c>
      <c r="BH46" s="115" t="e">
        <f>VLOOKUP($A46,'S50'!$C:$BQ,29,0)</f>
        <v>#N/A</v>
      </c>
      <c r="BI46" s="115" t="e">
        <f>VLOOKUP($A46,'S50'!$C:$BQ,30,0)</f>
        <v>#N/A</v>
      </c>
      <c r="BJ46" s="115" t="e">
        <f>VLOOKUP($A46,'S50'!$C:$BQ,52,0)</f>
        <v>#N/A</v>
      </c>
      <c r="BK46" s="115" t="e">
        <f>VLOOKUP($A46,'S50'!$C:$BQ,59,0)</f>
        <v>#N/A</v>
      </c>
      <c r="BL46" s="115" t="e">
        <f>VLOOKUP($A46,'S50'!$C:$BQ,60,0)</f>
        <v>#N/A</v>
      </c>
    </row>
    <row r="47" spans="1:64" x14ac:dyDescent="0.2">
      <c r="A47" s="106" t="s">
        <v>103</v>
      </c>
      <c r="B47" s="107">
        <f>VLOOKUP($A47,'S0 remplacer avec S44'!$C:$BQ,32,0)</f>
        <v>149.1</v>
      </c>
      <c r="C47" s="107">
        <f>VLOOKUP($A47,'S0 remplacer avec S44'!$C:$BQ,39,0)</f>
        <v>136</v>
      </c>
      <c r="D47" s="107">
        <f>VLOOKUP($A47,'S0 remplacer avec S44'!$C:$BQ,40,0)</f>
        <v>193</v>
      </c>
      <c r="E47" s="107">
        <f>VLOOKUP($A47,'S0 remplacer avec S44'!$C:$BQ,22,0)</f>
        <v>1454.83294</v>
      </c>
      <c r="F47" s="115">
        <f>VLOOKUP($A47,'S0 remplacer avec S44'!$C:$BQ,29,0)</f>
        <v>1132</v>
      </c>
      <c r="G47" s="115">
        <f>VLOOKUP($A47,'S0 remplacer avec S44'!$C:$BQ,30,0)</f>
        <v>1649</v>
      </c>
      <c r="H47" s="115">
        <f>VLOOKUP($A47,'S0 remplacer avec S44'!$C:$BQ,52,0)</f>
        <v>102.6</v>
      </c>
      <c r="I47" s="115">
        <f>VLOOKUP($A47,'S0 remplacer avec S44'!$C:$BQ,59,0)</f>
        <v>42</v>
      </c>
      <c r="J47" s="115">
        <f>VLOOKUP($A47,'S0 remplacer avec S44'!$C:$BQ,60,0)</f>
        <v>71</v>
      </c>
      <c r="K47" s="107" t="e">
        <f>VLOOKUP($A47,'S45'!$C:$BQ,32,0)</f>
        <v>#N/A</v>
      </c>
      <c r="L47" s="107" t="e">
        <f>VLOOKUP($A47,'S45'!$C:$BQ,39,0)</f>
        <v>#N/A</v>
      </c>
      <c r="M47" s="107" t="e">
        <f>VLOOKUP($A47,'S45'!$C:$BQ,40,0)</f>
        <v>#N/A</v>
      </c>
      <c r="N47" s="107" t="e">
        <f>VLOOKUP($A47,'S45'!$C:$BQ,22,0)</f>
        <v>#N/A</v>
      </c>
      <c r="O47" s="115" t="e">
        <f>VLOOKUP($A47,'S45'!$C:$BQ,29,0)</f>
        <v>#N/A</v>
      </c>
      <c r="P47" s="115" t="e">
        <f>VLOOKUP($A47,'S45'!$C:$BQ,30,0)</f>
        <v>#N/A</v>
      </c>
      <c r="Q47" s="115" t="e">
        <f>VLOOKUP($A47,'S45'!$C:$BQ,52,0)</f>
        <v>#N/A</v>
      </c>
      <c r="R47" s="115" t="e">
        <f>VLOOKUP($A47,'S45'!$C:$BQ,59,0)</f>
        <v>#N/A</v>
      </c>
      <c r="S47" s="115" t="e">
        <f>VLOOKUP($A47,'S45'!$C:$BQ,60,0)</f>
        <v>#N/A</v>
      </c>
      <c r="T47" s="107" t="e">
        <f>VLOOKUP($A47,'S46'!$C:$BQ,32,0)</f>
        <v>#N/A</v>
      </c>
      <c r="U47" s="107" t="e">
        <f>VLOOKUP($A47,'S46'!$C:$BQ,39,0)</f>
        <v>#N/A</v>
      </c>
      <c r="V47" s="107" t="e">
        <f>VLOOKUP($A47,'S46'!$C:$BQ,40,0)</f>
        <v>#N/A</v>
      </c>
      <c r="W47" s="107" t="e">
        <f>VLOOKUP($A47,'S46'!$C:$BQ,22,0)</f>
        <v>#N/A</v>
      </c>
      <c r="X47" s="115" t="e">
        <f>VLOOKUP($A47,'S46'!$C:$BQ,29,0)</f>
        <v>#N/A</v>
      </c>
      <c r="Y47" s="115" t="e">
        <f>VLOOKUP($A47,'S46'!$C:$BQ,30,0)</f>
        <v>#N/A</v>
      </c>
      <c r="Z47" s="115" t="e">
        <f>VLOOKUP($A47,'S46'!$C:$BQ,52,0)</f>
        <v>#N/A</v>
      </c>
      <c r="AA47" s="115" t="e">
        <f>VLOOKUP($A47,'S46'!$C:$BQ,59,0)</f>
        <v>#N/A</v>
      </c>
      <c r="AB47" s="115" t="e">
        <f>VLOOKUP($A47,'S46'!$C:$BQ,60,0)</f>
        <v>#N/A</v>
      </c>
      <c r="AC47" s="107" t="e">
        <f>VLOOKUP($A47,'S47'!$C:$BQ,32,0)</f>
        <v>#N/A</v>
      </c>
      <c r="AD47" s="107" t="e">
        <f>VLOOKUP($A47,'S47'!$C:$BQ,39,0)</f>
        <v>#N/A</v>
      </c>
      <c r="AE47" s="107" t="e">
        <f>VLOOKUP($A47,'S47'!$C:$BQ,40,0)</f>
        <v>#N/A</v>
      </c>
      <c r="AF47" s="107" t="e">
        <f>VLOOKUP($A47,'S47'!$C:$BQ,22,0)</f>
        <v>#N/A</v>
      </c>
      <c r="AG47" s="115" t="e">
        <f>VLOOKUP($A47,'S47'!$C:$BQ,29,0)</f>
        <v>#N/A</v>
      </c>
      <c r="AH47" s="115" t="e">
        <f>VLOOKUP($A47,'S47'!$C:$BQ,30,0)</f>
        <v>#N/A</v>
      </c>
      <c r="AI47" s="115" t="e">
        <f>VLOOKUP($A47,'S47'!$C:$BQ,52,0)</f>
        <v>#N/A</v>
      </c>
      <c r="AJ47" s="115" t="e">
        <f>VLOOKUP($A47,'S47'!$C:$BQ,59,0)</f>
        <v>#N/A</v>
      </c>
      <c r="AK47" s="115" t="e">
        <f>VLOOKUP($A47,'S47'!$C:$BQ,60,0)</f>
        <v>#N/A</v>
      </c>
      <c r="AL47" s="107" t="e">
        <f>VLOOKUP($A47,'S48'!$C:$BQ,32,0)</f>
        <v>#N/A</v>
      </c>
      <c r="AM47" s="107" t="e">
        <f>VLOOKUP($A47,'S48'!$C:$BQ,39,0)</f>
        <v>#N/A</v>
      </c>
      <c r="AN47" s="107" t="e">
        <f>VLOOKUP($A47,'S48'!$C:$BQ,40,0)</f>
        <v>#N/A</v>
      </c>
      <c r="AO47" s="107" t="e">
        <f>VLOOKUP($A47,'S48'!$C:$BQ,22,0)</f>
        <v>#N/A</v>
      </c>
      <c r="AP47" s="115" t="e">
        <f>VLOOKUP($A47,'S48'!$C:$BQ,29,0)</f>
        <v>#N/A</v>
      </c>
      <c r="AQ47" s="115" t="e">
        <f>VLOOKUP($A47,'S48'!$C:$BQ,30,0)</f>
        <v>#N/A</v>
      </c>
      <c r="AR47" s="115" t="e">
        <f>VLOOKUP($A47,'S48'!$C:$BQ,52,0)</f>
        <v>#N/A</v>
      </c>
      <c r="AS47" s="115" t="e">
        <f>VLOOKUP($A47,'S48'!$C:$BQ,59,0)</f>
        <v>#N/A</v>
      </c>
      <c r="AT47" s="115" t="e">
        <f>VLOOKUP($A47,'S48'!$C:$BQ,60,0)</f>
        <v>#N/A</v>
      </c>
      <c r="AU47" s="107" t="e">
        <f>VLOOKUP($A47,'S49'!$C:$BQ,32,0)</f>
        <v>#N/A</v>
      </c>
      <c r="AV47" s="107" t="e">
        <f>VLOOKUP($A47,'S49'!$C:$BQ,39,0)</f>
        <v>#N/A</v>
      </c>
      <c r="AW47" s="107" t="e">
        <f>VLOOKUP($A47,'S49'!$C:$BQ,40,0)</f>
        <v>#N/A</v>
      </c>
      <c r="AX47" s="107" t="e">
        <f>VLOOKUP($A47,'S49'!$C:$BQ,22,0)</f>
        <v>#N/A</v>
      </c>
      <c r="AY47" s="115" t="e">
        <f>VLOOKUP($A47,'S49'!$C:$BQ,29,0)</f>
        <v>#N/A</v>
      </c>
      <c r="AZ47" s="115" t="e">
        <f>VLOOKUP($A47,'S49'!$C:$BQ,30,0)</f>
        <v>#N/A</v>
      </c>
      <c r="BA47" s="115" t="e">
        <f>VLOOKUP($A47,'S49'!$C:$BQ,52,0)</f>
        <v>#N/A</v>
      </c>
      <c r="BB47" s="115" t="e">
        <f>VLOOKUP($A47,'S49'!$C:$BQ,59,0)</f>
        <v>#N/A</v>
      </c>
      <c r="BC47" s="115" t="e">
        <f>VLOOKUP($A47,'S49'!$C:$BQ,60,0)</f>
        <v>#N/A</v>
      </c>
      <c r="BD47" s="107" t="e">
        <f>VLOOKUP($A47,'S50'!$C:$BQ,32,0)</f>
        <v>#N/A</v>
      </c>
      <c r="BE47" s="107" t="e">
        <f>VLOOKUP($A47,'S50'!$C:$BQ,39,0)</f>
        <v>#N/A</v>
      </c>
      <c r="BF47" s="107" t="e">
        <f>VLOOKUP($A47,'S50'!$C:$BQ,40,0)</f>
        <v>#N/A</v>
      </c>
      <c r="BG47" s="107" t="e">
        <f>VLOOKUP($A47,'S50'!$C:$BQ,22,0)</f>
        <v>#N/A</v>
      </c>
      <c r="BH47" s="115" t="e">
        <f>VLOOKUP($A47,'S50'!$C:$BQ,29,0)</f>
        <v>#N/A</v>
      </c>
      <c r="BI47" s="115" t="e">
        <f>VLOOKUP($A47,'S50'!$C:$BQ,30,0)</f>
        <v>#N/A</v>
      </c>
      <c r="BJ47" s="115" t="e">
        <f>VLOOKUP($A47,'S50'!$C:$BQ,52,0)</f>
        <v>#N/A</v>
      </c>
      <c r="BK47" s="115" t="e">
        <f>VLOOKUP($A47,'S50'!$C:$BQ,59,0)</f>
        <v>#N/A</v>
      </c>
      <c r="BL47" s="115" t="e">
        <f>VLOOKUP($A47,'S50'!$C:$BQ,60,0)</f>
        <v>#N/A</v>
      </c>
    </row>
    <row r="48" spans="1:64" x14ac:dyDescent="0.2">
      <c r="A48" s="106" t="s">
        <v>104</v>
      </c>
      <c r="B48" s="107">
        <f>VLOOKUP($A48,'S0 remplacer avec S44'!$C:$BQ,32,0)</f>
        <v>145.94999999999999</v>
      </c>
      <c r="C48" s="107">
        <f>VLOOKUP($A48,'S0 remplacer avec S44'!$C:$BQ,39,0)</f>
        <v>0</v>
      </c>
      <c r="D48" s="107">
        <f>VLOOKUP($A48,'S0 remplacer avec S44'!$C:$BQ,40,0)</f>
        <v>22</v>
      </c>
      <c r="E48" s="107">
        <f>VLOOKUP($A48,'S0 remplacer avec S44'!$C:$BQ,22,0)</f>
        <v>1133.7021549999999</v>
      </c>
      <c r="F48" s="115">
        <f>VLOOKUP($A48,'S0 remplacer avec S44'!$C:$BQ,29,0)</f>
        <v>133</v>
      </c>
      <c r="G48" s="115">
        <f>VLOOKUP($A48,'S0 remplacer avec S44'!$C:$BQ,30,0)</f>
        <v>386</v>
      </c>
      <c r="H48" s="115">
        <f>VLOOKUP($A48,'S0 remplacer avec S44'!$C:$BQ,52,0)</f>
        <v>104.6</v>
      </c>
      <c r="I48" s="115">
        <f>VLOOKUP($A48,'S0 remplacer avec S44'!$C:$BQ,59,0)</f>
        <v>0</v>
      </c>
      <c r="J48" s="115">
        <f>VLOOKUP($A48,'S0 remplacer avec S44'!$C:$BQ,60,0)</f>
        <v>0</v>
      </c>
      <c r="K48" s="107" t="e">
        <f>VLOOKUP($A48,'S45'!$C:$BQ,32,0)</f>
        <v>#N/A</v>
      </c>
      <c r="L48" s="107" t="e">
        <f>VLOOKUP($A48,'S45'!$C:$BQ,39,0)</f>
        <v>#N/A</v>
      </c>
      <c r="M48" s="107" t="e">
        <f>VLOOKUP($A48,'S45'!$C:$BQ,40,0)</f>
        <v>#N/A</v>
      </c>
      <c r="N48" s="107" t="e">
        <f>VLOOKUP($A48,'S45'!$C:$BQ,22,0)</f>
        <v>#N/A</v>
      </c>
      <c r="O48" s="115" t="e">
        <f>VLOOKUP($A48,'S45'!$C:$BQ,29,0)</f>
        <v>#N/A</v>
      </c>
      <c r="P48" s="115" t="e">
        <f>VLOOKUP($A48,'S45'!$C:$BQ,30,0)</f>
        <v>#N/A</v>
      </c>
      <c r="Q48" s="115" t="e">
        <f>VLOOKUP($A48,'S45'!$C:$BQ,52,0)</f>
        <v>#N/A</v>
      </c>
      <c r="R48" s="115" t="e">
        <f>VLOOKUP($A48,'S45'!$C:$BQ,59,0)</f>
        <v>#N/A</v>
      </c>
      <c r="S48" s="115" t="e">
        <f>VLOOKUP($A48,'S45'!$C:$BQ,60,0)</f>
        <v>#N/A</v>
      </c>
      <c r="T48" s="107" t="e">
        <f>VLOOKUP($A48,'S46'!$C:$BQ,32,0)</f>
        <v>#N/A</v>
      </c>
      <c r="U48" s="107" t="e">
        <f>VLOOKUP($A48,'S46'!$C:$BQ,39,0)</f>
        <v>#N/A</v>
      </c>
      <c r="V48" s="107" t="e">
        <f>VLOOKUP($A48,'S46'!$C:$BQ,40,0)</f>
        <v>#N/A</v>
      </c>
      <c r="W48" s="107" t="e">
        <f>VLOOKUP($A48,'S46'!$C:$BQ,22,0)</f>
        <v>#N/A</v>
      </c>
      <c r="X48" s="115" t="e">
        <f>VLOOKUP($A48,'S46'!$C:$BQ,29,0)</f>
        <v>#N/A</v>
      </c>
      <c r="Y48" s="115" t="e">
        <f>VLOOKUP($A48,'S46'!$C:$BQ,30,0)</f>
        <v>#N/A</v>
      </c>
      <c r="Z48" s="115" t="e">
        <f>VLOOKUP($A48,'S46'!$C:$BQ,52,0)</f>
        <v>#N/A</v>
      </c>
      <c r="AA48" s="115" t="e">
        <f>VLOOKUP($A48,'S46'!$C:$BQ,59,0)</f>
        <v>#N/A</v>
      </c>
      <c r="AB48" s="115" t="e">
        <f>VLOOKUP($A48,'S46'!$C:$BQ,60,0)</f>
        <v>#N/A</v>
      </c>
      <c r="AC48" s="107" t="e">
        <f>VLOOKUP($A48,'S47'!$C:$BQ,32,0)</f>
        <v>#N/A</v>
      </c>
      <c r="AD48" s="107" t="e">
        <f>VLOOKUP($A48,'S47'!$C:$BQ,39,0)</f>
        <v>#N/A</v>
      </c>
      <c r="AE48" s="107" t="e">
        <f>VLOOKUP($A48,'S47'!$C:$BQ,40,0)</f>
        <v>#N/A</v>
      </c>
      <c r="AF48" s="107" t="e">
        <f>VLOOKUP($A48,'S47'!$C:$BQ,22,0)</f>
        <v>#N/A</v>
      </c>
      <c r="AG48" s="115" t="e">
        <f>VLOOKUP($A48,'S47'!$C:$BQ,29,0)</f>
        <v>#N/A</v>
      </c>
      <c r="AH48" s="115" t="e">
        <f>VLOOKUP($A48,'S47'!$C:$BQ,30,0)</f>
        <v>#N/A</v>
      </c>
      <c r="AI48" s="115" t="e">
        <f>VLOOKUP($A48,'S47'!$C:$BQ,52,0)</f>
        <v>#N/A</v>
      </c>
      <c r="AJ48" s="115" t="e">
        <f>VLOOKUP($A48,'S47'!$C:$BQ,59,0)</f>
        <v>#N/A</v>
      </c>
      <c r="AK48" s="115" t="e">
        <f>VLOOKUP($A48,'S47'!$C:$BQ,60,0)</f>
        <v>#N/A</v>
      </c>
      <c r="AL48" s="107" t="e">
        <f>VLOOKUP($A48,'S48'!$C:$BQ,32,0)</f>
        <v>#N/A</v>
      </c>
      <c r="AM48" s="107" t="e">
        <f>VLOOKUP($A48,'S48'!$C:$BQ,39,0)</f>
        <v>#N/A</v>
      </c>
      <c r="AN48" s="107" t="e">
        <f>VLOOKUP($A48,'S48'!$C:$BQ,40,0)</f>
        <v>#N/A</v>
      </c>
      <c r="AO48" s="107" t="e">
        <f>VLOOKUP($A48,'S48'!$C:$BQ,22,0)</f>
        <v>#N/A</v>
      </c>
      <c r="AP48" s="115" t="e">
        <f>VLOOKUP($A48,'S48'!$C:$BQ,29,0)</f>
        <v>#N/A</v>
      </c>
      <c r="AQ48" s="115" t="e">
        <f>VLOOKUP($A48,'S48'!$C:$BQ,30,0)</f>
        <v>#N/A</v>
      </c>
      <c r="AR48" s="115" t="e">
        <f>VLOOKUP($A48,'S48'!$C:$BQ,52,0)</f>
        <v>#N/A</v>
      </c>
      <c r="AS48" s="115" t="e">
        <f>VLOOKUP($A48,'S48'!$C:$BQ,59,0)</f>
        <v>#N/A</v>
      </c>
      <c r="AT48" s="115" t="e">
        <f>VLOOKUP($A48,'S48'!$C:$BQ,60,0)</f>
        <v>#N/A</v>
      </c>
      <c r="AU48" s="107" t="e">
        <f>VLOOKUP($A48,'S49'!$C:$BQ,32,0)</f>
        <v>#N/A</v>
      </c>
      <c r="AV48" s="107" t="e">
        <f>VLOOKUP($A48,'S49'!$C:$BQ,39,0)</f>
        <v>#N/A</v>
      </c>
      <c r="AW48" s="107" t="e">
        <f>VLOOKUP($A48,'S49'!$C:$BQ,40,0)</f>
        <v>#N/A</v>
      </c>
      <c r="AX48" s="107" t="e">
        <f>VLOOKUP($A48,'S49'!$C:$BQ,22,0)</f>
        <v>#N/A</v>
      </c>
      <c r="AY48" s="115" t="e">
        <f>VLOOKUP($A48,'S49'!$C:$BQ,29,0)</f>
        <v>#N/A</v>
      </c>
      <c r="AZ48" s="115" t="e">
        <f>VLOOKUP($A48,'S49'!$C:$BQ,30,0)</f>
        <v>#N/A</v>
      </c>
      <c r="BA48" s="115" t="e">
        <f>VLOOKUP($A48,'S49'!$C:$BQ,52,0)</f>
        <v>#N/A</v>
      </c>
      <c r="BB48" s="115" t="e">
        <f>VLOOKUP($A48,'S49'!$C:$BQ,59,0)</f>
        <v>#N/A</v>
      </c>
      <c r="BC48" s="115" t="e">
        <f>VLOOKUP($A48,'S49'!$C:$BQ,60,0)</f>
        <v>#N/A</v>
      </c>
      <c r="BD48" s="107" t="e">
        <f>VLOOKUP($A48,'S50'!$C:$BQ,32,0)</f>
        <v>#N/A</v>
      </c>
      <c r="BE48" s="107" t="e">
        <f>VLOOKUP($A48,'S50'!$C:$BQ,39,0)</f>
        <v>#N/A</v>
      </c>
      <c r="BF48" s="107" t="e">
        <f>VLOOKUP($A48,'S50'!$C:$BQ,40,0)</f>
        <v>#N/A</v>
      </c>
      <c r="BG48" s="107" t="e">
        <f>VLOOKUP($A48,'S50'!$C:$BQ,22,0)</f>
        <v>#N/A</v>
      </c>
      <c r="BH48" s="115" t="e">
        <f>VLOOKUP($A48,'S50'!$C:$BQ,29,0)</f>
        <v>#N/A</v>
      </c>
      <c r="BI48" s="115" t="e">
        <f>VLOOKUP($A48,'S50'!$C:$BQ,30,0)</f>
        <v>#N/A</v>
      </c>
      <c r="BJ48" s="115" t="e">
        <f>VLOOKUP($A48,'S50'!$C:$BQ,52,0)</f>
        <v>#N/A</v>
      </c>
      <c r="BK48" s="115" t="e">
        <f>VLOOKUP($A48,'S50'!$C:$BQ,59,0)</f>
        <v>#N/A</v>
      </c>
      <c r="BL48" s="115" t="e">
        <f>VLOOKUP($A48,'S50'!$C:$BQ,60,0)</f>
        <v>#N/A</v>
      </c>
    </row>
    <row r="49" spans="1:64" x14ac:dyDescent="0.2">
      <c r="A49" s="106" t="s">
        <v>105</v>
      </c>
      <c r="B49" s="107">
        <f>VLOOKUP($A49,'S0 remplacer avec S44'!$C:$BQ,32,0)</f>
        <v>428.2</v>
      </c>
      <c r="C49" s="107">
        <f>VLOOKUP($A49,'S0 remplacer avec S44'!$C:$BQ,39,0)</f>
        <v>61</v>
      </c>
      <c r="D49" s="107">
        <f>VLOOKUP($A49,'S0 remplacer avec S44'!$C:$BQ,40,0)</f>
        <v>158</v>
      </c>
      <c r="E49" s="107">
        <f>VLOOKUP($A49,'S0 remplacer avec S44'!$C:$BQ,22,0)</f>
        <v>4666.10826</v>
      </c>
      <c r="F49" s="115">
        <f>VLOOKUP($A49,'S0 remplacer avec S44'!$C:$BQ,29,0)</f>
        <v>0</v>
      </c>
      <c r="G49" s="115">
        <f>VLOOKUP($A49,'S0 remplacer avec S44'!$C:$BQ,30,0)</f>
        <v>664</v>
      </c>
      <c r="H49" s="115">
        <f>VLOOKUP($A49,'S0 remplacer avec S44'!$C:$BQ,52,0)</f>
        <v>251.6</v>
      </c>
      <c r="I49" s="115">
        <f>VLOOKUP($A49,'S0 remplacer avec S44'!$C:$BQ,59,0)</f>
        <v>0</v>
      </c>
      <c r="J49" s="115">
        <f>VLOOKUP($A49,'S0 remplacer avec S44'!$C:$BQ,60,0)</f>
        <v>47</v>
      </c>
      <c r="K49" s="107" t="e">
        <f>VLOOKUP($A49,'S45'!$C:$BQ,32,0)</f>
        <v>#N/A</v>
      </c>
      <c r="L49" s="107" t="e">
        <f>VLOOKUP($A49,'S45'!$C:$BQ,39,0)</f>
        <v>#N/A</v>
      </c>
      <c r="M49" s="107" t="e">
        <f>VLOOKUP($A49,'S45'!$C:$BQ,40,0)</f>
        <v>#N/A</v>
      </c>
      <c r="N49" s="107" t="e">
        <f>VLOOKUP($A49,'S45'!$C:$BQ,22,0)</f>
        <v>#N/A</v>
      </c>
      <c r="O49" s="115" t="e">
        <f>VLOOKUP($A49,'S45'!$C:$BQ,29,0)</f>
        <v>#N/A</v>
      </c>
      <c r="P49" s="115" t="e">
        <f>VLOOKUP($A49,'S45'!$C:$BQ,30,0)</f>
        <v>#N/A</v>
      </c>
      <c r="Q49" s="115" t="e">
        <f>VLOOKUP($A49,'S45'!$C:$BQ,52,0)</f>
        <v>#N/A</v>
      </c>
      <c r="R49" s="115" t="e">
        <f>VLOOKUP($A49,'S45'!$C:$BQ,59,0)</f>
        <v>#N/A</v>
      </c>
      <c r="S49" s="115" t="e">
        <f>VLOOKUP($A49,'S45'!$C:$BQ,60,0)</f>
        <v>#N/A</v>
      </c>
      <c r="T49" s="107" t="e">
        <f>VLOOKUP($A49,'S46'!$C:$BQ,32,0)</f>
        <v>#N/A</v>
      </c>
      <c r="U49" s="107" t="e">
        <f>VLOOKUP($A49,'S46'!$C:$BQ,39,0)</f>
        <v>#N/A</v>
      </c>
      <c r="V49" s="107" t="e">
        <f>VLOOKUP($A49,'S46'!$C:$BQ,40,0)</f>
        <v>#N/A</v>
      </c>
      <c r="W49" s="107" t="e">
        <f>VLOOKUP($A49,'S46'!$C:$BQ,22,0)</f>
        <v>#N/A</v>
      </c>
      <c r="X49" s="115" t="e">
        <f>VLOOKUP($A49,'S46'!$C:$BQ,29,0)</f>
        <v>#N/A</v>
      </c>
      <c r="Y49" s="115" t="e">
        <f>VLOOKUP($A49,'S46'!$C:$BQ,30,0)</f>
        <v>#N/A</v>
      </c>
      <c r="Z49" s="115" t="e">
        <f>VLOOKUP($A49,'S46'!$C:$BQ,52,0)</f>
        <v>#N/A</v>
      </c>
      <c r="AA49" s="115" t="e">
        <f>VLOOKUP($A49,'S46'!$C:$BQ,59,0)</f>
        <v>#N/A</v>
      </c>
      <c r="AB49" s="115" t="e">
        <f>VLOOKUP($A49,'S46'!$C:$BQ,60,0)</f>
        <v>#N/A</v>
      </c>
      <c r="AC49" s="107" t="e">
        <f>VLOOKUP($A49,'S47'!$C:$BQ,32,0)</f>
        <v>#N/A</v>
      </c>
      <c r="AD49" s="107" t="e">
        <f>VLOOKUP($A49,'S47'!$C:$BQ,39,0)</f>
        <v>#N/A</v>
      </c>
      <c r="AE49" s="107" t="e">
        <f>VLOOKUP($A49,'S47'!$C:$BQ,40,0)</f>
        <v>#N/A</v>
      </c>
      <c r="AF49" s="107" t="e">
        <f>VLOOKUP($A49,'S47'!$C:$BQ,22,0)</f>
        <v>#N/A</v>
      </c>
      <c r="AG49" s="115" t="e">
        <f>VLOOKUP($A49,'S47'!$C:$BQ,29,0)</f>
        <v>#N/A</v>
      </c>
      <c r="AH49" s="115" t="e">
        <f>VLOOKUP($A49,'S47'!$C:$BQ,30,0)</f>
        <v>#N/A</v>
      </c>
      <c r="AI49" s="115" t="e">
        <f>VLOOKUP($A49,'S47'!$C:$BQ,52,0)</f>
        <v>#N/A</v>
      </c>
      <c r="AJ49" s="115" t="e">
        <f>VLOOKUP($A49,'S47'!$C:$BQ,59,0)</f>
        <v>#N/A</v>
      </c>
      <c r="AK49" s="115" t="e">
        <f>VLOOKUP($A49,'S47'!$C:$BQ,60,0)</f>
        <v>#N/A</v>
      </c>
      <c r="AL49" s="107" t="e">
        <f>VLOOKUP($A49,'S48'!$C:$BQ,32,0)</f>
        <v>#N/A</v>
      </c>
      <c r="AM49" s="107" t="e">
        <f>VLOOKUP($A49,'S48'!$C:$BQ,39,0)</f>
        <v>#N/A</v>
      </c>
      <c r="AN49" s="107" t="e">
        <f>VLOOKUP($A49,'S48'!$C:$BQ,40,0)</f>
        <v>#N/A</v>
      </c>
      <c r="AO49" s="107" t="e">
        <f>VLOOKUP($A49,'S48'!$C:$BQ,22,0)</f>
        <v>#N/A</v>
      </c>
      <c r="AP49" s="115" t="e">
        <f>VLOOKUP($A49,'S48'!$C:$BQ,29,0)</f>
        <v>#N/A</v>
      </c>
      <c r="AQ49" s="115" t="e">
        <f>VLOOKUP($A49,'S48'!$C:$BQ,30,0)</f>
        <v>#N/A</v>
      </c>
      <c r="AR49" s="115" t="e">
        <f>VLOOKUP($A49,'S48'!$C:$BQ,52,0)</f>
        <v>#N/A</v>
      </c>
      <c r="AS49" s="115" t="e">
        <f>VLOOKUP($A49,'S48'!$C:$BQ,59,0)</f>
        <v>#N/A</v>
      </c>
      <c r="AT49" s="115" t="e">
        <f>VLOOKUP($A49,'S48'!$C:$BQ,60,0)</f>
        <v>#N/A</v>
      </c>
      <c r="AU49" s="107" t="e">
        <f>VLOOKUP($A49,'S49'!$C:$BQ,32,0)</f>
        <v>#N/A</v>
      </c>
      <c r="AV49" s="107" t="e">
        <f>VLOOKUP($A49,'S49'!$C:$BQ,39,0)</f>
        <v>#N/A</v>
      </c>
      <c r="AW49" s="107" t="e">
        <f>VLOOKUP($A49,'S49'!$C:$BQ,40,0)</f>
        <v>#N/A</v>
      </c>
      <c r="AX49" s="107" t="e">
        <f>VLOOKUP($A49,'S49'!$C:$BQ,22,0)</f>
        <v>#N/A</v>
      </c>
      <c r="AY49" s="115" t="e">
        <f>VLOOKUP($A49,'S49'!$C:$BQ,29,0)</f>
        <v>#N/A</v>
      </c>
      <c r="AZ49" s="115" t="e">
        <f>VLOOKUP($A49,'S49'!$C:$BQ,30,0)</f>
        <v>#N/A</v>
      </c>
      <c r="BA49" s="115" t="e">
        <f>VLOOKUP($A49,'S49'!$C:$BQ,52,0)</f>
        <v>#N/A</v>
      </c>
      <c r="BB49" s="115" t="e">
        <f>VLOOKUP($A49,'S49'!$C:$BQ,59,0)</f>
        <v>#N/A</v>
      </c>
      <c r="BC49" s="115" t="e">
        <f>VLOOKUP($A49,'S49'!$C:$BQ,60,0)</f>
        <v>#N/A</v>
      </c>
      <c r="BD49" s="107" t="e">
        <f>VLOOKUP($A49,'S50'!$C:$BQ,32,0)</f>
        <v>#N/A</v>
      </c>
      <c r="BE49" s="107" t="e">
        <f>VLOOKUP($A49,'S50'!$C:$BQ,39,0)</f>
        <v>#N/A</v>
      </c>
      <c r="BF49" s="107" t="e">
        <f>VLOOKUP($A49,'S50'!$C:$BQ,40,0)</f>
        <v>#N/A</v>
      </c>
      <c r="BG49" s="107" t="e">
        <f>VLOOKUP($A49,'S50'!$C:$BQ,22,0)</f>
        <v>#N/A</v>
      </c>
      <c r="BH49" s="115" t="e">
        <f>VLOOKUP($A49,'S50'!$C:$BQ,29,0)</f>
        <v>#N/A</v>
      </c>
      <c r="BI49" s="115" t="e">
        <f>VLOOKUP($A49,'S50'!$C:$BQ,30,0)</f>
        <v>#N/A</v>
      </c>
      <c r="BJ49" s="115" t="e">
        <f>VLOOKUP($A49,'S50'!$C:$BQ,52,0)</f>
        <v>#N/A</v>
      </c>
      <c r="BK49" s="115" t="e">
        <f>VLOOKUP($A49,'S50'!$C:$BQ,59,0)</f>
        <v>#N/A</v>
      </c>
      <c r="BL49" s="115" t="e">
        <f>VLOOKUP($A49,'S50'!$C:$BQ,60,0)</f>
        <v>#N/A</v>
      </c>
    </row>
    <row r="50" spans="1:64" x14ac:dyDescent="0.2">
      <c r="A50" s="106" t="s">
        <v>106</v>
      </c>
      <c r="B50" s="107">
        <f>VLOOKUP($A50,'S0 remplacer avec S44'!$C:$BQ,32,0)</f>
        <v>167.15</v>
      </c>
      <c r="C50" s="107">
        <f>VLOOKUP($A50,'S0 remplacer avec S44'!$C:$BQ,39,0)</f>
        <v>134</v>
      </c>
      <c r="D50" s="107">
        <f>VLOOKUP($A50,'S0 remplacer avec S44'!$C:$BQ,40,0)</f>
        <v>195</v>
      </c>
      <c r="E50" s="107">
        <f>VLOOKUP($A50,'S0 remplacer avec S44'!$C:$BQ,22,0)</f>
        <v>2332.0972750000001</v>
      </c>
      <c r="F50" s="115">
        <f>VLOOKUP($A50,'S0 remplacer avec S44'!$C:$BQ,29,0)</f>
        <v>407</v>
      </c>
      <c r="G50" s="115">
        <f>VLOOKUP($A50,'S0 remplacer avec S44'!$C:$BQ,30,0)</f>
        <v>955</v>
      </c>
      <c r="H50" s="115">
        <f>VLOOKUP($A50,'S0 remplacer avec S44'!$C:$BQ,52,0)</f>
        <v>161.80000000000001</v>
      </c>
      <c r="I50" s="115">
        <f>VLOOKUP($A50,'S0 remplacer avec S44'!$C:$BQ,59,0)</f>
        <v>0</v>
      </c>
      <c r="J50" s="115">
        <f>VLOOKUP($A50,'S0 remplacer avec S44'!$C:$BQ,60,0)</f>
        <v>22</v>
      </c>
      <c r="K50" s="107" t="e">
        <f>VLOOKUP($A50,'S45'!$C:$BQ,32,0)</f>
        <v>#N/A</v>
      </c>
      <c r="L50" s="107" t="e">
        <f>VLOOKUP($A50,'S45'!$C:$BQ,39,0)</f>
        <v>#N/A</v>
      </c>
      <c r="M50" s="107" t="e">
        <f>VLOOKUP($A50,'S45'!$C:$BQ,40,0)</f>
        <v>#N/A</v>
      </c>
      <c r="N50" s="107" t="e">
        <f>VLOOKUP($A50,'S45'!$C:$BQ,22,0)</f>
        <v>#N/A</v>
      </c>
      <c r="O50" s="115" t="e">
        <f>VLOOKUP($A50,'S45'!$C:$BQ,29,0)</f>
        <v>#N/A</v>
      </c>
      <c r="P50" s="115" t="e">
        <f>VLOOKUP($A50,'S45'!$C:$BQ,30,0)</f>
        <v>#N/A</v>
      </c>
      <c r="Q50" s="115" t="e">
        <f>VLOOKUP($A50,'S45'!$C:$BQ,52,0)</f>
        <v>#N/A</v>
      </c>
      <c r="R50" s="115" t="e">
        <f>VLOOKUP($A50,'S45'!$C:$BQ,59,0)</f>
        <v>#N/A</v>
      </c>
      <c r="S50" s="115" t="e">
        <f>VLOOKUP($A50,'S45'!$C:$BQ,60,0)</f>
        <v>#N/A</v>
      </c>
      <c r="T50" s="107" t="e">
        <f>VLOOKUP($A50,'S46'!$C:$BQ,32,0)</f>
        <v>#N/A</v>
      </c>
      <c r="U50" s="107" t="e">
        <f>VLOOKUP($A50,'S46'!$C:$BQ,39,0)</f>
        <v>#N/A</v>
      </c>
      <c r="V50" s="107" t="e">
        <f>VLOOKUP($A50,'S46'!$C:$BQ,40,0)</f>
        <v>#N/A</v>
      </c>
      <c r="W50" s="107" t="e">
        <f>VLOOKUP($A50,'S46'!$C:$BQ,22,0)</f>
        <v>#N/A</v>
      </c>
      <c r="X50" s="115" t="e">
        <f>VLOOKUP($A50,'S46'!$C:$BQ,29,0)</f>
        <v>#N/A</v>
      </c>
      <c r="Y50" s="115" t="e">
        <f>VLOOKUP($A50,'S46'!$C:$BQ,30,0)</f>
        <v>#N/A</v>
      </c>
      <c r="Z50" s="115" t="e">
        <f>VLOOKUP($A50,'S46'!$C:$BQ,52,0)</f>
        <v>#N/A</v>
      </c>
      <c r="AA50" s="115" t="e">
        <f>VLOOKUP($A50,'S46'!$C:$BQ,59,0)</f>
        <v>#N/A</v>
      </c>
      <c r="AB50" s="115" t="e">
        <f>VLOOKUP($A50,'S46'!$C:$BQ,60,0)</f>
        <v>#N/A</v>
      </c>
      <c r="AC50" s="107" t="e">
        <f>VLOOKUP($A50,'S47'!$C:$BQ,32,0)</f>
        <v>#N/A</v>
      </c>
      <c r="AD50" s="107" t="e">
        <f>VLOOKUP($A50,'S47'!$C:$BQ,39,0)</f>
        <v>#N/A</v>
      </c>
      <c r="AE50" s="107" t="e">
        <f>VLOOKUP($A50,'S47'!$C:$BQ,40,0)</f>
        <v>#N/A</v>
      </c>
      <c r="AF50" s="107" t="e">
        <f>VLOOKUP($A50,'S47'!$C:$BQ,22,0)</f>
        <v>#N/A</v>
      </c>
      <c r="AG50" s="115" t="e">
        <f>VLOOKUP($A50,'S47'!$C:$BQ,29,0)</f>
        <v>#N/A</v>
      </c>
      <c r="AH50" s="115" t="e">
        <f>VLOOKUP($A50,'S47'!$C:$BQ,30,0)</f>
        <v>#N/A</v>
      </c>
      <c r="AI50" s="115" t="e">
        <f>VLOOKUP($A50,'S47'!$C:$BQ,52,0)</f>
        <v>#N/A</v>
      </c>
      <c r="AJ50" s="115" t="e">
        <f>VLOOKUP($A50,'S47'!$C:$BQ,59,0)</f>
        <v>#N/A</v>
      </c>
      <c r="AK50" s="115" t="e">
        <f>VLOOKUP($A50,'S47'!$C:$BQ,60,0)</f>
        <v>#N/A</v>
      </c>
      <c r="AL50" s="107" t="e">
        <f>VLOOKUP($A50,'S48'!$C:$BQ,32,0)</f>
        <v>#N/A</v>
      </c>
      <c r="AM50" s="107" t="e">
        <f>VLOOKUP($A50,'S48'!$C:$BQ,39,0)</f>
        <v>#N/A</v>
      </c>
      <c r="AN50" s="107" t="e">
        <f>VLOOKUP($A50,'S48'!$C:$BQ,40,0)</f>
        <v>#N/A</v>
      </c>
      <c r="AO50" s="107" t="e">
        <f>VLOOKUP($A50,'S48'!$C:$BQ,22,0)</f>
        <v>#N/A</v>
      </c>
      <c r="AP50" s="115" t="e">
        <f>VLOOKUP($A50,'S48'!$C:$BQ,29,0)</f>
        <v>#N/A</v>
      </c>
      <c r="AQ50" s="115" t="e">
        <f>VLOOKUP($A50,'S48'!$C:$BQ,30,0)</f>
        <v>#N/A</v>
      </c>
      <c r="AR50" s="115" t="e">
        <f>VLOOKUP($A50,'S48'!$C:$BQ,52,0)</f>
        <v>#N/A</v>
      </c>
      <c r="AS50" s="115" t="e">
        <f>VLOOKUP($A50,'S48'!$C:$BQ,59,0)</f>
        <v>#N/A</v>
      </c>
      <c r="AT50" s="115" t="e">
        <f>VLOOKUP($A50,'S48'!$C:$BQ,60,0)</f>
        <v>#N/A</v>
      </c>
      <c r="AU50" s="107" t="e">
        <f>VLOOKUP($A50,'S49'!$C:$BQ,32,0)</f>
        <v>#N/A</v>
      </c>
      <c r="AV50" s="107" t="e">
        <f>VLOOKUP($A50,'S49'!$C:$BQ,39,0)</f>
        <v>#N/A</v>
      </c>
      <c r="AW50" s="107" t="e">
        <f>VLOOKUP($A50,'S49'!$C:$BQ,40,0)</f>
        <v>#N/A</v>
      </c>
      <c r="AX50" s="107" t="e">
        <f>VLOOKUP($A50,'S49'!$C:$BQ,22,0)</f>
        <v>#N/A</v>
      </c>
      <c r="AY50" s="115" t="e">
        <f>VLOOKUP($A50,'S49'!$C:$BQ,29,0)</f>
        <v>#N/A</v>
      </c>
      <c r="AZ50" s="115" t="e">
        <f>VLOOKUP($A50,'S49'!$C:$BQ,30,0)</f>
        <v>#N/A</v>
      </c>
      <c r="BA50" s="115" t="e">
        <f>VLOOKUP($A50,'S49'!$C:$BQ,52,0)</f>
        <v>#N/A</v>
      </c>
      <c r="BB50" s="115" t="e">
        <f>VLOOKUP($A50,'S49'!$C:$BQ,59,0)</f>
        <v>#N/A</v>
      </c>
      <c r="BC50" s="115" t="e">
        <f>VLOOKUP($A50,'S49'!$C:$BQ,60,0)</f>
        <v>#N/A</v>
      </c>
      <c r="BD50" s="107" t="e">
        <f>VLOOKUP($A50,'S50'!$C:$BQ,32,0)</f>
        <v>#N/A</v>
      </c>
      <c r="BE50" s="107" t="e">
        <f>VLOOKUP($A50,'S50'!$C:$BQ,39,0)</f>
        <v>#N/A</v>
      </c>
      <c r="BF50" s="107" t="e">
        <f>VLOOKUP($A50,'S50'!$C:$BQ,40,0)</f>
        <v>#N/A</v>
      </c>
      <c r="BG50" s="107" t="e">
        <f>VLOOKUP($A50,'S50'!$C:$BQ,22,0)</f>
        <v>#N/A</v>
      </c>
      <c r="BH50" s="115" t="e">
        <f>VLOOKUP($A50,'S50'!$C:$BQ,29,0)</f>
        <v>#N/A</v>
      </c>
      <c r="BI50" s="115" t="e">
        <f>VLOOKUP($A50,'S50'!$C:$BQ,30,0)</f>
        <v>#N/A</v>
      </c>
      <c r="BJ50" s="115" t="e">
        <f>VLOOKUP($A50,'S50'!$C:$BQ,52,0)</f>
        <v>#N/A</v>
      </c>
      <c r="BK50" s="115" t="e">
        <f>VLOOKUP($A50,'S50'!$C:$BQ,59,0)</f>
        <v>#N/A</v>
      </c>
      <c r="BL50" s="115" t="e">
        <f>VLOOKUP($A50,'S50'!$C:$BQ,60,0)</f>
        <v>#N/A</v>
      </c>
    </row>
    <row r="51" spans="1:64" x14ac:dyDescent="0.2">
      <c r="A51" s="106" t="s">
        <v>107</v>
      </c>
      <c r="B51" s="107">
        <f>VLOOKUP($A51,'S0 remplacer avec S44'!$C:$BQ,32,0)</f>
        <v>168.8</v>
      </c>
      <c r="C51" s="107">
        <f>VLOOKUP($A51,'S0 remplacer avec S44'!$C:$BQ,39,0)</f>
        <v>0</v>
      </c>
      <c r="D51" s="107">
        <f>VLOOKUP($A51,'S0 remplacer avec S44'!$C:$BQ,40,0)</f>
        <v>22</v>
      </c>
      <c r="E51" s="107">
        <f>VLOOKUP($A51,'S0 remplacer avec S44'!$C:$BQ,22,0)</f>
        <v>1728.5798649999999</v>
      </c>
      <c r="F51" s="115">
        <f>VLOOKUP($A51,'S0 remplacer avec S44'!$C:$BQ,29,0)</f>
        <v>0</v>
      </c>
      <c r="G51" s="115">
        <f>VLOOKUP($A51,'S0 remplacer avec S44'!$C:$BQ,30,0)</f>
        <v>4</v>
      </c>
      <c r="H51" s="115">
        <f>VLOOKUP($A51,'S0 remplacer avec S44'!$C:$BQ,52,0)</f>
        <v>92.8</v>
      </c>
      <c r="I51" s="115">
        <f>VLOOKUP($A51,'S0 remplacer avec S44'!$C:$BQ,59,0)</f>
        <v>0</v>
      </c>
      <c r="J51" s="115">
        <f>VLOOKUP($A51,'S0 remplacer avec S44'!$C:$BQ,60,0)</f>
        <v>4</v>
      </c>
      <c r="K51" s="107" t="e">
        <f>VLOOKUP($A51,'S45'!$C:$BQ,32,0)</f>
        <v>#N/A</v>
      </c>
      <c r="L51" s="107" t="e">
        <f>VLOOKUP($A51,'S45'!$C:$BQ,39,0)</f>
        <v>#N/A</v>
      </c>
      <c r="M51" s="107" t="e">
        <f>VLOOKUP($A51,'S45'!$C:$BQ,40,0)</f>
        <v>#N/A</v>
      </c>
      <c r="N51" s="107" t="e">
        <f>VLOOKUP($A51,'S45'!$C:$BQ,22,0)</f>
        <v>#N/A</v>
      </c>
      <c r="O51" s="115" t="e">
        <f>VLOOKUP($A51,'S45'!$C:$BQ,29,0)</f>
        <v>#N/A</v>
      </c>
      <c r="P51" s="115" t="e">
        <f>VLOOKUP($A51,'S45'!$C:$BQ,30,0)</f>
        <v>#N/A</v>
      </c>
      <c r="Q51" s="115" t="e">
        <f>VLOOKUP($A51,'S45'!$C:$BQ,52,0)</f>
        <v>#N/A</v>
      </c>
      <c r="R51" s="115" t="e">
        <f>VLOOKUP($A51,'S45'!$C:$BQ,59,0)</f>
        <v>#N/A</v>
      </c>
      <c r="S51" s="115" t="e">
        <f>VLOOKUP($A51,'S45'!$C:$BQ,60,0)</f>
        <v>#N/A</v>
      </c>
      <c r="T51" s="107" t="e">
        <f>VLOOKUP($A51,'S46'!$C:$BQ,32,0)</f>
        <v>#N/A</v>
      </c>
      <c r="U51" s="107" t="e">
        <f>VLOOKUP($A51,'S46'!$C:$BQ,39,0)</f>
        <v>#N/A</v>
      </c>
      <c r="V51" s="107" t="e">
        <f>VLOOKUP($A51,'S46'!$C:$BQ,40,0)</f>
        <v>#N/A</v>
      </c>
      <c r="W51" s="107" t="e">
        <f>VLOOKUP($A51,'S46'!$C:$BQ,22,0)</f>
        <v>#N/A</v>
      </c>
      <c r="X51" s="115" t="e">
        <f>VLOOKUP($A51,'S46'!$C:$BQ,29,0)</f>
        <v>#N/A</v>
      </c>
      <c r="Y51" s="115" t="e">
        <f>VLOOKUP($A51,'S46'!$C:$BQ,30,0)</f>
        <v>#N/A</v>
      </c>
      <c r="Z51" s="115" t="e">
        <f>VLOOKUP($A51,'S46'!$C:$BQ,52,0)</f>
        <v>#N/A</v>
      </c>
      <c r="AA51" s="115" t="e">
        <f>VLOOKUP($A51,'S46'!$C:$BQ,59,0)</f>
        <v>#N/A</v>
      </c>
      <c r="AB51" s="115" t="e">
        <f>VLOOKUP($A51,'S46'!$C:$BQ,60,0)</f>
        <v>#N/A</v>
      </c>
      <c r="AC51" s="107" t="e">
        <f>VLOOKUP($A51,'S47'!$C:$BQ,32,0)</f>
        <v>#N/A</v>
      </c>
      <c r="AD51" s="107" t="e">
        <f>VLOOKUP($A51,'S47'!$C:$BQ,39,0)</f>
        <v>#N/A</v>
      </c>
      <c r="AE51" s="107" t="e">
        <f>VLOOKUP($A51,'S47'!$C:$BQ,40,0)</f>
        <v>#N/A</v>
      </c>
      <c r="AF51" s="107" t="e">
        <f>VLOOKUP($A51,'S47'!$C:$BQ,22,0)</f>
        <v>#N/A</v>
      </c>
      <c r="AG51" s="115" t="e">
        <f>VLOOKUP($A51,'S47'!$C:$BQ,29,0)</f>
        <v>#N/A</v>
      </c>
      <c r="AH51" s="115" t="e">
        <f>VLOOKUP($A51,'S47'!$C:$BQ,30,0)</f>
        <v>#N/A</v>
      </c>
      <c r="AI51" s="115" t="e">
        <f>VLOOKUP($A51,'S47'!$C:$BQ,52,0)</f>
        <v>#N/A</v>
      </c>
      <c r="AJ51" s="115" t="e">
        <f>VLOOKUP($A51,'S47'!$C:$BQ,59,0)</f>
        <v>#N/A</v>
      </c>
      <c r="AK51" s="115" t="e">
        <f>VLOOKUP($A51,'S47'!$C:$BQ,60,0)</f>
        <v>#N/A</v>
      </c>
      <c r="AL51" s="107" t="e">
        <f>VLOOKUP($A51,'S48'!$C:$BQ,32,0)</f>
        <v>#N/A</v>
      </c>
      <c r="AM51" s="107" t="e">
        <f>VLOOKUP($A51,'S48'!$C:$BQ,39,0)</f>
        <v>#N/A</v>
      </c>
      <c r="AN51" s="107" t="e">
        <f>VLOOKUP($A51,'S48'!$C:$BQ,40,0)</f>
        <v>#N/A</v>
      </c>
      <c r="AO51" s="107" t="e">
        <f>VLOOKUP($A51,'S48'!$C:$BQ,22,0)</f>
        <v>#N/A</v>
      </c>
      <c r="AP51" s="115" t="e">
        <f>VLOOKUP($A51,'S48'!$C:$BQ,29,0)</f>
        <v>#N/A</v>
      </c>
      <c r="AQ51" s="115" t="e">
        <f>VLOOKUP($A51,'S48'!$C:$BQ,30,0)</f>
        <v>#N/A</v>
      </c>
      <c r="AR51" s="115" t="e">
        <f>VLOOKUP($A51,'S48'!$C:$BQ,52,0)</f>
        <v>#N/A</v>
      </c>
      <c r="AS51" s="115" t="e">
        <f>VLOOKUP($A51,'S48'!$C:$BQ,59,0)</f>
        <v>#N/A</v>
      </c>
      <c r="AT51" s="115" t="e">
        <f>VLOOKUP($A51,'S48'!$C:$BQ,60,0)</f>
        <v>#N/A</v>
      </c>
      <c r="AU51" s="107" t="e">
        <f>VLOOKUP($A51,'S49'!$C:$BQ,32,0)</f>
        <v>#N/A</v>
      </c>
      <c r="AV51" s="107" t="e">
        <f>VLOOKUP($A51,'S49'!$C:$BQ,39,0)</f>
        <v>#N/A</v>
      </c>
      <c r="AW51" s="107" t="e">
        <f>VLOOKUP($A51,'S49'!$C:$BQ,40,0)</f>
        <v>#N/A</v>
      </c>
      <c r="AX51" s="107" t="e">
        <f>VLOOKUP($A51,'S49'!$C:$BQ,22,0)</f>
        <v>#N/A</v>
      </c>
      <c r="AY51" s="115" t="e">
        <f>VLOOKUP($A51,'S49'!$C:$BQ,29,0)</f>
        <v>#N/A</v>
      </c>
      <c r="AZ51" s="115" t="e">
        <f>VLOOKUP($A51,'S49'!$C:$BQ,30,0)</f>
        <v>#N/A</v>
      </c>
      <c r="BA51" s="115" t="e">
        <f>VLOOKUP($A51,'S49'!$C:$BQ,52,0)</f>
        <v>#N/A</v>
      </c>
      <c r="BB51" s="115" t="e">
        <f>VLOOKUP($A51,'S49'!$C:$BQ,59,0)</f>
        <v>#N/A</v>
      </c>
      <c r="BC51" s="115" t="e">
        <f>VLOOKUP($A51,'S49'!$C:$BQ,60,0)</f>
        <v>#N/A</v>
      </c>
      <c r="BD51" s="107" t="e">
        <f>VLOOKUP($A51,'S50'!$C:$BQ,32,0)</f>
        <v>#N/A</v>
      </c>
      <c r="BE51" s="107" t="e">
        <f>VLOOKUP($A51,'S50'!$C:$BQ,39,0)</f>
        <v>#N/A</v>
      </c>
      <c r="BF51" s="107" t="e">
        <f>VLOOKUP($A51,'S50'!$C:$BQ,40,0)</f>
        <v>#N/A</v>
      </c>
      <c r="BG51" s="107" t="e">
        <f>VLOOKUP($A51,'S50'!$C:$BQ,22,0)</f>
        <v>#N/A</v>
      </c>
      <c r="BH51" s="115" t="e">
        <f>VLOOKUP($A51,'S50'!$C:$BQ,29,0)</f>
        <v>#N/A</v>
      </c>
      <c r="BI51" s="115" t="e">
        <f>VLOOKUP($A51,'S50'!$C:$BQ,30,0)</f>
        <v>#N/A</v>
      </c>
      <c r="BJ51" s="115" t="e">
        <f>VLOOKUP($A51,'S50'!$C:$BQ,52,0)</f>
        <v>#N/A</v>
      </c>
      <c r="BK51" s="115" t="e">
        <f>VLOOKUP($A51,'S50'!$C:$BQ,59,0)</f>
        <v>#N/A</v>
      </c>
      <c r="BL51" s="115" t="e">
        <f>VLOOKUP($A51,'S50'!$C:$BQ,60,0)</f>
        <v>#N/A</v>
      </c>
    </row>
    <row r="52" spans="1:64" x14ac:dyDescent="0.2">
      <c r="A52" s="106" t="s">
        <v>108</v>
      </c>
      <c r="B52" s="107">
        <f>VLOOKUP($A52,'S0 remplacer avec S44'!$C:$BQ,32,0)</f>
        <v>96.1</v>
      </c>
      <c r="C52" s="107">
        <f>VLOOKUP($A52,'S0 remplacer avec S44'!$C:$BQ,39,0)</f>
        <v>66</v>
      </c>
      <c r="D52" s="107">
        <f>VLOOKUP($A52,'S0 remplacer avec S44'!$C:$BQ,40,0)</f>
        <v>99</v>
      </c>
      <c r="E52" s="107">
        <f>VLOOKUP($A52,'S0 remplacer avec S44'!$C:$BQ,22,0)</f>
        <v>1020.32716</v>
      </c>
      <c r="F52" s="115">
        <f>VLOOKUP($A52,'S0 remplacer avec S44'!$C:$BQ,29,0)</f>
        <v>453</v>
      </c>
      <c r="G52" s="115">
        <f>VLOOKUP($A52,'S0 remplacer avec S44'!$C:$BQ,30,0)</f>
        <v>747</v>
      </c>
      <c r="H52" s="115">
        <f>VLOOKUP($A52,'S0 remplacer avec S44'!$C:$BQ,52,0)</f>
        <v>59.4</v>
      </c>
      <c r="I52" s="115">
        <f>VLOOKUP($A52,'S0 remplacer avec S44'!$C:$BQ,59,0)</f>
        <v>23</v>
      </c>
      <c r="J52" s="115">
        <f>VLOOKUP($A52,'S0 remplacer avec S44'!$C:$BQ,60,0)</f>
        <v>40</v>
      </c>
      <c r="K52" s="107" t="e">
        <f>VLOOKUP($A52,'S45'!$C:$BQ,32,0)</f>
        <v>#N/A</v>
      </c>
      <c r="L52" s="107" t="e">
        <f>VLOOKUP($A52,'S45'!$C:$BQ,39,0)</f>
        <v>#N/A</v>
      </c>
      <c r="M52" s="107" t="e">
        <f>VLOOKUP($A52,'S45'!$C:$BQ,40,0)</f>
        <v>#N/A</v>
      </c>
      <c r="N52" s="107" t="e">
        <f>VLOOKUP($A52,'S45'!$C:$BQ,22,0)</f>
        <v>#N/A</v>
      </c>
      <c r="O52" s="115" t="e">
        <f>VLOOKUP($A52,'S45'!$C:$BQ,29,0)</f>
        <v>#N/A</v>
      </c>
      <c r="P52" s="115" t="e">
        <f>VLOOKUP($A52,'S45'!$C:$BQ,30,0)</f>
        <v>#N/A</v>
      </c>
      <c r="Q52" s="115" t="e">
        <f>VLOOKUP($A52,'S45'!$C:$BQ,52,0)</f>
        <v>#N/A</v>
      </c>
      <c r="R52" s="115" t="e">
        <f>VLOOKUP($A52,'S45'!$C:$BQ,59,0)</f>
        <v>#N/A</v>
      </c>
      <c r="S52" s="115" t="e">
        <f>VLOOKUP($A52,'S45'!$C:$BQ,60,0)</f>
        <v>#N/A</v>
      </c>
      <c r="T52" s="107" t="e">
        <f>VLOOKUP($A52,'S46'!$C:$BQ,32,0)</f>
        <v>#N/A</v>
      </c>
      <c r="U52" s="107" t="e">
        <f>VLOOKUP($A52,'S46'!$C:$BQ,39,0)</f>
        <v>#N/A</v>
      </c>
      <c r="V52" s="107" t="e">
        <f>VLOOKUP($A52,'S46'!$C:$BQ,40,0)</f>
        <v>#N/A</v>
      </c>
      <c r="W52" s="107" t="e">
        <f>VLOOKUP($A52,'S46'!$C:$BQ,22,0)</f>
        <v>#N/A</v>
      </c>
      <c r="X52" s="115" t="e">
        <f>VLOOKUP($A52,'S46'!$C:$BQ,29,0)</f>
        <v>#N/A</v>
      </c>
      <c r="Y52" s="115" t="e">
        <f>VLOOKUP($A52,'S46'!$C:$BQ,30,0)</f>
        <v>#N/A</v>
      </c>
      <c r="Z52" s="115" t="e">
        <f>VLOOKUP($A52,'S46'!$C:$BQ,52,0)</f>
        <v>#N/A</v>
      </c>
      <c r="AA52" s="115" t="e">
        <f>VLOOKUP($A52,'S46'!$C:$BQ,59,0)</f>
        <v>#N/A</v>
      </c>
      <c r="AB52" s="115" t="e">
        <f>VLOOKUP($A52,'S46'!$C:$BQ,60,0)</f>
        <v>#N/A</v>
      </c>
      <c r="AC52" s="107" t="e">
        <f>VLOOKUP($A52,'S47'!$C:$BQ,32,0)</f>
        <v>#N/A</v>
      </c>
      <c r="AD52" s="107" t="e">
        <f>VLOOKUP($A52,'S47'!$C:$BQ,39,0)</f>
        <v>#N/A</v>
      </c>
      <c r="AE52" s="107" t="e">
        <f>VLOOKUP($A52,'S47'!$C:$BQ,40,0)</f>
        <v>#N/A</v>
      </c>
      <c r="AF52" s="107" t="e">
        <f>VLOOKUP($A52,'S47'!$C:$BQ,22,0)</f>
        <v>#N/A</v>
      </c>
      <c r="AG52" s="115" t="e">
        <f>VLOOKUP($A52,'S47'!$C:$BQ,29,0)</f>
        <v>#N/A</v>
      </c>
      <c r="AH52" s="115" t="e">
        <f>VLOOKUP($A52,'S47'!$C:$BQ,30,0)</f>
        <v>#N/A</v>
      </c>
      <c r="AI52" s="115" t="e">
        <f>VLOOKUP($A52,'S47'!$C:$BQ,52,0)</f>
        <v>#N/A</v>
      </c>
      <c r="AJ52" s="115" t="e">
        <f>VLOOKUP($A52,'S47'!$C:$BQ,59,0)</f>
        <v>#N/A</v>
      </c>
      <c r="AK52" s="115" t="e">
        <f>VLOOKUP($A52,'S47'!$C:$BQ,60,0)</f>
        <v>#N/A</v>
      </c>
      <c r="AL52" s="107" t="e">
        <f>VLOOKUP($A52,'S48'!$C:$BQ,32,0)</f>
        <v>#N/A</v>
      </c>
      <c r="AM52" s="107" t="e">
        <f>VLOOKUP($A52,'S48'!$C:$BQ,39,0)</f>
        <v>#N/A</v>
      </c>
      <c r="AN52" s="107" t="e">
        <f>VLOOKUP($A52,'S48'!$C:$BQ,40,0)</f>
        <v>#N/A</v>
      </c>
      <c r="AO52" s="107" t="e">
        <f>VLOOKUP($A52,'S48'!$C:$BQ,22,0)</f>
        <v>#N/A</v>
      </c>
      <c r="AP52" s="115" t="e">
        <f>VLOOKUP($A52,'S48'!$C:$BQ,29,0)</f>
        <v>#N/A</v>
      </c>
      <c r="AQ52" s="115" t="e">
        <f>VLOOKUP($A52,'S48'!$C:$BQ,30,0)</f>
        <v>#N/A</v>
      </c>
      <c r="AR52" s="115" t="e">
        <f>VLOOKUP($A52,'S48'!$C:$BQ,52,0)</f>
        <v>#N/A</v>
      </c>
      <c r="AS52" s="115" t="e">
        <f>VLOOKUP($A52,'S48'!$C:$BQ,59,0)</f>
        <v>#N/A</v>
      </c>
      <c r="AT52" s="115" t="e">
        <f>VLOOKUP($A52,'S48'!$C:$BQ,60,0)</f>
        <v>#N/A</v>
      </c>
      <c r="AU52" s="107" t="e">
        <f>VLOOKUP($A52,'S49'!$C:$BQ,32,0)</f>
        <v>#N/A</v>
      </c>
      <c r="AV52" s="107" t="e">
        <f>VLOOKUP($A52,'S49'!$C:$BQ,39,0)</f>
        <v>#N/A</v>
      </c>
      <c r="AW52" s="107" t="e">
        <f>VLOOKUP($A52,'S49'!$C:$BQ,40,0)</f>
        <v>#N/A</v>
      </c>
      <c r="AX52" s="107" t="e">
        <f>VLOOKUP($A52,'S49'!$C:$BQ,22,0)</f>
        <v>#N/A</v>
      </c>
      <c r="AY52" s="115" t="e">
        <f>VLOOKUP($A52,'S49'!$C:$BQ,29,0)</f>
        <v>#N/A</v>
      </c>
      <c r="AZ52" s="115" t="e">
        <f>VLOOKUP($A52,'S49'!$C:$BQ,30,0)</f>
        <v>#N/A</v>
      </c>
      <c r="BA52" s="115" t="e">
        <f>VLOOKUP($A52,'S49'!$C:$BQ,52,0)</f>
        <v>#N/A</v>
      </c>
      <c r="BB52" s="115" t="e">
        <f>VLOOKUP($A52,'S49'!$C:$BQ,59,0)</f>
        <v>#N/A</v>
      </c>
      <c r="BC52" s="115" t="e">
        <f>VLOOKUP($A52,'S49'!$C:$BQ,60,0)</f>
        <v>#N/A</v>
      </c>
      <c r="BD52" s="107" t="e">
        <f>VLOOKUP($A52,'S50'!$C:$BQ,32,0)</f>
        <v>#N/A</v>
      </c>
      <c r="BE52" s="107" t="e">
        <f>VLOOKUP($A52,'S50'!$C:$BQ,39,0)</f>
        <v>#N/A</v>
      </c>
      <c r="BF52" s="107" t="e">
        <f>VLOOKUP($A52,'S50'!$C:$BQ,40,0)</f>
        <v>#N/A</v>
      </c>
      <c r="BG52" s="107" t="e">
        <f>VLOOKUP($A52,'S50'!$C:$BQ,22,0)</f>
        <v>#N/A</v>
      </c>
      <c r="BH52" s="115" t="e">
        <f>VLOOKUP($A52,'S50'!$C:$BQ,29,0)</f>
        <v>#N/A</v>
      </c>
      <c r="BI52" s="115" t="e">
        <f>VLOOKUP($A52,'S50'!$C:$BQ,30,0)</f>
        <v>#N/A</v>
      </c>
      <c r="BJ52" s="115" t="e">
        <f>VLOOKUP($A52,'S50'!$C:$BQ,52,0)</f>
        <v>#N/A</v>
      </c>
      <c r="BK52" s="115" t="e">
        <f>VLOOKUP($A52,'S50'!$C:$BQ,59,0)</f>
        <v>#N/A</v>
      </c>
      <c r="BL52" s="115" t="e">
        <f>VLOOKUP($A52,'S50'!$C:$BQ,60,0)</f>
        <v>#N/A</v>
      </c>
    </row>
    <row r="53" spans="1:64" x14ac:dyDescent="0.2">
      <c r="A53" s="106" t="s">
        <v>109</v>
      </c>
      <c r="B53" s="107">
        <f>VLOOKUP($A53,'S0 remplacer avec S44'!$C:$BQ,32,0)</f>
        <v>148.80000000000001</v>
      </c>
      <c r="C53" s="107">
        <f>VLOOKUP($A53,'S0 remplacer avec S44'!$C:$BQ,39,0)</f>
        <v>182</v>
      </c>
      <c r="D53" s="107">
        <f>VLOOKUP($A53,'S0 remplacer avec S44'!$C:$BQ,40,0)</f>
        <v>248</v>
      </c>
      <c r="E53" s="107">
        <f>VLOOKUP($A53,'S0 remplacer avec S44'!$C:$BQ,22,0)</f>
        <v>2274.1187</v>
      </c>
      <c r="F53" s="115">
        <f>VLOOKUP($A53,'S0 remplacer avec S44'!$C:$BQ,29,0)</f>
        <v>729</v>
      </c>
      <c r="G53" s="115">
        <f>VLOOKUP($A53,'S0 remplacer avec S44'!$C:$BQ,30,0)</f>
        <v>1329</v>
      </c>
      <c r="H53" s="115">
        <f>VLOOKUP($A53,'S0 remplacer avec S44'!$C:$BQ,52,0)</f>
        <v>180.8</v>
      </c>
      <c r="I53" s="115">
        <f>VLOOKUP($A53,'S0 remplacer avec S44'!$C:$BQ,59,0)</f>
        <v>0</v>
      </c>
      <c r="J53" s="115">
        <f>VLOOKUP($A53,'S0 remplacer avec S44'!$C:$BQ,60,0)</f>
        <v>21</v>
      </c>
      <c r="K53" s="107" t="e">
        <f>VLOOKUP($A53,'S45'!$C:$BQ,32,0)</f>
        <v>#N/A</v>
      </c>
      <c r="L53" s="107" t="e">
        <f>VLOOKUP($A53,'S45'!$C:$BQ,39,0)</f>
        <v>#N/A</v>
      </c>
      <c r="M53" s="107" t="e">
        <f>VLOOKUP($A53,'S45'!$C:$BQ,40,0)</f>
        <v>#N/A</v>
      </c>
      <c r="N53" s="107" t="e">
        <f>VLOOKUP($A53,'S45'!$C:$BQ,22,0)</f>
        <v>#N/A</v>
      </c>
      <c r="O53" s="115" t="e">
        <f>VLOOKUP($A53,'S45'!$C:$BQ,29,0)</f>
        <v>#N/A</v>
      </c>
      <c r="P53" s="115" t="e">
        <f>VLOOKUP($A53,'S45'!$C:$BQ,30,0)</f>
        <v>#N/A</v>
      </c>
      <c r="Q53" s="115" t="e">
        <f>VLOOKUP($A53,'S45'!$C:$BQ,52,0)</f>
        <v>#N/A</v>
      </c>
      <c r="R53" s="115" t="e">
        <f>VLOOKUP($A53,'S45'!$C:$BQ,59,0)</f>
        <v>#N/A</v>
      </c>
      <c r="S53" s="115" t="e">
        <f>VLOOKUP($A53,'S45'!$C:$BQ,60,0)</f>
        <v>#N/A</v>
      </c>
      <c r="T53" s="107" t="e">
        <f>VLOOKUP($A53,'S46'!$C:$BQ,32,0)</f>
        <v>#N/A</v>
      </c>
      <c r="U53" s="107" t="e">
        <f>VLOOKUP($A53,'S46'!$C:$BQ,39,0)</f>
        <v>#N/A</v>
      </c>
      <c r="V53" s="107" t="e">
        <f>VLOOKUP($A53,'S46'!$C:$BQ,40,0)</f>
        <v>#N/A</v>
      </c>
      <c r="W53" s="107" t="e">
        <f>VLOOKUP($A53,'S46'!$C:$BQ,22,0)</f>
        <v>#N/A</v>
      </c>
      <c r="X53" s="115" t="e">
        <f>VLOOKUP($A53,'S46'!$C:$BQ,29,0)</f>
        <v>#N/A</v>
      </c>
      <c r="Y53" s="115" t="e">
        <f>VLOOKUP($A53,'S46'!$C:$BQ,30,0)</f>
        <v>#N/A</v>
      </c>
      <c r="Z53" s="115" t="e">
        <f>VLOOKUP($A53,'S46'!$C:$BQ,52,0)</f>
        <v>#N/A</v>
      </c>
      <c r="AA53" s="115" t="e">
        <f>VLOOKUP($A53,'S46'!$C:$BQ,59,0)</f>
        <v>#N/A</v>
      </c>
      <c r="AB53" s="115" t="e">
        <f>VLOOKUP($A53,'S46'!$C:$BQ,60,0)</f>
        <v>#N/A</v>
      </c>
      <c r="AC53" s="107" t="e">
        <f>VLOOKUP($A53,'S47'!$C:$BQ,32,0)</f>
        <v>#N/A</v>
      </c>
      <c r="AD53" s="107" t="e">
        <f>VLOOKUP($A53,'S47'!$C:$BQ,39,0)</f>
        <v>#N/A</v>
      </c>
      <c r="AE53" s="107" t="e">
        <f>VLOOKUP($A53,'S47'!$C:$BQ,40,0)</f>
        <v>#N/A</v>
      </c>
      <c r="AF53" s="107" t="e">
        <f>VLOOKUP($A53,'S47'!$C:$BQ,22,0)</f>
        <v>#N/A</v>
      </c>
      <c r="AG53" s="115" t="e">
        <f>VLOOKUP($A53,'S47'!$C:$BQ,29,0)</f>
        <v>#N/A</v>
      </c>
      <c r="AH53" s="115" t="e">
        <f>VLOOKUP($A53,'S47'!$C:$BQ,30,0)</f>
        <v>#N/A</v>
      </c>
      <c r="AI53" s="115" t="e">
        <f>VLOOKUP($A53,'S47'!$C:$BQ,52,0)</f>
        <v>#N/A</v>
      </c>
      <c r="AJ53" s="115" t="e">
        <f>VLOOKUP($A53,'S47'!$C:$BQ,59,0)</f>
        <v>#N/A</v>
      </c>
      <c r="AK53" s="115" t="e">
        <f>VLOOKUP($A53,'S47'!$C:$BQ,60,0)</f>
        <v>#N/A</v>
      </c>
      <c r="AL53" s="107" t="e">
        <f>VLOOKUP($A53,'S48'!$C:$BQ,32,0)</f>
        <v>#N/A</v>
      </c>
      <c r="AM53" s="107" t="e">
        <f>VLOOKUP($A53,'S48'!$C:$BQ,39,0)</f>
        <v>#N/A</v>
      </c>
      <c r="AN53" s="107" t="e">
        <f>VLOOKUP($A53,'S48'!$C:$BQ,40,0)</f>
        <v>#N/A</v>
      </c>
      <c r="AO53" s="107" t="e">
        <f>VLOOKUP($A53,'S48'!$C:$BQ,22,0)</f>
        <v>#N/A</v>
      </c>
      <c r="AP53" s="115" t="e">
        <f>VLOOKUP($A53,'S48'!$C:$BQ,29,0)</f>
        <v>#N/A</v>
      </c>
      <c r="AQ53" s="115" t="e">
        <f>VLOOKUP($A53,'S48'!$C:$BQ,30,0)</f>
        <v>#N/A</v>
      </c>
      <c r="AR53" s="115" t="e">
        <f>VLOOKUP($A53,'S48'!$C:$BQ,52,0)</f>
        <v>#N/A</v>
      </c>
      <c r="AS53" s="115" t="e">
        <f>VLOOKUP($A53,'S48'!$C:$BQ,59,0)</f>
        <v>#N/A</v>
      </c>
      <c r="AT53" s="115" t="e">
        <f>VLOOKUP($A53,'S48'!$C:$BQ,60,0)</f>
        <v>#N/A</v>
      </c>
      <c r="AU53" s="107" t="e">
        <f>VLOOKUP($A53,'S49'!$C:$BQ,32,0)</f>
        <v>#N/A</v>
      </c>
      <c r="AV53" s="107" t="e">
        <f>VLOOKUP($A53,'S49'!$C:$BQ,39,0)</f>
        <v>#N/A</v>
      </c>
      <c r="AW53" s="107" t="e">
        <f>VLOOKUP($A53,'S49'!$C:$BQ,40,0)</f>
        <v>#N/A</v>
      </c>
      <c r="AX53" s="107" t="e">
        <f>VLOOKUP($A53,'S49'!$C:$BQ,22,0)</f>
        <v>#N/A</v>
      </c>
      <c r="AY53" s="115" t="e">
        <f>VLOOKUP($A53,'S49'!$C:$BQ,29,0)</f>
        <v>#N/A</v>
      </c>
      <c r="AZ53" s="115" t="e">
        <f>VLOOKUP($A53,'S49'!$C:$BQ,30,0)</f>
        <v>#N/A</v>
      </c>
      <c r="BA53" s="115" t="e">
        <f>VLOOKUP($A53,'S49'!$C:$BQ,52,0)</f>
        <v>#N/A</v>
      </c>
      <c r="BB53" s="115" t="e">
        <f>VLOOKUP($A53,'S49'!$C:$BQ,59,0)</f>
        <v>#N/A</v>
      </c>
      <c r="BC53" s="115" t="e">
        <f>VLOOKUP($A53,'S49'!$C:$BQ,60,0)</f>
        <v>#N/A</v>
      </c>
      <c r="BD53" s="107" t="e">
        <f>VLOOKUP($A53,'S50'!$C:$BQ,32,0)</f>
        <v>#N/A</v>
      </c>
      <c r="BE53" s="107" t="e">
        <f>VLOOKUP($A53,'S50'!$C:$BQ,39,0)</f>
        <v>#N/A</v>
      </c>
      <c r="BF53" s="107" t="e">
        <f>VLOOKUP($A53,'S50'!$C:$BQ,40,0)</f>
        <v>#N/A</v>
      </c>
      <c r="BG53" s="107" t="e">
        <f>VLOOKUP($A53,'S50'!$C:$BQ,22,0)</f>
        <v>#N/A</v>
      </c>
      <c r="BH53" s="115" t="e">
        <f>VLOOKUP($A53,'S50'!$C:$BQ,29,0)</f>
        <v>#N/A</v>
      </c>
      <c r="BI53" s="115" t="e">
        <f>VLOOKUP($A53,'S50'!$C:$BQ,30,0)</f>
        <v>#N/A</v>
      </c>
      <c r="BJ53" s="115" t="e">
        <f>VLOOKUP($A53,'S50'!$C:$BQ,52,0)</f>
        <v>#N/A</v>
      </c>
      <c r="BK53" s="115" t="e">
        <f>VLOOKUP($A53,'S50'!$C:$BQ,59,0)</f>
        <v>#N/A</v>
      </c>
      <c r="BL53" s="115" t="e">
        <f>VLOOKUP($A53,'S50'!$C:$BQ,60,0)</f>
        <v>#N/A</v>
      </c>
    </row>
    <row r="54" spans="1:64" x14ac:dyDescent="0.2">
      <c r="A54" s="106" t="s">
        <v>110</v>
      </c>
      <c r="B54" s="107">
        <f>VLOOKUP($A54,'S0 remplacer avec S44'!$C:$BQ,32,0)</f>
        <v>147.94999999999999</v>
      </c>
      <c r="C54" s="107">
        <f>VLOOKUP($A54,'S0 remplacer avec S44'!$C:$BQ,39,0)</f>
        <v>19</v>
      </c>
      <c r="D54" s="107">
        <f>VLOOKUP($A54,'S0 remplacer avec S44'!$C:$BQ,40,0)</f>
        <v>52</v>
      </c>
      <c r="E54" s="107">
        <f>VLOOKUP($A54,'S0 remplacer avec S44'!$C:$BQ,22,0)</f>
        <v>1869.7637400000001</v>
      </c>
      <c r="F54" s="115">
        <f>VLOOKUP($A54,'S0 remplacer avec S44'!$C:$BQ,29,0)</f>
        <v>0</v>
      </c>
      <c r="G54" s="115">
        <f>VLOOKUP($A54,'S0 remplacer avec S44'!$C:$BQ,30,0)</f>
        <v>0</v>
      </c>
      <c r="H54" s="115">
        <f>VLOOKUP($A54,'S0 remplacer avec S44'!$C:$BQ,52,0)</f>
        <v>134.80000000000001</v>
      </c>
      <c r="I54" s="115">
        <f>VLOOKUP($A54,'S0 remplacer avec S44'!$C:$BQ,59,0)</f>
        <v>0</v>
      </c>
      <c r="J54" s="115">
        <f>VLOOKUP($A54,'S0 remplacer avec S44'!$C:$BQ,60,0)</f>
        <v>0</v>
      </c>
      <c r="K54" s="107" t="e">
        <f>VLOOKUP($A54,'S45'!$C:$BQ,32,0)</f>
        <v>#N/A</v>
      </c>
      <c r="L54" s="107" t="e">
        <f>VLOOKUP($A54,'S45'!$C:$BQ,39,0)</f>
        <v>#N/A</v>
      </c>
      <c r="M54" s="107" t="e">
        <f>VLOOKUP($A54,'S45'!$C:$BQ,40,0)</f>
        <v>#N/A</v>
      </c>
      <c r="N54" s="107" t="e">
        <f>VLOOKUP($A54,'S45'!$C:$BQ,22,0)</f>
        <v>#N/A</v>
      </c>
      <c r="O54" s="115" t="e">
        <f>VLOOKUP($A54,'S45'!$C:$BQ,29,0)</f>
        <v>#N/A</v>
      </c>
      <c r="P54" s="115" t="e">
        <f>VLOOKUP($A54,'S45'!$C:$BQ,30,0)</f>
        <v>#N/A</v>
      </c>
      <c r="Q54" s="115" t="e">
        <f>VLOOKUP($A54,'S45'!$C:$BQ,52,0)</f>
        <v>#N/A</v>
      </c>
      <c r="R54" s="115" t="e">
        <f>VLOOKUP($A54,'S45'!$C:$BQ,59,0)</f>
        <v>#N/A</v>
      </c>
      <c r="S54" s="115" t="e">
        <f>VLOOKUP($A54,'S45'!$C:$BQ,60,0)</f>
        <v>#N/A</v>
      </c>
      <c r="T54" s="107" t="e">
        <f>VLOOKUP($A54,'S46'!$C:$BQ,32,0)</f>
        <v>#N/A</v>
      </c>
      <c r="U54" s="107" t="e">
        <f>VLOOKUP($A54,'S46'!$C:$BQ,39,0)</f>
        <v>#N/A</v>
      </c>
      <c r="V54" s="107" t="e">
        <f>VLOOKUP($A54,'S46'!$C:$BQ,40,0)</f>
        <v>#N/A</v>
      </c>
      <c r="W54" s="107" t="e">
        <f>VLOOKUP($A54,'S46'!$C:$BQ,22,0)</f>
        <v>#N/A</v>
      </c>
      <c r="X54" s="115" t="e">
        <f>VLOOKUP($A54,'S46'!$C:$BQ,29,0)</f>
        <v>#N/A</v>
      </c>
      <c r="Y54" s="115" t="e">
        <f>VLOOKUP($A54,'S46'!$C:$BQ,30,0)</f>
        <v>#N/A</v>
      </c>
      <c r="Z54" s="115" t="e">
        <f>VLOOKUP($A54,'S46'!$C:$BQ,52,0)</f>
        <v>#N/A</v>
      </c>
      <c r="AA54" s="115" t="e">
        <f>VLOOKUP($A54,'S46'!$C:$BQ,59,0)</f>
        <v>#N/A</v>
      </c>
      <c r="AB54" s="115" t="e">
        <f>VLOOKUP($A54,'S46'!$C:$BQ,60,0)</f>
        <v>#N/A</v>
      </c>
      <c r="AC54" s="107" t="e">
        <f>VLOOKUP($A54,'S47'!$C:$BQ,32,0)</f>
        <v>#N/A</v>
      </c>
      <c r="AD54" s="107" t="e">
        <f>VLOOKUP($A54,'S47'!$C:$BQ,39,0)</f>
        <v>#N/A</v>
      </c>
      <c r="AE54" s="107" t="e">
        <f>VLOOKUP($A54,'S47'!$C:$BQ,40,0)</f>
        <v>#N/A</v>
      </c>
      <c r="AF54" s="107" t="e">
        <f>VLOOKUP($A54,'S47'!$C:$BQ,22,0)</f>
        <v>#N/A</v>
      </c>
      <c r="AG54" s="115" t="e">
        <f>VLOOKUP($A54,'S47'!$C:$BQ,29,0)</f>
        <v>#N/A</v>
      </c>
      <c r="AH54" s="115" t="e">
        <f>VLOOKUP($A54,'S47'!$C:$BQ,30,0)</f>
        <v>#N/A</v>
      </c>
      <c r="AI54" s="115" t="e">
        <f>VLOOKUP($A54,'S47'!$C:$BQ,52,0)</f>
        <v>#N/A</v>
      </c>
      <c r="AJ54" s="115" t="e">
        <f>VLOOKUP($A54,'S47'!$C:$BQ,59,0)</f>
        <v>#N/A</v>
      </c>
      <c r="AK54" s="115" t="e">
        <f>VLOOKUP($A54,'S47'!$C:$BQ,60,0)</f>
        <v>#N/A</v>
      </c>
      <c r="AL54" s="107" t="e">
        <f>VLOOKUP($A54,'S48'!$C:$BQ,32,0)</f>
        <v>#N/A</v>
      </c>
      <c r="AM54" s="107" t="e">
        <f>VLOOKUP($A54,'S48'!$C:$BQ,39,0)</f>
        <v>#N/A</v>
      </c>
      <c r="AN54" s="107" t="e">
        <f>VLOOKUP($A54,'S48'!$C:$BQ,40,0)</f>
        <v>#N/A</v>
      </c>
      <c r="AO54" s="107" t="e">
        <f>VLOOKUP($A54,'S48'!$C:$BQ,22,0)</f>
        <v>#N/A</v>
      </c>
      <c r="AP54" s="115" t="e">
        <f>VLOOKUP($A54,'S48'!$C:$BQ,29,0)</f>
        <v>#N/A</v>
      </c>
      <c r="AQ54" s="115" t="e">
        <f>VLOOKUP($A54,'S48'!$C:$BQ,30,0)</f>
        <v>#N/A</v>
      </c>
      <c r="AR54" s="115" t="e">
        <f>VLOOKUP($A54,'S48'!$C:$BQ,52,0)</f>
        <v>#N/A</v>
      </c>
      <c r="AS54" s="115" t="e">
        <f>VLOOKUP($A54,'S48'!$C:$BQ,59,0)</f>
        <v>#N/A</v>
      </c>
      <c r="AT54" s="115" t="e">
        <f>VLOOKUP($A54,'S48'!$C:$BQ,60,0)</f>
        <v>#N/A</v>
      </c>
      <c r="AU54" s="107" t="e">
        <f>VLOOKUP($A54,'S49'!$C:$BQ,32,0)</f>
        <v>#N/A</v>
      </c>
      <c r="AV54" s="107" t="e">
        <f>VLOOKUP($A54,'S49'!$C:$BQ,39,0)</f>
        <v>#N/A</v>
      </c>
      <c r="AW54" s="107" t="e">
        <f>VLOOKUP($A54,'S49'!$C:$BQ,40,0)</f>
        <v>#N/A</v>
      </c>
      <c r="AX54" s="107" t="e">
        <f>VLOOKUP($A54,'S49'!$C:$BQ,22,0)</f>
        <v>#N/A</v>
      </c>
      <c r="AY54" s="115" t="e">
        <f>VLOOKUP($A54,'S49'!$C:$BQ,29,0)</f>
        <v>#N/A</v>
      </c>
      <c r="AZ54" s="115" t="e">
        <f>VLOOKUP($A54,'S49'!$C:$BQ,30,0)</f>
        <v>#N/A</v>
      </c>
      <c r="BA54" s="115" t="e">
        <f>VLOOKUP($A54,'S49'!$C:$BQ,52,0)</f>
        <v>#N/A</v>
      </c>
      <c r="BB54" s="115" t="e">
        <f>VLOOKUP($A54,'S49'!$C:$BQ,59,0)</f>
        <v>#N/A</v>
      </c>
      <c r="BC54" s="115" t="e">
        <f>VLOOKUP($A54,'S49'!$C:$BQ,60,0)</f>
        <v>#N/A</v>
      </c>
      <c r="BD54" s="107" t="e">
        <f>VLOOKUP($A54,'S50'!$C:$BQ,32,0)</f>
        <v>#N/A</v>
      </c>
      <c r="BE54" s="107" t="e">
        <f>VLOOKUP($A54,'S50'!$C:$BQ,39,0)</f>
        <v>#N/A</v>
      </c>
      <c r="BF54" s="107" t="e">
        <f>VLOOKUP($A54,'S50'!$C:$BQ,40,0)</f>
        <v>#N/A</v>
      </c>
      <c r="BG54" s="107" t="e">
        <f>VLOOKUP($A54,'S50'!$C:$BQ,22,0)</f>
        <v>#N/A</v>
      </c>
      <c r="BH54" s="115" t="e">
        <f>VLOOKUP($A54,'S50'!$C:$BQ,29,0)</f>
        <v>#N/A</v>
      </c>
      <c r="BI54" s="115" t="e">
        <f>VLOOKUP($A54,'S50'!$C:$BQ,30,0)</f>
        <v>#N/A</v>
      </c>
      <c r="BJ54" s="115" t="e">
        <f>VLOOKUP($A54,'S50'!$C:$BQ,52,0)</f>
        <v>#N/A</v>
      </c>
      <c r="BK54" s="115" t="e">
        <f>VLOOKUP($A54,'S50'!$C:$BQ,59,0)</f>
        <v>#N/A</v>
      </c>
      <c r="BL54" s="115" t="e">
        <f>VLOOKUP($A54,'S50'!$C:$BQ,60,0)</f>
        <v>#N/A</v>
      </c>
    </row>
    <row r="55" spans="1:64" x14ac:dyDescent="0.2">
      <c r="A55" s="106" t="s">
        <v>111</v>
      </c>
      <c r="B55" s="107">
        <f>VLOOKUP($A55,'S0 remplacer avec S44'!$C:$BQ,32,0)</f>
        <v>236.2</v>
      </c>
      <c r="C55" s="107">
        <f>VLOOKUP($A55,'S0 remplacer avec S44'!$C:$BQ,39,0)</f>
        <v>102</v>
      </c>
      <c r="D55" s="107">
        <f>VLOOKUP($A55,'S0 remplacer avec S44'!$C:$BQ,40,0)</f>
        <v>169</v>
      </c>
      <c r="E55" s="107">
        <f>VLOOKUP($A55,'S0 remplacer avec S44'!$C:$BQ,22,0)</f>
        <v>1920.2623349999999</v>
      </c>
      <c r="F55" s="115">
        <f>VLOOKUP($A55,'S0 remplacer avec S44'!$C:$BQ,29,0)</f>
        <v>1149</v>
      </c>
      <c r="G55" s="115">
        <f>VLOOKUP($A55,'S0 remplacer avec S44'!$C:$BQ,30,0)</f>
        <v>1763</v>
      </c>
      <c r="H55" s="115">
        <f>VLOOKUP($A55,'S0 remplacer avec S44'!$C:$BQ,52,0)</f>
        <v>199.2</v>
      </c>
      <c r="I55" s="115">
        <f>VLOOKUP($A55,'S0 remplacer avec S44'!$C:$BQ,59,0)</f>
        <v>0</v>
      </c>
      <c r="J55" s="115">
        <f>VLOOKUP($A55,'S0 remplacer avec S44'!$C:$BQ,60,0)</f>
        <v>7</v>
      </c>
      <c r="K55" s="107" t="e">
        <f>VLOOKUP($A55,'S45'!$C:$BQ,32,0)</f>
        <v>#N/A</v>
      </c>
      <c r="L55" s="107" t="e">
        <f>VLOOKUP($A55,'S45'!$C:$BQ,39,0)</f>
        <v>#N/A</v>
      </c>
      <c r="M55" s="107" t="e">
        <f>VLOOKUP($A55,'S45'!$C:$BQ,40,0)</f>
        <v>#N/A</v>
      </c>
      <c r="N55" s="107" t="e">
        <f>VLOOKUP($A55,'S45'!$C:$BQ,22,0)</f>
        <v>#N/A</v>
      </c>
      <c r="O55" s="115" t="e">
        <f>VLOOKUP($A55,'S45'!$C:$BQ,29,0)</f>
        <v>#N/A</v>
      </c>
      <c r="P55" s="115" t="e">
        <f>VLOOKUP($A55,'S45'!$C:$BQ,30,0)</f>
        <v>#N/A</v>
      </c>
      <c r="Q55" s="115" t="e">
        <f>VLOOKUP($A55,'S45'!$C:$BQ,52,0)</f>
        <v>#N/A</v>
      </c>
      <c r="R55" s="115" t="e">
        <f>VLOOKUP($A55,'S45'!$C:$BQ,59,0)</f>
        <v>#N/A</v>
      </c>
      <c r="S55" s="115" t="e">
        <f>VLOOKUP($A55,'S45'!$C:$BQ,60,0)</f>
        <v>#N/A</v>
      </c>
      <c r="T55" s="107" t="e">
        <f>VLOOKUP($A55,'S46'!$C:$BQ,32,0)</f>
        <v>#N/A</v>
      </c>
      <c r="U55" s="107" t="e">
        <f>VLOOKUP($A55,'S46'!$C:$BQ,39,0)</f>
        <v>#N/A</v>
      </c>
      <c r="V55" s="107" t="e">
        <f>VLOOKUP($A55,'S46'!$C:$BQ,40,0)</f>
        <v>#N/A</v>
      </c>
      <c r="W55" s="107" t="e">
        <f>VLOOKUP($A55,'S46'!$C:$BQ,22,0)</f>
        <v>#N/A</v>
      </c>
      <c r="X55" s="115" t="e">
        <f>VLOOKUP($A55,'S46'!$C:$BQ,29,0)</f>
        <v>#N/A</v>
      </c>
      <c r="Y55" s="115" t="e">
        <f>VLOOKUP($A55,'S46'!$C:$BQ,30,0)</f>
        <v>#N/A</v>
      </c>
      <c r="Z55" s="115" t="e">
        <f>VLOOKUP($A55,'S46'!$C:$BQ,52,0)</f>
        <v>#N/A</v>
      </c>
      <c r="AA55" s="115" t="e">
        <f>VLOOKUP($A55,'S46'!$C:$BQ,59,0)</f>
        <v>#N/A</v>
      </c>
      <c r="AB55" s="115" t="e">
        <f>VLOOKUP($A55,'S46'!$C:$BQ,60,0)</f>
        <v>#N/A</v>
      </c>
      <c r="AC55" s="107" t="e">
        <f>VLOOKUP($A55,'S47'!$C:$BQ,32,0)</f>
        <v>#N/A</v>
      </c>
      <c r="AD55" s="107" t="e">
        <f>VLOOKUP($A55,'S47'!$C:$BQ,39,0)</f>
        <v>#N/A</v>
      </c>
      <c r="AE55" s="107" t="e">
        <f>VLOOKUP($A55,'S47'!$C:$BQ,40,0)</f>
        <v>#N/A</v>
      </c>
      <c r="AF55" s="107" t="e">
        <f>VLOOKUP($A55,'S47'!$C:$BQ,22,0)</f>
        <v>#N/A</v>
      </c>
      <c r="AG55" s="115" t="e">
        <f>VLOOKUP($A55,'S47'!$C:$BQ,29,0)</f>
        <v>#N/A</v>
      </c>
      <c r="AH55" s="115" t="e">
        <f>VLOOKUP($A55,'S47'!$C:$BQ,30,0)</f>
        <v>#N/A</v>
      </c>
      <c r="AI55" s="115" t="e">
        <f>VLOOKUP($A55,'S47'!$C:$BQ,52,0)</f>
        <v>#N/A</v>
      </c>
      <c r="AJ55" s="115" t="e">
        <f>VLOOKUP($A55,'S47'!$C:$BQ,59,0)</f>
        <v>#N/A</v>
      </c>
      <c r="AK55" s="115" t="e">
        <f>VLOOKUP($A55,'S47'!$C:$BQ,60,0)</f>
        <v>#N/A</v>
      </c>
      <c r="AL55" s="107" t="e">
        <f>VLOOKUP($A55,'S48'!$C:$BQ,32,0)</f>
        <v>#N/A</v>
      </c>
      <c r="AM55" s="107" t="e">
        <f>VLOOKUP($A55,'S48'!$C:$BQ,39,0)</f>
        <v>#N/A</v>
      </c>
      <c r="AN55" s="107" t="e">
        <f>VLOOKUP($A55,'S48'!$C:$BQ,40,0)</f>
        <v>#N/A</v>
      </c>
      <c r="AO55" s="107" t="e">
        <f>VLOOKUP($A55,'S48'!$C:$BQ,22,0)</f>
        <v>#N/A</v>
      </c>
      <c r="AP55" s="115" t="e">
        <f>VLOOKUP($A55,'S48'!$C:$BQ,29,0)</f>
        <v>#N/A</v>
      </c>
      <c r="AQ55" s="115" t="e">
        <f>VLOOKUP($A55,'S48'!$C:$BQ,30,0)</f>
        <v>#N/A</v>
      </c>
      <c r="AR55" s="115" t="e">
        <f>VLOOKUP($A55,'S48'!$C:$BQ,52,0)</f>
        <v>#N/A</v>
      </c>
      <c r="AS55" s="115" t="e">
        <f>VLOOKUP($A55,'S48'!$C:$BQ,59,0)</f>
        <v>#N/A</v>
      </c>
      <c r="AT55" s="115" t="e">
        <f>VLOOKUP($A55,'S48'!$C:$BQ,60,0)</f>
        <v>#N/A</v>
      </c>
      <c r="AU55" s="107" t="e">
        <f>VLOOKUP($A55,'S49'!$C:$BQ,32,0)</f>
        <v>#N/A</v>
      </c>
      <c r="AV55" s="107" t="e">
        <f>VLOOKUP($A55,'S49'!$C:$BQ,39,0)</f>
        <v>#N/A</v>
      </c>
      <c r="AW55" s="107" t="e">
        <f>VLOOKUP($A55,'S49'!$C:$BQ,40,0)</f>
        <v>#N/A</v>
      </c>
      <c r="AX55" s="107" t="e">
        <f>VLOOKUP($A55,'S49'!$C:$BQ,22,0)</f>
        <v>#N/A</v>
      </c>
      <c r="AY55" s="115" t="e">
        <f>VLOOKUP($A55,'S49'!$C:$BQ,29,0)</f>
        <v>#N/A</v>
      </c>
      <c r="AZ55" s="115" t="e">
        <f>VLOOKUP($A55,'S49'!$C:$BQ,30,0)</f>
        <v>#N/A</v>
      </c>
      <c r="BA55" s="115" t="e">
        <f>VLOOKUP($A55,'S49'!$C:$BQ,52,0)</f>
        <v>#N/A</v>
      </c>
      <c r="BB55" s="115" t="e">
        <f>VLOOKUP($A55,'S49'!$C:$BQ,59,0)</f>
        <v>#N/A</v>
      </c>
      <c r="BC55" s="115" t="e">
        <f>VLOOKUP($A55,'S49'!$C:$BQ,60,0)</f>
        <v>#N/A</v>
      </c>
      <c r="BD55" s="107" t="e">
        <f>VLOOKUP($A55,'S50'!$C:$BQ,32,0)</f>
        <v>#N/A</v>
      </c>
      <c r="BE55" s="107" t="e">
        <f>VLOOKUP($A55,'S50'!$C:$BQ,39,0)</f>
        <v>#N/A</v>
      </c>
      <c r="BF55" s="107" t="e">
        <f>VLOOKUP($A55,'S50'!$C:$BQ,40,0)</f>
        <v>#N/A</v>
      </c>
      <c r="BG55" s="107" t="e">
        <f>VLOOKUP($A55,'S50'!$C:$BQ,22,0)</f>
        <v>#N/A</v>
      </c>
      <c r="BH55" s="115" t="e">
        <f>VLOOKUP($A55,'S50'!$C:$BQ,29,0)</f>
        <v>#N/A</v>
      </c>
      <c r="BI55" s="115" t="e">
        <f>VLOOKUP($A55,'S50'!$C:$BQ,30,0)</f>
        <v>#N/A</v>
      </c>
      <c r="BJ55" s="115" t="e">
        <f>VLOOKUP($A55,'S50'!$C:$BQ,52,0)</f>
        <v>#N/A</v>
      </c>
      <c r="BK55" s="115" t="e">
        <f>VLOOKUP($A55,'S50'!$C:$BQ,59,0)</f>
        <v>#N/A</v>
      </c>
      <c r="BL55" s="115" t="e">
        <f>VLOOKUP($A55,'S50'!$C:$BQ,60,0)</f>
        <v>#N/A</v>
      </c>
    </row>
    <row r="56" spans="1:64" x14ac:dyDescent="0.2">
      <c r="A56" s="106" t="s">
        <v>112</v>
      </c>
      <c r="B56" s="107">
        <f>VLOOKUP($A56,'S0 remplacer avec S44'!$C:$BQ,32,0)</f>
        <v>61.3</v>
      </c>
      <c r="C56" s="107">
        <f>VLOOKUP($A56,'S0 remplacer avec S44'!$C:$BQ,39,0)</f>
        <v>26</v>
      </c>
      <c r="D56" s="107">
        <f>VLOOKUP($A56,'S0 remplacer avec S44'!$C:$BQ,40,0)</f>
        <v>44</v>
      </c>
      <c r="E56" s="107">
        <f>VLOOKUP($A56,'S0 remplacer avec S44'!$C:$BQ,22,0)</f>
        <v>699.18479000000002</v>
      </c>
      <c r="F56" s="115">
        <f>VLOOKUP($A56,'S0 remplacer avec S44'!$C:$BQ,29,0)</f>
        <v>94</v>
      </c>
      <c r="G56" s="115">
        <f>VLOOKUP($A56,'S0 remplacer avec S44'!$C:$BQ,30,0)</f>
        <v>252</v>
      </c>
      <c r="H56" s="115">
        <f>VLOOKUP($A56,'S0 remplacer avec S44'!$C:$BQ,52,0)</f>
        <v>34</v>
      </c>
      <c r="I56" s="115">
        <f>VLOOKUP($A56,'S0 remplacer avec S44'!$C:$BQ,59,0)</f>
        <v>11</v>
      </c>
      <c r="J56" s="115">
        <f>VLOOKUP($A56,'S0 remplacer avec S44'!$C:$BQ,60,0)</f>
        <v>20</v>
      </c>
      <c r="K56" s="107" t="e">
        <f>VLOOKUP($A56,'S45'!$C:$BQ,32,0)</f>
        <v>#N/A</v>
      </c>
      <c r="L56" s="107" t="e">
        <f>VLOOKUP($A56,'S45'!$C:$BQ,39,0)</f>
        <v>#N/A</v>
      </c>
      <c r="M56" s="107" t="e">
        <f>VLOOKUP($A56,'S45'!$C:$BQ,40,0)</f>
        <v>#N/A</v>
      </c>
      <c r="N56" s="107" t="e">
        <f>VLOOKUP($A56,'S45'!$C:$BQ,22,0)</f>
        <v>#N/A</v>
      </c>
      <c r="O56" s="115" t="e">
        <f>VLOOKUP($A56,'S45'!$C:$BQ,29,0)</f>
        <v>#N/A</v>
      </c>
      <c r="P56" s="115" t="e">
        <f>VLOOKUP($A56,'S45'!$C:$BQ,30,0)</f>
        <v>#N/A</v>
      </c>
      <c r="Q56" s="115" t="e">
        <f>VLOOKUP($A56,'S45'!$C:$BQ,52,0)</f>
        <v>#N/A</v>
      </c>
      <c r="R56" s="115" t="e">
        <f>VLOOKUP($A56,'S45'!$C:$BQ,59,0)</f>
        <v>#N/A</v>
      </c>
      <c r="S56" s="115" t="e">
        <f>VLOOKUP($A56,'S45'!$C:$BQ,60,0)</f>
        <v>#N/A</v>
      </c>
      <c r="T56" s="107" t="e">
        <f>VLOOKUP($A56,'S46'!$C:$BQ,32,0)</f>
        <v>#N/A</v>
      </c>
      <c r="U56" s="107" t="e">
        <f>VLOOKUP($A56,'S46'!$C:$BQ,39,0)</f>
        <v>#N/A</v>
      </c>
      <c r="V56" s="107" t="e">
        <f>VLOOKUP($A56,'S46'!$C:$BQ,40,0)</f>
        <v>#N/A</v>
      </c>
      <c r="W56" s="107" t="e">
        <f>VLOOKUP($A56,'S46'!$C:$BQ,22,0)</f>
        <v>#N/A</v>
      </c>
      <c r="X56" s="115" t="e">
        <f>VLOOKUP($A56,'S46'!$C:$BQ,29,0)</f>
        <v>#N/A</v>
      </c>
      <c r="Y56" s="115" t="e">
        <f>VLOOKUP($A56,'S46'!$C:$BQ,30,0)</f>
        <v>#N/A</v>
      </c>
      <c r="Z56" s="115" t="e">
        <f>VLOOKUP($A56,'S46'!$C:$BQ,52,0)</f>
        <v>#N/A</v>
      </c>
      <c r="AA56" s="115" t="e">
        <f>VLOOKUP($A56,'S46'!$C:$BQ,59,0)</f>
        <v>#N/A</v>
      </c>
      <c r="AB56" s="115" t="e">
        <f>VLOOKUP($A56,'S46'!$C:$BQ,60,0)</f>
        <v>#N/A</v>
      </c>
      <c r="AC56" s="107" t="e">
        <f>VLOOKUP($A56,'S47'!$C:$BQ,32,0)</f>
        <v>#N/A</v>
      </c>
      <c r="AD56" s="107" t="e">
        <f>VLOOKUP($A56,'S47'!$C:$BQ,39,0)</f>
        <v>#N/A</v>
      </c>
      <c r="AE56" s="107" t="e">
        <f>VLOOKUP($A56,'S47'!$C:$BQ,40,0)</f>
        <v>#N/A</v>
      </c>
      <c r="AF56" s="107" t="e">
        <f>VLOOKUP($A56,'S47'!$C:$BQ,22,0)</f>
        <v>#N/A</v>
      </c>
      <c r="AG56" s="115" t="e">
        <f>VLOOKUP($A56,'S47'!$C:$BQ,29,0)</f>
        <v>#N/A</v>
      </c>
      <c r="AH56" s="115" t="e">
        <f>VLOOKUP($A56,'S47'!$C:$BQ,30,0)</f>
        <v>#N/A</v>
      </c>
      <c r="AI56" s="115" t="e">
        <f>VLOOKUP($A56,'S47'!$C:$BQ,52,0)</f>
        <v>#N/A</v>
      </c>
      <c r="AJ56" s="115" t="e">
        <f>VLOOKUP($A56,'S47'!$C:$BQ,59,0)</f>
        <v>#N/A</v>
      </c>
      <c r="AK56" s="115" t="e">
        <f>VLOOKUP($A56,'S47'!$C:$BQ,60,0)</f>
        <v>#N/A</v>
      </c>
      <c r="AL56" s="107" t="e">
        <f>VLOOKUP($A56,'S48'!$C:$BQ,32,0)</f>
        <v>#N/A</v>
      </c>
      <c r="AM56" s="107" t="e">
        <f>VLOOKUP($A56,'S48'!$C:$BQ,39,0)</f>
        <v>#N/A</v>
      </c>
      <c r="AN56" s="107" t="e">
        <f>VLOOKUP($A56,'S48'!$C:$BQ,40,0)</f>
        <v>#N/A</v>
      </c>
      <c r="AO56" s="107" t="e">
        <f>VLOOKUP($A56,'S48'!$C:$BQ,22,0)</f>
        <v>#N/A</v>
      </c>
      <c r="AP56" s="115" t="e">
        <f>VLOOKUP($A56,'S48'!$C:$BQ,29,0)</f>
        <v>#N/A</v>
      </c>
      <c r="AQ56" s="115" t="e">
        <f>VLOOKUP($A56,'S48'!$C:$BQ,30,0)</f>
        <v>#N/A</v>
      </c>
      <c r="AR56" s="115" t="e">
        <f>VLOOKUP($A56,'S48'!$C:$BQ,52,0)</f>
        <v>#N/A</v>
      </c>
      <c r="AS56" s="115" t="e">
        <f>VLOOKUP($A56,'S48'!$C:$BQ,59,0)</f>
        <v>#N/A</v>
      </c>
      <c r="AT56" s="115" t="e">
        <f>VLOOKUP($A56,'S48'!$C:$BQ,60,0)</f>
        <v>#N/A</v>
      </c>
      <c r="AU56" s="107" t="e">
        <f>VLOOKUP($A56,'S49'!$C:$BQ,32,0)</f>
        <v>#N/A</v>
      </c>
      <c r="AV56" s="107" t="e">
        <f>VLOOKUP($A56,'S49'!$C:$BQ,39,0)</f>
        <v>#N/A</v>
      </c>
      <c r="AW56" s="107" t="e">
        <f>VLOOKUP($A56,'S49'!$C:$BQ,40,0)</f>
        <v>#N/A</v>
      </c>
      <c r="AX56" s="107" t="e">
        <f>VLOOKUP($A56,'S49'!$C:$BQ,22,0)</f>
        <v>#N/A</v>
      </c>
      <c r="AY56" s="115" t="e">
        <f>VLOOKUP($A56,'S49'!$C:$BQ,29,0)</f>
        <v>#N/A</v>
      </c>
      <c r="AZ56" s="115" t="e">
        <f>VLOOKUP($A56,'S49'!$C:$BQ,30,0)</f>
        <v>#N/A</v>
      </c>
      <c r="BA56" s="115" t="e">
        <f>VLOOKUP($A56,'S49'!$C:$BQ,52,0)</f>
        <v>#N/A</v>
      </c>
      <c r="BB56" s="115" t="e">
        <f>VLOOKUP($A56,'S49'!$C:$BQ,59,0)</f>
        <v>#N/A</v>
      </c>
      <c r="BC56" s="115" t="e">
        <f>VLOOKUP($A56,'S49'!$C:$BQ,60,0)</f>
        <v>#N/A</v>
      </c>
      <c r="BD56" s="107" t="e">
        <f>VLOOKUP($A56,'S50'!$C:$BQ,32,0)</f>
        <v>#N/A</v>
      </c>
      <c r="BE56" s="107" t="e">
        <f>VLOOKUP($A56,'S50'!$C:$BQ,39,0)</f>
        <v>#N/A</v>
      </c>
      <c r="BF56" s="107" t="e">
        <f>VLOOKUP($A56,'S50'!$C:$BQ,40,0)</f>
        <v>#N/A</v>
      </c>
      <c r="BG56" s="107" t="e">
        <f>VLOOKUP($A56,'S50'!$C:$BQ,22,0)</f>
        <v>#N/A</v>
      </c>
      <c r="BH56" s="115" t="e">
        <f>VLOOKUP($A56,'S50'!$C:$BQ,29,0)</f>
        <v>#N/A</v>
      </c>
      <c r="BI56" s="115" t="e">
        <f>VLOOKUP($A56,'S50'!$C:$BQ,30,0)</f>
        <v>#N/A</v>
      </c>
      <c r="BJ56" s="115" t="e">
        <f>VLOOKUP($A56,'S50'!$C:$BQ,52,0)</f>
        <v>#N/A</v>
      </c>
      <c r="BK56" s="115" t="e">
        <f>VLOOKUP($A56,'S50'!$C:$BQ,59,0)</f>
        <v>#N/A</v>
      </c>
      <c r="BL56" s="115" t="e">
        <f>VLOOKUP($A56,'S50'!$C:$BQ,60,0)</f>
        <v>#N/A</v>
      </c>
    </row>
    <row r="57" spans="1:64" x14ac:dyDescent="0.2">
      <c r="A57" s="106" t="s">
        <v>113</v>
      </c>
      <c r="B57" s="107">
        <f>VLOOKUP($A57,'S0 remplacer avec S44'!$C:$BQ,32,0)</f>
        <v>169.8</v>
      </c>
      <c r="C57" s="107">
        <f>VLOOKUP($A57,'S0 remplacer avec S44'!$C:$BQ,39,0)</f>
        <v>20</v>
      </c>
      <c r="D57" s="107">
        <f>VLOOKUP($A57,'S0 remplacer avec S44'!$C:$BQ,40,0)</f>
        <v>58</v>
      </c>
      <c r="E57" s="107">
        <f>VLOOKUP($A57,'S0 remplacer avec S44'!$C:$BQ,22,0)</f>
        <v>2018.4277300000001</v>
      </c>
      <c r="F57" s="115">
        <f>VLOOKUP($A57,'S0 remplacer avec S44'!$C:$BQ,29,0)</f>
        <v>0</v>
      </c>
      <c r="G57" s="115">
        <f>VLOOKUP($A57,'S0 remplacer avec S44'!$C:$BQ,30,0)</f>
        <v>47</v>
      </c>
      <c r="H57" s="115">
        <f>VLOOKUP($A57,'S0 remplacer avec S44'!$C:$BQ,52,0)</f>
        <v>130.80000000000001</v>
      </c>
      <c r="I57" s="115">
        <f>VLOOKUP($A57,'S0 remplacer avec S44'!$C:$BQ,59,0)</f>
        <v>0</v>
      </c>
      <c r="J57" s="115">
        <f>VLOOKUP($A57,'S0 remplacer avec S44'!$C:$BQ,60,0)</f>
        <v>0</v>
      </c>
      <c r="K57" s="107" t="e">
        <f>VLOOKUP($A57,'S45'!$C:$BQ,32,0)</f>
        <v>#N/A</v>
      </c>
      <c r="L57" s="107" t="e">
        <f>VLOOKUP($A57,'S45'!$C:$BQ,39,0)</f>
        <v>#N/A</v>
      </c>
      <c r="M57" s="107" t="e">
        <f>VLOOKUP($A57,'S45'!$C:$BQ,40,0)</f>
        <v>#N/A</v>
      </c>
      <c r="N57" s="107" t="e">
        <f>VLOOKUP($A57,'S45'!$C:$BQ,22,0)</f>
        <v>#N/A</v>
      </c>
      <c r="O57" s="115" t="e">
        <f>VLOOKUP($A57,'S45'!$C:$BQ,29,0)</f>
        <v>#N/A</v>
      </c>
      <c r="P57" s="115" t="e">
        <f>VLOOKUP($A57,'S45'!$C:$BQ,30,0)</f>
        <v>#N/A</v>
      </c>
      <c r="Q57" s="115" t="e">
        <f>VLOOKUP($A57,'S45'!$C:$BQ,52,0)</f>
        <v>#N/A</v>
      </c>
      <c r="R57" s="115" t="e">
        <f>VLOOKUP($A57,'S45'!$C:$BQ,59,0)</f>
        <v>#N/A</v>
      </c>
      <c r="S57" s="115" t="e">
        <f>VLOOKUP($A57,'S45'!$C:$BQ,60,0)</f>
        <v>#N/A</v>
      </c>
      <c r="T57" s="107" t="e">
        <f>VLOOKUP($A57,'S46'!$C:$BQ,32,0)</f>
        <v>#N/A</v>
      </c>
      <c r="U57" s="107" t="e">
        <f>VLOOKUP($A57,'S46'!$C:$BQ,39,0)</f>
        <v>#N/A</v>
      </c>
      <c r="V57" s="107" t="e">
        <f>VLOOKUP($A57,'S46'!$C:$BQ,40,0)</f>
        <v>#N/A</v>
      </c>
      <c r="W57" s="107" t="e">
        <f>VLOOKUP($A57,'S46'!$C:$BQ,22,0)</f>
        <v>#N/A</v>
      </c>
      <c r="X57" s="115" t="e">
        <f>VLOOKUP($A57,'S46'!$C:$BQ,29,0)</f>
        <v>#N/A</v>
      </c>
      <c r="Y57" s="115" t="e">
        <f>VLOOKUP($A57,'S46'!$C:$BQ,30,0)</f>
        <v>#N/A</v>
      </c>
      <c r="Z57" s="115" t="e">
        <f>VLOOKUP($A57,'S46'!$C:$BQ,52,0)</f>
        <v>#N/A</v>
      </c>
      <c r="AA57" s="115" t="e">
        <f>VLOOKUP($A57,'S46'!$C:$BQ,59,0)</f>
        <v>#N/A</v>
      </c>
      <c r="AB57" s="115" t="e">
        <f>VLOOKUP($A57,'S46'!$C:$BQ,60,0)</f>
        <v>#N/A</v>
      </c>
      <c r="AC57" s="107" t="e">
        <f>VLOOKUP($A57,'S47'!$C:$BQ,32,0)</f>
        <v>#N/A</v>
      </c>
      <c r="AD57" s="107" t="e">
        <f>VLOOKUP($A57,'S47'!$C:$BQ,39,0)</f>
        <v>#N/A</v>
      </c>
      <c r="AE57" s="107" t="e">
        <f>VLOOKUP($A57,'S47'!$C:$BQ,40,0)</f>
        <v>#N/A</v>
      </c>
      <c r="AF57" s="107" t="e">
        <f>VLOOKUP($A57,'S47'!$C:$BQ,22,0)</f>
        <v>#N/A</v>
      </c>
      <c r="AG57" s="115" t="e">
        <f>VLOOKUP($A57,'S47'!$C:$BQ,29,0)</f>
        <v>#N/A</v>
      </c>
      <c r="AH57" s="115" t="e">
        <f>VLOOKUP($A57,'S47'!$C:$BQ,30,0)</f>
        <v>#N/A</v>
      </c>
      <c r="AI57" s="115" t="e">
        <f>VLOOKUP($A57,'S47'!$C:$BQ,52,0)</f>
        <v>#N/A</v>
      </c>
      <c r="AJ57" s="115" t="e">
        <f>VLOOKUP($A57,'S47'!$C:$BQ,59,0)</f>
        <v>#N/A</v>
      </c>
      <c r="AK57" s="115" t="e">
        <f>VLOOKUP($A57,'S47'!$C:$BQ,60,0)</f>
        <v>#N/A</v>
      </c>
      <c r="AL57" s="107" t="e">
        <f>VLOOKUP($A57,'S48'!$C:$BQ,32,0)</f>
        <v>#N/A</v>
      </c>
      <c r="AM57" s="107" t="e">
        <f>VLOOKUP($A57,'S48'!$C:$BQ,39,0)</f>
        <v>#N/A</v>
      </c>
      <c r="AN57" s="107" t="e">
        <f>VLOOKUP($A57,'S48'!$C:$BQ,40,0)</f>
        <v>#N/A</v>
      </c>
      <c r="AO57" s="107" t="e">
        <f>VLOOKUP($A57,'S48'!$C:$BQ,22,0)</f>
        <v>#N/A</v>
      </c>
      <c r="AP57" s="115" t="e">
        <f>VLOOKUP($A57,'S48'!$C:$BQ,29,0)</f>
        <v>#N/A</v>
      </c>
      <c r="AQ57" s="115" t="e">
        <f>VLOOKUP($A57,'S48'!$C:$BQ,30,0)</f>
        <v>#N/A</v>
      </c>
      <c r="AR57" s="115" t="e">
        <f>VLOOKUP($A57,'S48'!$C:$BQ,52,0)</f>
        <v>#N/A</v>
      </c>
      <c r="AS57" s="115" t="e">
        <f>VLOOKUP($A57,'S48'!$C:$BQ,59,0)</f>
        <v>#N/A</v>
      </c>
      <c r="AT57" s="115" t="e">
        <f>VLOOKUP($A57,'S48'!$C:$BQ,60,0)</f>
        <v>#N/A</v>
      </c>
      <c r="AU57" s="107" t="e">
        <f>VLOOKUP($A57,'S49'!$C:$BQ,32,0)</f>
        <v>#N/A</v>
      </c>
      <c r="AV57" s="107" t="e">
        <f>VLOOKUP($A57,'S49'!$C:$BQ,39,0)</f>
        <v>#N/A</v>
      </c>
      <c r="AW57" s="107" t="e">
        <f>VLOOKUP($A57,'S49'!$C:$BQ,40,0)</f>
        <v>#N/A</v>
      </c>
      <c r="AX57" s="107" t="e">
        <f>VLOOKUP($A57,'S49'!$C:$BQ,22,0)</f>
        <v>#N/A</v>
      </c>
      <c r="AY57" s="115" t="e">
        <f>VLOOKUP($A57,'S49'!$C:$BQ,29,0)</f>
        <v>#N/A</v>
      </c>
      <c r="AZ57" s="115" t="e">
        <f>VLOOKUP($A57,'S49'!$C:$BQ,30,0)</f>
        <v>#N/A</v>
      </c>
      <c r="BA57" s="115" t="e">
        <f>VLOOKUP($A57,'S49'!$C:$BQ,52,0)</f>
        <v>#N/A</v>
      </c>
      <c r="BB57" s="115" t="e">
        <f>VLOOKUP($A57,'S49'!$C:$BQ,59,0)</f>
        <v>#N/A</v>
      </c>
      <c r="BC57" s="115" t="e">
        <f>VLOOKUP($A57,'S49'!$C:$BQ,60,0)</f>
        <v>#N/A</v>
      </c>
      <c r="BD57" s="107" t="e">
        <f>VLOOKUP($A57,'S50'!$C:$BQ,32,0)</f>
        <v>#N/A</v>
      </c>
      <c r="BE57" s="107" t="e">
        <f>VLOOKUP($A57,'S50'!$C:$BQ,39,0)</f>
        <v>#N/A</v>
      </c>
      <c r="BF57" s="107" t="e">
        <f>VLOOKUP($A57,'S50'!$C:$BQ,40,0)</f>
        <v>#N/A</v>
      </c>
      <c r="BG57" s="107" t="e">
        <f>VLOOKUP($A57,'S50'!$C:$BQ,22,0)</f>
        <v>#N/A</v>
      </c>
      <c r="BH57" s="115" t="e">
        <f>VLOOKUP($A57,'S50'!$C:$BQ,29,0)</f>
        <v>#N/A</v>
      </c>
      <c r="BI57" s="115" t="e">
        <f>VLOOKUP($A57,'S50'!$C:$BQ,30,0)</f>
        <v>#N/A</v>
      </c>
      <c r="BJ57" s="115" t="e">
        <f>VLOOKUP($A57,'S50'!$C:$BQ,52,0)</f>
        <v>#N/A</v>
      </c>
      <c r="BK57" s="115" t="e">
        <f>VLOOKUP($A57,'S50'!$C:$BQ,59,0)</f>
        <v>#N/A</v>
      </c>
      <c r="BL57" s="115" t="e">
        <f>VLOOKUP($A57,'S50'!$C:$BQ,60,0)</f>
        <v>#N/A</v>
      </c>
    </row>
    <row r="58" spans="1:64" x14ac:dyDescent="0.2">
      <c r="A58" s="106" t="s">
        <v>114</v>
      </c>
      <c r="B58" s="107">
        <f>VLOOKUP($A58,'S0 remplacer avec S44'!$C:$BQ,32,0)</f>
        <v>415.3</v>
      </c>
      <c r="C58" s="107">
        <f>VLOOKUP($A58,'S0 remplacer avec S44'!$C:$BQ,39,0)</f>
        <v>95</v>
      </c>
      <c r="D58" s="107">
        <f>VLOOKUP($A58,'S0 remplacer avec S44'!$C:$BQ,40,0)</f>
        <v>197</v>
      </c>
      <c r="E58" s="107">
        <f>VLOOKUP($A58,'S0 remplacer avec S44'!$C:$BQ,22,0)</f>
        <v>4865.2485100000004</v>
      </c>
      <c r="F58" s="115">
        <f>VLOOKUP($A58,'S0 remplacer avec S44'!$C:$BQ,29,0)</f>
        <v>0</v>
      </c>
      <c r="G58" s="115">
        <f>VLOOKUP($A58,'S0 remplacer avec S44'!$C:$BQ,30,0)</f>
        <v>703</v>
      </c>
      <c r="H58" s="115">
        <f>VLOOKUP($A58,'S0 remplacer avec S44'!$C:$BQ,52,0)</f>
        <v>294.60000000000002</v>
      </c>
      <c r="I58" s="115">
        <f>VLOOKUP($A58,'S0 remplacer avec S44'!$C:$BQ,59,0)</f>
        <v>0</v>
      </c>
      <c r="J58" s="115">
        <f>VLOOKUP($A58,'S0 remplacer avec S44'!$C:$BQ,60,0)</f>
        <v>17</v>
      </c>
      <c r="K58" s="107" t="e">
        <f>VLOOKUP($A58,'S45'!$C:$BQ,32,0)</f>
        <v>#N/A</v>
      </c>
      <c r="L58" s="107" t="e">
        <f>VLOOKUP($A58,'S45'!$C:$BQ,39,0)</f>
        <v>#N/A</v>
      </c>
      <c r="M58" s="107" t="e">
        <f>VLOOKUP($A58,'S45'!$C:$BQ,40,0)</f>
        <v>#N/A</v>
      </c>
      <c r="N58" s="107" t="e">
        <f>VLOOKUP($A58,'S45'!$C:$BQ,22,0)</f>
        <v>#N/A</v>
      </c>
      <c r="O58" s="115" t="e">
        <f>VLOOKUP($A58,'S45'!$C:$BQ,29,0)</f>
        <v>#N/A</v>
      </c>
      <c r="P58" s="115" t="e">
        <f>VLOOKUP($A58,'S45'!$C:$BQ,30,0)</f>
        <v>#N/A</v>
      </c>
      <c r="Q58" s="115" t="e">
        <f>VLOOKUP($A58,'S45'!$C:$BQ,52,0)</f>
        <v>#N/A</v>
      </c>
      <c r="R58" s="115" t="e">
        <f>VLOOKUP($A58,'S45'!$C:$BQ,59,0)</f>
        <v>#N/A</v>
      </c>
      <c r="S58" s="115" t="e">
        <f>VLOOKUP($A58,'S45'!$C:$BQ,60,0)</f>
        <v>#N/A</v>
      </c>
      <c r="T58" s="107" t="e">
        <f>VLOOKUP($A58,'S46'!$C:$BQ,32,0)</f>
        <v>#N/A</v>
      </c>
      <c r="U58" s="107" t="e">
        <f>VLOOKUP($A58,'S46'!$C:$BQ,39,0)</f>
        <v>#N/A</v>
      </c>
      <c r="V58" s="107" t="e">
        <f>VLOOKUP($A58,'S46'!$C:$BQ,40,0)</f>
        <v>#N/A</v>
      </c>
      <c r="W58" s="107" t="e">
        <f>VLOOKUP($A58,'S46'!$C:$BQ,22,0)</f>
        <v>#N/A</v>
      </c>
      <c r="X58" s="115" t="e">
        <f>VLOOKUP($A58,'S46'!$C:$BQ,29,0)</f>
        <v>#N/A</v>
      </c>
      <c r="Y58" s="115" t="e">
        <f>VLOOKUP($A58,'S46'!$C:$BQ,30,0)</f>
        <v>#N/A</v>
      </c>
      <c r="Z58" s="115" t="e">
        <f>VLOOKUP($A58,'S46'!$C:$BQ,52,0)</f>
        <v>#N/A</v>
      </c>
      <c r="AA58" s="115" t="e">
        <f>VLOOKUP($A58,'S46'!$C:$BQ,59,0)</f>
        <v>#N/A</v>
      </c>
      <c r="AB58" s="115" t="e">
        <f>VLOOKUP($A58,'S46'!$C:$BQ,60,0)</f>
        <v>#N/A</v>
      </c>
      <c r="AC58" s="107" t="e">
        <f>VLOOKUP($A58,'S47'!$C:$BQ,32,0)</f>
        <v>#N/A</v>
      </c>
      <c r="AD58" s="107" t="e">
        <f>VLOOKUP($A58,'S47'!$C:$BQ,39,0)</f>
        <v>#N/A</v>
      </c>
      <c r="AE58" s="107" t="e">
        <f>VLOOKUP($A58,'S47'!$C:$BQ,40,0)</f>
        <v>#N/A</v>
      </c>
      <c r="AF58" s="107" t="e">
        <f>VLOOKUP($A58,'S47'!$C:$BQ,22,0)</f>
        <v>#N/A</v>
      </c>
      <c r="AG58" s="115" t="e">
        <f>VLOOKUP($A58,'S47'!$C:$BQ,29,0)</f>
        <v>#N/A</v>
      </c>
      <c r="AH58" s="115" t="e">
        <f>VLOOKUP($A58,'S47'!$C:$BQ,30,0)</f>
        <v>#N/A</v>
      </c>
      <c r="AI58" s="115" t="e">
        <f>VLOOKUP($A58,'S47'!$C:$BQ,52,0)</f>
        <v>#N/A</v>
      </c>
      <c r="AJ58" s="115" t="e">
        <f>VLOOKUP($A58,'S47'!$C:$BQ,59,0)</f>
        <v>#N/A</v>
      </c>
      <c r="AK58" s="115" t="e">
        <f>VLOOKUP($A58,'S47'!$C:$BQ,60,0)</f>
        <v>#N/A</v>
      </c>
      <c r="AL58" s="107" t="e">
        <f>VLOOKUP($A58,'S48'!$C:$BQ,32,0)</f>
        <v>#N/A</v>
      </c>
      <c r="AM58" s="107" t="e">
        <f>VLOOKUP($A58,'S48'!$C:$BQ,39,0)</f>
        <v>#N/A</v>
      </c>
      <c r="AN58" s="107" t="e">
        <f>VLOOKUP($A58,'S48'!$C:$BQ,40,0)</f>
        <v>#N/A</v>
      </c>
      <c r="AO58" s="107" t="e">
        <f>VLOOKUP($A58,'S48'!$C:$BQ,22,0)</f>
        <v>#N/A</v>
      </c>
      <c r="AP58" s="115" t="e">
        <f>VLOOKUP($A58,'S48'!$C:$BQ,29,0)</f>
        <v>#N/A</v>
      </c>
      <c r="AQ58" s="115" t="e">
        <f>VLOOKUP($A58,'S48'!$C:$BQ,30,0)</f>
        <v>#N/A</v>
      </c>
      <c r="AR58" s="115" t="e">
        <f>VLOOKUP($A58,'S48'!$C:$BQ,52,0)</f>
        <v>#N/A</v>
      </c>
      <c r="AS58" s="115" t="e">
        <f>VLOOKUP($A58,'S48'!$C:$BQ,59,0)</f>
        <v>#N/A</v>
      </c>
      <c r="AT58" s="115" t="e">
        <f>VLOOKUP($A58,'S48'!$C:$BQ,60,0)</f>
        <v>#N/A</v>
      </c>
      <c r="AU58" s="107" t="e">
        <f>VLOOKUP($A58,'S49'!$C:$BQ,32,0)</f>
        <v>#N/A</v>
      </c>
      <c r="AV58" s="107" t="e">
        <f>VLOOKUP($A58,'S49'!$C:$BQ,39,0)</f>
        <v>#N/A</v>
      </c>
      <c r="AW58" s="107" t="e">
        <f>VLOOKUP($A58,'S49'!$C:$BQ,40,0)</f>
        <v>#N/A</v>
      </c>
      <c r="AX58" s="107" t="e">
        <f>VLOOKUP($A58,'S49'!$C:$BQ,22,0)</f>
        <v>#N/A</v>
      </c>
      <c r="AY58" s="115" t="e">
        <f>VLOOKUP($A58,'S49'!$C:$BQ,29,0)</f>
        <v>#N/A</v>
      </c>
      <c r="AZ58" s="115" t="e">
        <f>VLOOKUP($A58,'S49'!$C:$BQ,30,0)</f>
        <v>#N/A</v>
      </c>
      <c r="BA58" s="115" t="e">
        <f>VLOOKUP($A58,'S49'!$C:$BQ,52,0)</f>
        <v>#N/A</v>
      </c>
      <c r="BB58" s="115" t="e">
        <f>VLOOKUP($A58,'S49'!$C:$BQ,59,0)</f>
        <v>#N/A</v>
      </c>
      <c r="BC58" s="115" t="e">
        <f>VLOOKUP($A58,'S49'!$C:$BQ,60,0)</f>
        <v>#N/A</v>
      </c>
      <c r="BD58" s="107" t="e">
        <f>VLOOKUP($A58,'S50'!$C:$BQ,32,0)</f>
        <v>#N/A</v>
      </c>
      <c r="BE58" s="107" t="e">
        <f>VLOOKUP($A58,'S50'!$C:$BQ,39,0)</f>
        <v>#N/A</v>
      </c>
      <c r="BF58" s="107" t="e">
        <f>VLOOKUP($A58,'S50'!$C:$BQ,40,0)</f>
        <v>#N/A</v>
      </c>
      <c r="BG58" s="107" t="e">
        <f>VLOOKUP($A58,'S50'!$C:$BQ,22,0)</f>
        <v>#N/A</v>
      </c>
      <c r="BH58" s="115" t="e">
        <f>VLOOKUP($A58,'S50'!$C:$BQ,29,0)</f>
        <v>#N/A</v>
      </c>
      <c r="BI58" s="115" t="e">
        <f>VLOOKUP($A58,'S50'!$C:$BQ,30,0)</f>
        <v>#N/A</v>
      </c>
      <c r="BJ58" s="115" t="e">
        <f>VLOOKUP($A58,'S50'!$C:$BQ,52,0)</f>
        <v>#N/A</v>
      </c>
      <c r="BK58" s="115" t="e">
        <f>VLOOKUP($A58,'S50'!$C:$BQ,59,0)</f>
        <v>#N/A</v>
      </c>
      <c r="BL58" s="115" t="e">
        <f>VLOOKUP($A58,'S50'!$C:$BQ,60,0)</f>
        <v>#N/A</v>
      </c>
    </row>
    <row r="59" spans="1:64" x14ac:dyDescent="0.2">
      <c r="A59" s="106" t="s">
        <v>115</v>
      </c>
      <c r="B59" s="107">
        <f>VLOOKUP($A59,'S0 remplacer avec S44'!$C:$BQ,32,0)</f>
        <v>135.9</v>
      </c>
      <c r="C59" s="107">
        <f>VLOOKUP($A59,'S0 remplacer avec S44'!$C:$BQ,39,0)</f>
        <v>0</v>
      </c>
      <c r="D59" s="107">
        <f>VLOOKUP($A59,'S0 remplacer avec S44'!$C:$BQ,40,0)</f>
        <v>8</v>
      </c>
      <c r="E59" s="107">
        <f>VLOOKUP($A59,'S0 remplacer avec S44'!$C:$BQ,22,0)</f>
        <v>1069.90086</v>
      </c>
      <c r="F59" s="115">
        <f>VLOOKUP($A59,'S0 remplacer avec S44'!$C:$BQ,29,0)</f>
        <v>17</v>
      </c>
      <c r="G59" s="115">
        <f>VLOOKUP($A59,'S0 remplacer avec S44'!$C:$BQ,30,0)</f>
        <v>234</v>
      </c>
      <c r="H59" s="115">
        <f>VLOOKUP($A59,'S0 remplacer avec S44'!$C:$BQ,52,0)</f>
        <v>82</v>
      </c>
      <c r="I59" s="115">
        <f>VLOOKUP($A59,'S0 remplacer avec S44'!$C:$BQ,59,0)</f>
        <v>0</v>
      </c>
      <c r="J59" s="115">
        <f>VLOOKUP($A59,'S0 remplacer avec S44'!$C:$BQ,60,0)</f>
        <v>0</v>
      </c>
      <c r="K59" s="107" t="e">
        <f>VLOOKUP($A59,'S45'!$C:$BQ,32,0)</f>
        <v>#N/A</v>
      </c>
      <c r="L59" s="107" t="e">
        <f>VLOOKUP($A59,'S45'!$C:$BQ,39,0)</f>
        <v>#N/A</v>
      </c>
      <c r="M59" s="107" t="e">
        <f>VLOOKUP($A59,'S45'!$C:$BQ,40,0)</f>
        <v>#N/A</v>
      </c>
      <c r="N59" s="107" t="e">
        <f>VLOOKUP($A59,'S45'!$C:$BQ,22,0)</f>
        <v>#N/A</v>
      </c>
      <c r="O59" s="115" t="e">
        <f>VLOOKUP($A59,'S45'!$C:$BQ,29,0)</f>
        <v>#N/A</v>
      </c>
      <c r="P59" s="115" t="e">
        <f>VLOOKUP($A59,'S45'!$C:$BQ,30,0)</f>
        <v>#N/A</v>
      </c>
      <c r="Q59" s="115" t="e">
        <f>VLOOKUP($A59,'S45'!$C:$BQ,52,0)</f>
        <v>#N/A</v>
      </c>
      <c r="R59" s="115" t="e">
        <f>VLOOKUP($A59,'S45'!$C:$BQ,59,0)</f>
        <v>#N/A</v>
      </c>
      <c r="S59" s="115" t="e">
        <f>VLOOKUP($A59,'S45'!$C:$BQ,60,0)</f>
        <v>#N/A</v>
      </c>
      <c r="T59" s="107" t="e">
        <f>VLOOKUP($A59,'S46'!$C:$BQ,32,0)</f>
        <v>#N/A</v>
      </c>
      <c r="U59" s="107" t="e">
        <f>VLOOKUP($A59,'S46'!$C:$BQ,39,0)</f>
        <v>#N/A</v>
      </c>
      <c r="V59" s="107" t="e">
        <f>VLOOKUP($A59,'S46'!$C:$BQ,40,0)</f>
        <v>#N/A</v>
      </c>
      <c r="W59" s="107" t="e">
        <f>VLOOKUP($A59,'S46'!$C:$BQ,22,0)</f>
        <v>#N/A</v>
      </c>
      <c r="X59" s="115" t="e">
        <f>VLOOKUP($A59,'S46'!$C:$BQ,29,0)</f>
        <v>#N/A</v>
      </c>
      <c r="Y59" s="115" t="e">
        <f>VLOOKUP($A59,'S46'!$C:$BQ,30,0)</f>
        <v>#N/A</v>
      </c>
      <c r="Z59" s="115" t="e">
        <f>VLOOKUP($A59,'S46'!$C:$BQ,52,0)</f>
        <v>#N/A</v>
      </c>
      <c r="AA59" s="115" t="e">
        <f>VLOOKUP($A59,'S46'!$C:$BQ,59,0)</f>
        <v>#N/A</v>
      </c>
      <c r="AB59" s="115" t="e">
        <f>VLOOKUP($A59,'S46'!$C:$BQ,60,0)</f>
        <v>#N/A</v>
      </c>
      <c r="AC59" s="107" t="e">
        <f>VLOOKUP($A59,'S47'!$C:$BQ,32,0)</f>
        <v>#N/A</v>
      </c>
      <c r="AD59" s="107" t="e">
        <f>VLOOKUP($A59,'S47'!$C:$BQ,39,0)</f>
        <v>#N/A</v>
      </c>
      <c r="AE59" s="107" t="e">
        <f>VLOOKUP($A59,'S47'!$C:$BQ,40,0)</f>
        <v>#N/A</v>
      </c>
      <c r="AF59" s="107" t="e">
        <f>VLOOKUP($A59,'S47'!$C:$BQ,22,0)</f>
        <v>#N/A</v>
      </c>
      <c r="AG59" s="115" t="e">
        <f>VLOOKUP($A59,'S47'!$C:$BQ,29,0)</f>
        <v>#N/A</v>
      </c>
      <c r="AH59" s="115" t="e">
        <f>VLOOKUP($A59,'S47'!$C:$BQ,30,0)</f>
        <v>#N/A</v>
      </c>
      <c r="AI59" s="115" t="e">
        <f>VLOOKUP($A59,'S47'!$C:$BQ,52,0)</f>
        <v>#N/A</v>
      </c>
      <c r="AJ59" s="115" t="e">
        <f>VLOOKUP($A59,'S47'!$C:$BQ,59,0)</f>
        <v>#N/A</v>
      </c>
      <c r="AK59" s="115" t="e">
        <f>VLOOKUP($A59,'S47'!$C:$BQ,60,0)</f>
        <v>#N/A</v>
      </c>
      <c r="AL59" s="107" t="e">
        <f>VLOOKUP($A59,'S48'!$C:$BQ,32,0)</f>
        <v>#N/A</v>
      </c>
      <c r="AM59" s="107" t="e">
        <f>VLOOKUP($A59,'S48'!$C:$BQ,39,0)</f>
        <v>#N/A</v>
      </c>
      <c r="AN59" s="107" t="e">
        <f>VLOOKUP($A59,'S48'!$C:$BQ,40,0)</f>
        <v>#N/A</v>
      </c>
      <c r="AO59" s="107" t="e">
        <f>VLOOKUP($A59,'S48'!$C:$BQ,22,0)</f>
        <v>#N/A</v>
      </c>
      <c r="AP59" s="115" t="e">
        <f>VLOOKUP($A59,'S48'!$C:$BQ,29,0)</f>
        <v>#N/A</v>
      </c>
      <c r="AQ59" s="115" t="e">
        <f>VLOOKUP($A59,'S48'!$C:$BQ,30,0)</f>
        <v>#N/A</v>
      </c>
      <c r="AR59" s="115" t="e">
        <f>VLOOKUP($A59,'S48'!$C:$BQ,52,0)</f>
        <v>#N/A</v>
      </c>
      <c r="AS59" s="115" t="e">
        <f>VLOOKUP($A59,'S48'!$C:$BQ,59,0)</f>
        <v>#N/A</v>
      </c>
      <c r="AT59" s="115" t="e">
        <f>VLOOKUP($A59,'S48'!$C:$BQ,60,0)</f>
        <v>#N/A</v>
      </c>
      <c r="AU59" s="107" t="e">
        <f>VLOOKUP($A59,'S49'!$C:$BQ,32,0)</f>
        <v>#N/A</v>
      </c>
      <c r="AV59" s="107" t="e">
        <f>VLOOKUP($A59,'S49'!$C:$BQ,39,0)</f>
        <v>#N/A</v>
      </c>
      <c r="AW59" s="107" t="e">
        <f>VLOOKUP($A59,'S49'!$C:$BQ,40,0)</f>
        <v>#N/A</v>
      </c>
      <c r="AX59" s="107" t="e">
        <f>VLOOKUP($A59,'S49'!$C:$BQ,22,0)</f>
        <v>#N/A</v>
      </c>
      <c r="AY59" s="115" t="e">
        <f>VLOOKUP($A59,'S49'!$C:$BQ,29,0)</f>
        <v>#N/A</v>
      </c>
      <c r="AZ59" s="115" t="e">
        <f>VLOOKUP($A59,'S49'!$C:$BQ,30,0)</f>
        <v>#N/A</v>
      </c>
      <c r="BA59" s="115" t="e">
        <f>VLOOKUP($A59,'S49'!$C:$BQ,52,0)</f>
        <v>#N/A</v>
      </c>
      <c r="BB59" s="115" t="e">
        <f>VLOOKUP($A59,'S49'!$C:$BQ,59,0)</f>
        <v>#N/A</v>
      </c>
      <c r="BC59" s="115" t="e">
        <f>VLOOKUP($A59,'S49'!$C:$BQ,60,0)</f>
        <v>#N/A</v>
      </c>
      <c r="BD59" s="107" t="e">
        <f>VLOOKUP($A59,'S50'!$C:$BQ,32,0)</f>
        <v>#N/A</v>
      </c>
      <c r="BE59" s="107" t="e">
        <f>VLOOKUP($A59,'S50'!$C:$BQ,39,0)</f>
        <v>#N/A</v>
      </c>
      <c r="BF59" s="107" t="e">
        <f>VLOOKUP($A59,'S50'!$C:$BQ,40,0)</f>
        <v>#N/A</v>
      </c>
      <c r="BG59" s="107" t="e">
        <f>VLOOKUP($A59,'S50'!$C:$BQ,22,0)</f>
        <v>#N/A</v>
      </c>
      <c r="BH59" s="115" t="e">
        <f>VLOOKUP($A59,'S50'!$C:$BQ,29,0)</f>
        <v>#N/A</v>
      </c>
      <c r="BI59" s="115" t="e">
        <f>VLOOKUP($A59,'S50'!$C:$BQ,30,0)</f>
        <v>#N/A</v>
      </c>
      <c r="BJ59" s="115" t="e">
        <f>VLOOKUP($A59,'S50'!$C:$BQ,52,0)</f>
        <v>#N/A</v>
      </c>
      <c r="BK59" s="115" t="e">
        <f>VLOOKUP($A59,'S50'!$C:$BQ,59,0)</f>
        <v>#N/A</v>
      </c>
      <c r="BL59" s="115" t="e">
        <f>VLOOKUP($A59,'S50'!$C:$BQ,60,0)</f>
        <v>#N/A</v>
      </c>
    </row>
    <row r="60" spans="1:64" x14ac:dyDescent="0.2">
      <c r="A60" s="106" t="s">
        <v>116</v>
      </c>
      <c r="B60" s="107">
        <f>VLOOKUP($A60,'S0 remplacer avec S44'!$C:$BQ,32,0)</f>
        <v>140.5</v>
      </c>
      <c r="C60" s="107">
        <f>VLOOKUP($A60,'S0 remplacer avec S44'!$C:$BQ,39,0)</f>
        <v>0</v>
      </c>
      <c r="D60" s="107">
        <f>VLOOKUP($A60,'S0 remplacer avec S44'!$C:$BQ,40,0)</f>
        <v>20</v>
      </c>
      <c r="E60" s="107">
        <f>VLOOKUP($A60,'S0 remplacer avec S44'!$C:$BQ,22,0)</f>
        <v>1199.2255</v>
      </c>
      <c r="F60" s="115">
        <f>VLOOKUP($A60,'S0 remplacer avec S44'!$C:$BQ,29,0)</f>
        <v>16</v>
      </c>
      <c r="G60" s="115">
        <f>VLOOKUP($A60,'S0 remplacer avec S44'!$C:$BQ,30,0)</f>
        <v>259</v>
      </c>
      <c r="H60" s="115">
        <f>VLOOKUP($A60,'S0 remplacer avec S44'!$C:$BQ,52,0)</f>
        <v>89.8</v>
      </c>
      <c r="I60" s="115">
        <f>VLOOKUP($A60,'S0 remplacer avec S44'!$C:$BQ,59,0)</f>
        <v>0</v>
      </c>
      <c r="J60" s="115">
        <f>VLOOKUP($A60,'S0 remplacer avec S44'!$C:$BQ,60,0)</f>
        <v>0</v>
      </c>
      <c r="K60" s="107" t="e">
        <f>VLOOKUP($A60,'S45'!$C:$BQ,32,0)</f>
        <v>#N/A</v>
      </c>
      <c r="L60" s="107" t="e">
        <f>VLOOKUP($A60,'S45'!$C:$BQ,39,0)</f>
        <v>#N/A</v>
      </c>
      <c r="M60" s="107" t="e">
        <f>VLOOKUP($A60,'S45'!$C:$BQ,40,0)</f>
        <v>#N/A</v>
      </c>
      <c r="N60" s="107" t="e">
        <f>VLOOKUP($A60,'S45'!$C:$BQ,22,0)</f>
        <v>#N/A</v>
      </c>
      <c r="O60" s="115" t="e">
        <f>VLOOKUP($A60,'S45'!$C:$BQ,29,0)</f>
        <v>#N/A</v>
      </c>
      <c r="P60" s="115" t="e">
        <f>VLOOKUP($A60,'S45'!$C:$BQ,30,0)</f>
        <v>#N/A</v>
      </c>
      <c r="Q60" s="115" t="e">
        <f>VLOOKUP($A60,'S45'!$C:$BQ,52,0)</f>
        <v>#N/A</v>
      </c>
      <c r="R60" s="115" t="e">
        <f>VLOOKUP($A60,'S45'!$C:$BQ,59,0)</f>
        <v>#N/A</v>
      </c>
      <c r="S60" s="115" t="e">
        <f>VLOOKUP($A60,'S45'!$C:$BQ,60,0)</f>
        <v>#N/A</v>
      </c>
      <c r="T60" s="107" t="e">
        <f>VLOOKUP($A60,'S46'!$C:$BQ,32,0)</f>
        <v>#N/A</v>
      </c>
      <c r="U60" s="107" t="e">
        <f>VLOOKUP($A60,'S46'!$C:$BQ,39,0)</f>
        <v>#N/A</v>
      </c>
      <c r="V60" s="107" t="e">
        <f>VLOOKUP($A60,'S46'!$C:$BQ,40,0)</f>
        <v>#N/A</v>
      </c>
      <c r="W60" s="107" t="e">
        <f>VLOOKUP($A60,'S46'!$C:$BQ,22,0)</f>
        <v>#N/A</v>
      </c>
      <c r="X60" s="115" t="e">
        <f>VLOOKUP($A60,'S46'!$C:$BQ,29,0)</f>
        <v>#N/A</v>
      </c>
      <c r="Y60" s="115" t="e">
        <f>VLOOKUP($A60,'S46'!$C:$BQ,30,0)</f>
        <v>#N/A</v>
      </c>
      <c r="Z60" s="115" t="e">
        <f>VLOOKUP($A60,'S46'!$C:$BQ,52,0)</f>
        <v>#N/A</v>
      </c>
      <c r="AA60" s="115" t="e">
        <f>VLOOKUP($A60,'S46'!$C:$BQ,59,0)</f>
        <v>#N/A</v>
      </c>
      <c r="AB60" s="115" t="e">
        <f>VLOOKUP($A60,'S46'!$C:$BQ,60,0)</f>
        <v>#N/A</v>
      </c>
      <c r="AC60" s="107" t="e">
        <f>VLOOKUP($A60,'S47'!$C:$BQ,32,0)</f>
        <v>#N/A</v>
      </c>
      <c r="AD60" s="107" t="e">
        <f>VLOOKUP($A60,'S47'!$C:$BQ,39,0)</f>
        <v>#N/A</v>
      </c>
      <c r="AE60" s="107" t="e">
        <f>VLOOKUP($A60,'S47'!$C:$BQ,40,0)</f>
        <v>#N/A</v>
      </c>
      <c r="AF60" s="107" t="e">
        <f>VLOOKUP($A60,'S47'!$C:$BQ,22,0)</f>
        <v>#N/A</v>
      </c>
      <c r="AG60" s="115" t="e">
        <f>VLOOKUP($A60,'S47'!$C:$BQ,29,0)</f>
        <v>#N/A</v>
      </c>
      <c r="AH60" s="115" t="e">
        <f>VLOOKUP($A60,'S47'!$C:$BQ,30,0)</f>
        <v>#N/A</v>
      </c>
      <c r="AI60" s="115" t="e">
        <f>VLOOKUP($A60,'S47'!$C:$BQ,52,0)</f>
        <v>#N/A</v>
      </c>
      <c r="AJ60" s="115" t="e">
        <f>VLOOKUP($A60,'S47'!$C:$BQ,59,0)</f>
        <v>#N/A</v>
      </c>
      <c r="AK60" s="115" t="e">
        <f>VLOOKUP($A60,'S47'!$C:$BQ,60,0)</f>
        <v>#N/A</v>
      </c>
      <c r="AL60" s="107" t="e">
        <f>VLOOKUP($A60,'S48'!$C:$BQ,32,0)</f>
        <v>#N/A</v>
      </c>
      <c r="AM60" s="107" t="e">
        <f>VLOOKUP($A60,'S48'!$C:$BQ,39,0)</f>
        <v>#N/A</v>
      </c>
      <c r="AN60" s="107" t="e">
        <f>VLOOKUP($A60,'S48'!$C:$BQ,40,0)</f>
        <v>#N/A</v>
      </c>
      <c r="AO60" s="107" t="e">
        <f>VLOOKUP($A60,'S48'!$C:$BQ,22,0)</f>
        <v>#N/A</v>
      </c>
      <c r="AP60" s="115" t="e">
        <f>VLOOKUP($A60,'S48'!$C:$BQ,29,0)</f>
        <v>#N/A</v>
      </c>
      <c r="AQ60" s="115" t="e">
        <f>VLOOKUP($A60,'S48'!$C:$BQ,30,0)</f>
        <v>#N/A</v>
      </c>
      <c r="AR60" s="115" t="e">
        <f>VLOOKUP($A60,'S48'!$C:$BQ,52,0)</f>
        <v>#N/A</v>
      </c>
      <c r="AS60" s="115" t="e">
        <f>VLOOKUP($A60,'S48'!$C:$BQ,59,0)</f>
        <v>#N/A</v>
      </c>
      <c r="AT60" s="115" t="e">
        <f>VLOOKUP($A60,'S48'!$C:$BQ,60,0)</f>
        <v>#N/A</v>
      </c>
      <c r="AU60" s="107" t="e">
        <f>VLOOKUP($A60,'S49'!$C:$BQ,32,0)</f>
        <v>#N/A</v>
      </c>
      <c r="AV60" s="107" t="e">
        <f>VLOOKUP($A60,'S49'!$C:$BQ,39,0)</f>
        <v>#N/A</v>
      </c>
      <c r="AW60" s="107" t="e">
        <f>VLOOKUP($A60,'S49'!$C:$BQ,40,0)</f>
        <v>#N/A</v>
      </c>
      <c r="AX60" s="107" t="e">
        <f>VLOOKUP($A60,'S49'!$C:$BQ,22,0)</f>
        <v>#N/A</v>
      </c>
      <c r="AY60" s="115" t="e">
        <f>VLOOKUP($A60,'S49'!$C:$BQ,29,0)</f>
        <v>#N/A</v>
      </c>
      <c r="AZ60" s="115" t="e">
        <f>VLOOKUP($A60,'S49'!$C:$BQ,30,0)</f>
        <v>#N/A</v>
      </c>
      <c r="BA60" s="115" t="e">
        <f>VLOOKUP($A60,'S49'!$C:$BQ,52,0)</f>
        <v>#N/A</v>
      </c>
      <c r="BB60" s="115" t="e">
        <f>VLOOKUP($A60,'S49'!$C:$BQ,59,0)</f>
        <v>#N/A</v>
      </c>
      <c r="BC60" s="115" t="e">
        <f>VLOOKUP($A60,'S49'!$C:$BQ,60,0)</f>
        <v>#N/A</v>
      </c>
      <c r="BD60" s="107" t="e">
        <f>VLOOKUP($A60,'S50'!$C:$BQ,32,0)</f>
        <v>#N/A</v>
      </c>
      <c r="BE60" s="107" t="e">
        <f>VLOOKUP($A60,'S50'!$C:$BQ,39,0)</f>
        <v>#N/A</v>
      </c>
      <c r="BF60" s="107" t="e">
        <f>VLOOKUP($A60,'S50'!$C:$BQ,40,0)</f>
        <v>#N/A</v>
      </c>
      <c r="BG60" s="107" t="e">
        <f>VLOOKUP($A60,'S50'!$C:$BQ,22,0)</f>
        <v>#N/A</v>
      </c>
      <c r="BH60" s="115" t="e">
        <f>VLOOKUP($A60,'S50'!$C:$BQ,29,0)</f>
        <v>#N/A</v>
      </c>
      <c r="BI60" s="115" t="e">
        <f>VLOOKUP($A60,'S50'!$C:$BQ,30,0)</f>
        <v>#N/A</v>
      </c>
      <c r="BJ60" s="115" t="e">
        <f>VLOOKUP($A60,'S50'!$C:$BQ,52,0)</f>
        <v>#N/A</v>
      </c>
      <c r="BK60" s="115" t="e">
        <f>VLOOKUP($A60,'S50'!$C:$BQ,59,0)</f>
        <v>#N/A</v>
      </c>
      <c r="BL60" s="115" t="e">
        <f>VLOOKUP($A60,'S50'!$C:$BQ,60,0)</f>
        <v>#N/A</v>
      </c>
    </row>
    <row r="61" spans="1:64" x14ac:dyDescent="0.2">
      <c r="A61" s="106" t="s">
        <v>117</v>
      </c>
      <c r="B61" s="107">
        <f>VLOOKUP($A61,'S0 remplacer avec S44'!$C:$BQ,32,0)</f>
        <v>125.45</v>
      </c>
      <c r="C61" s="107">
        <f>VLOOKUP($A61,'S0 remplacer avec S44'!$C:$BQ,39,0)</f>
        <v>36</v>
      </c>
      <c r="D61" s="107">
        <f>VLOOKUP($A61,'S0 remplacer avec S44'!$C:$BQ,40,0)</f>
        <v>68</v>
      </c>
      <c r="E61" s="107">
        <f>VLOOKUP($A61,'S0 remplacer avec S44'!$C:$BQ,22,0)</f>
        <v>1775.12745</v>
      </c>
      <c r="F61" s="115">
        <f>VLOOKUP($A61,'S0 remplacer avec S44'!$C:$BQ,29,0)</f>
        <v>0</v>
      </c>
      <c r="G61" s="115">
        <f>VLOOKUP($A61,'S0 remplacer avec S44'!$C:$BQ,30,0)</f>
        <v>0</v>
      </c>
      <c r="H61" s="115">
        <f>VLOOKUP($A61,'S0 remplacer avec S44'!$C:$BQ,52,0)</f>
        <v>100.8</v>
      </c>
      <c r="I61" s="115">
        <f>VLOOKUP($A61,'S0 remplacer avec S44'!$C:$BQ,59,0)</f>
        <v>0</v>
      </c>
      <c r="J61" s="115">
        <f>VLOOKUP($A61,'S0 remplacer avec S44'!$C:$BQ,60,0)</f>
        <v>0</v>
      </c>
      <c r="K61" s="107" t="e">
        <f>VLOOKUP($A61,'S45'!$C:$BQ,32,0)</f>
        <v>#N/A</v>
      </c>
      <c r="L61" s="107" t="e">
        <f>VLOOKUP($A61,'S45'!$C:$BQ,39,0)</f>
        <v>#N/A</v>
      </c>
      <c r="M61" s="107" t="e">
        <f>VLOOKUP($A61,'S45'!$C:$BQ,40,0)</f>
        <v>#N/A</v>
      </c>
      <c r="N61" s="107" t="e">
        <f>VLOOKUP($A61,'S45'!$C:$BQ,22,0)</f>
        <v>#N/A</v>
      </c>
      <c r="O61" s="115" t="e">
        <f>VLOOKUP($A61,'S45'!$C:$BQ,29,0)</f>
        <v>#N/A</v>
      </c>
      <c r="P61" s="115" t="e">
        <f>VLOOKUP($A61,'S45'!$C:$BQ,30,0)</f>
        <v>#N/A</v>
      </c>
      <c r="Q61" s="115" t="e">
        <f>VLOOKUP($A61,'S45'!$C:$BQ,52,0)</f>
        <v>#N/A</v>
      </c>
      <c r="R61" s="115" t="e">
        <f>VLOOKUP($A61,'S45'!$C:$BQ,59,0)</f>
        <v>#N/A</v>
      </c>
      <c r="S61" s="115" t="e">
        <f>VLOOKUP($A61,'S45'!$C:$BQ,60,0)</f>
        <v>#N/A</v>
      </c>
      <c r="T61" s="107" t="e">
        <f>VLOOKUP($A61,'S46'!$C:$BQ,32,0)</f>
        <v>#N/A</v>
      </c>
      <c r="U61" s="107" t="e">
        <f>VLOOKUP($A61,'S46'!$C:$BQ,39,0)</f>
        <v>#N/A</v>
      </c>
      <c r="V61" s="107" t="e">
        <f>VLOOKUP($A61,'S46'!$C:$BQ,40,0)</f>
        <v>#N/A</v>
      </c>
      <c r="W61" s="107" t="e">
        <f>VLOOKUP($A61,'S46'!$C:$BQ,22,0)</f>
        <v>#N/A</v>
      </c>
      <c r="X61" s="115" t="e">
        <f>VLOOKUP($A61,'S46'!$C:$BQ,29,0)</f>
        <v>#N/A</v>
      </c>
      <c r="Y61" s="115" t="e">
        <f>VLOOKUP($A61,'S46'!$C:$BQ,30,0)</f>
        <v>#N/A</v>
      </c>
      <c r="Z61" s="115" t="e">
        <f>VLOOKUP($A61,'S46'!$C:$BQ,52,0)</f>
        <v>#N/A</v>
      </c>
      <c r="AA61" s="115" t="e">
        <f>VLOOKUP($A61,'S46'!$C:$BQ,59,0)</f>
        <v>#N/A</v>
      </c>
      <c r="AB61" s="115" t="e">
        <f>VLOOKUP($A61,'S46'!$C:$BQ,60,0)</f>
        <v>#N/A</v>
      </c>
      <c r="AC61" s="107" t="e">
        <f>VLOOKUP($A61,'S47'!$C:$BQ,32,0)</f>
        <v>#N/A</v>
      </c>
      <c r="AD61" s="107" t="e">
        <f>VLOOKUP($A61,'S47'!$C:$BQ,39,0)</f>
        <v>#N/A</v>
      </c>
      <c r="AE61" s="107" t="e">
        <f>VLOOKUP($A61,'S47'!$C:$BQ,40,0)</f>
        <v>#N/A</v>
      </c>
      <c r="AF61" s="107" t="e">
        <f>VLOOKUP($A61,'S47'!$C:$BQ,22,0)</f>
        <v>#N/A</v>
      </c>
      <c r="AG61" s="115" t="e">
        <f>VLOOKUP($A61,'S47'!$C:$BQ,29,0)</f>
        <v>#N/A</v>
      </c>
      <c r="AH61" s="115" t="e">
        <f>VLOOKUP($A61,'S47'!$C:$BQ,30,0)</f>
        <v>#N/A</v>
      </c>
      <c r="AI61" s="115" t="e">
        <f>VLOOKUP($A61,'S47'!$C:$BQ,52,0)</f>
        <v>#N/A</v>
      </c>
      <c r="AJ61" s="115" t="e">
        <f>VLOOKUP($A61,'S47'!$C:$BQ,59,0)</f>
        <v>#N/A</v>
      </c>
      <c r="AK61" s="115" t="e">
        <f>VLOOKUP($A61,'S47'!$C:$BQ,60,0)</f>
        <v>#N/A</v>
      </c>
      <c r="AL61" s="107" t="e">
        <f>VLOOKUP($A61,'S48'!$C:$BQ,32,0)</f>
        <v>#N/A</v>
      </c>
      <c r="AM61" s="107" t="e">
        <f>VLOOKUP($A61,'S48'!$C:$BQ,39,0)</f>
        <v>#N/A</v>
      </c>
      <c r="AN61" s="107" t="e">
        <f>VLOOKUP($A61,'S48'!$C:$BQ,40,0)</f>
        <v>#N/A</v>
      </c>
      <c r="AO61" s="107" t="e">
        <f>VLOOKUP($A61,'S48'!$C:$BQ,22,0)</f>
        <v>#N/A</v>
      </c>
      <c r="AP61" s="115" t="e">
        <f>VLOOKUP($A61,'S48'!$C:$BQ,29,0)</f>
        <v>#N/A</v>
      </c>
      <c r="AQ61" s="115" t="e">
        <f>VLOOKUP($A61,'S48'!$C:$BQ,30,0)</f>
        <v>#N/A</v>
      </c>
      <c r="AR61" s="115" t="e">
        <f>VLOOKUP($A61,'S48'!$C:$BQ,52,0)</f>
        <v>#N/A</v>
      </c>
      <c r="AS61" s="115" t="e">
        <f>VLOOKUP($A61,'S48'!$C:$BQ,59,0)</f>
        <v>#N/A</v>
      </c>
      <c r="AT61" s="115" t="e">
        <f>VLOOKUP($A61,'S48'!$C:$BQ,60,0)</f>
        <v>#N/A</v>
      </c>
      <c r="AU61" s="107" t="e">
        <f>VLOOKUP($A61,'S49'!$C:$BQ,32,0)</f>
        <v>#N/A</v>
      </c>
      <c r="AV61" s="107" t="e">
        <f>VLOOKUP($A61,'S49'!$C:$BQ,39,0)</f>
        <v>#N/A</v>
      </c>
      <c r="AW61" s="107" t="e">
        <f>VLOOKUP($A61,'S49'!$C:$BQ,40,0)</f>
        <v>#N/A</v>
      </c>
      <c r="AX61" s="107" t="e">
        <f>VLOOKUP($A61,'S49'!$C:$BQ,22,0)</f>
        <v>#N/A</v>
      </c>
      <c r="AY61" s="115" t="e">
        <f>VLOOKUP($A61,'S49'!$C:$BQ,29,0)</f>
        <v>#N/A</v>
      </c>
      <c r="AZ61" s="115" t="e">
        <f>VLOOKUP($A61,'S49'!$C:$BQ,30,0)</f>
        <v>#N/A</v>
      </c>
      <c r="BA61" s="115" t="e">
        <f>VLOOKUP($A61,'S49'!$C:$BQ,52,0)</f>
        <v>#N/A</v>
      </c>
      <c r="BB61" s="115" t="e">
        <f>VLOOKUP($A61,'S49'!$C:$BQ,59,0)</f>
        <v>#N/A</v>
      </c>
      <c r="BC61" s="115" t="e">
        <f>VLOOKUP($A61,'S49'!$C:$BQ,60,0)</f>
        <v>#N/A</v>
      </c>
      <c r="BD61" s="107" t="e">
        <f>VLOOKUP($A61,'S50'!$C:$BQ,32,0)</f>
        <v>#N/A</v>
      </c>
      <c r="BE61" s="107" t="e">
        <f>VLOOKUP($A61,'S50'!$C:$BQ,39,0)</f>
        <v>#N/A</v>
      </c>
      <c r="BF61" s="107" t="e">
        <f>VLOOKUP($A61,'S50'!$C:$BQ,40,0)</f>
        <v>#N/A</v>
      </c>
      <c r="BG61" s="107" t="e">
        <f>VLOOKUP($A61,'S50'!$C:$BQ,22,0)</f>
        <v>#N/A</v>
      </c>
      <c r="BH61" s="115" t="e">
        <f>VLOOKUP($A61,'S50'!$C:$BQ,29,0)</f>
        <v>#N/A</v>
      </c>
      <c r="BI61" s="115" t="e">
        <f>VLOOKUP($A61,'S50'!$C:$BQ,30,0)</f>
        <v>#N/A</v>
      </c>
      <c r="BJ61" s="115" t="e">
        <f>VLOOKUP($A61,'S50'!$C:$BQ,52,0)</f>
        <v>#N/A</v>
      </c>
      <c r="BK61" s="115" t="e">
        <f>VLOOKUP($A61,'S50'!$C:$BQ,59,0)</f>
        <v>#N/A</v>
      </c>
      <c r="BL61" s="115" t="e">
        <f>VLOOKUP($A61,'S50'!$C:$BQ,60,0)</f>
        <v>#N/A</v>
      </c>
    </row>
    <row r="62" spans="1:64" x14ac:dyDescent="0.2">
      <c r="A62" s="106" t="s">
        <v>119</v>
      </c>
      <c r="B62" s="107">
        <f>VLOOKUP($A62,'S0 remplacer avec S44'!$C:$BQ,32,0)</f>
        <v>150.75</v>
      </c>
      <c r="C62" s="107">
        <f>VLOOKUP($A62,'S0 remplacer avec S44'!$C:$BQ,39,0)</f>
        <v>26</v>
      </c>
      <c r="D62" s="107">
        <f>VLOOKUP($A62,'S0 remplacer avec S44'!$C:$BQ,40,0)</f>
        <v>61</v>
      </c>
      <c r="E62" s="107">
        <f>VLOOKUP($A62,'S0 remplacer avec S44'!$C:$BQ,22,0)</f>
        <v>1389.47047</v>
      </c>
      <c r="F62" s="115">
        <f>VLOOKUP($A62,'S0 remplacer avec S44'!$C:$BQ,29,0)</f>
        <v>213</v>
      </c>
      <c r="G62" s="115">
        <f>VLOOKUP($A62,'S0 remplacer avec S44'!$C:$BQ,30,0)</f>
        <v>533</v>
      </c>
      <c r="H62" s="115">
        <f>VLOOKUP($A62,'S0 remplacer avec S44'!$C:$BQ,52,0)</f>
        <v>124.2</v>
      </c>
      <c r="I62" s="115">
        <f>VLOOKUP($A62,'S0 remplacer avec S44'!$C:$BQ,59,0)</f>
        <v>0</v>
      </c>
      <c r="J62" s="115">
        <f>VLOOKUP($A62,'S0 remplacer avec S44'!$C:$BQ,60,0)</f>
        <v>0</v>
      </c>
      <c r="K62" s="107" t="e">
        <f>VLOOKUP($A62,'S45'!$C:$BQ,32,0)</f>
        <v>#N/A</v>
      </c>
      <c r="L62" s="107" t="e">
        <f>VLOOKUP($A62,'S45'!$C:$BQ,39,0)</f>
        <v>#N/A</v>
      </c>
      <c r="M62" s="107" t="e">
        <f>VLOOKUP($A62,'S45'!$C:$BQ,40,0)</f>
        <v>#N/A</v>
      </c>
      <c r="N62" s="107" t="e">
        <f>VLOOKUP($A62,'S45'!$C:$BQ,22,0)</f>
        <v>#N/A</v>
      </c>
      <c r="O62" s="115" t="e">
        <f>VLOOKUP($A62,'S45'!$C:$BQ,29,0)</f>
        <v>#N/A</v>
      </c>
      <c r="P62" s="115" t="e">
        <f>VLOOKUP($A62,'S45'!$C:$BQ,30,0)</f>
        <v>#N/A</v>
      </c>
      <c r="Q62" s="115" t="e">
        <f>VLOOKUP($A62,'S45'!$C:$BQ,52,0)</f>
        <v>#N/A</v>
      </c>
      <c r="R62" s="115" t="e">
        <f>VLOOKUP($A62,'S45'!$C:$BQ,59,0)</f>
        <v>#N/A</v>
      </c>
      <c r="S62" s="115" t="e">
        <f>VLOOKUP($A62,'S45'!$C:$BQ,60,0)</f>
        <v>#N/A</v>
      </c>
      <c r="T62" s="107" t="e">
        <f>VLOOKUP($A62,'S46'!$C:$BQ,32,0)</f>
        <v>#N/A</v>
      </c>
      <c r="U62" s="107" t="e">
        <f>VLOOKUP($A62,'S46'!$C:$BQ,39,0)</f>
        <v>#N/A</v>
      </c>
      <c r="V62" s="107" t="e">
        <f>VLOOKUP($A62,'S46'!$C:$BQ,40,0)</f>
        <v>#N/A</v>
      </c>
      <c r="W62" s="107" t="e">
        <f>VLOOKUP($A62,'S46'!$C:$BQ,22,0)</f>
        <v>#N/A</v>
      </c>
      <c r="X62" s="115" t="e">
        <f>VLOOKUP($A62,'S46'!$C:$BQ,29,0)</f>
        <v>#N/A</v>
      </c>
      <c r="Y62" s="115" t="e">
        <f>VLOOKUP($A62,'S46'!$C:$BQ,30,0)</f>
        <v>#N/A</v>
      </c>
      <c r="Z62" s="115" t="e">
        <f>VLOOKUP($A62,'S46'!$C:$BQ,52,0)</f>
        <v>#N/A</v>
      </c>
      <c r="AA62" s="115" t="e">
        <f>VLOOKUP($A62,'S46'!$C:$BQ,59,0)</f>
        <v>#N/A</v>
      </c>
      <c r="AB62" s="115" t="e">
        <f>VLOOKUP($A62,'S46'!$C:$BQ,60,0)</f>
        <v>#N/A</v>
      </c>
      <c r="AC62" s="107" t="e">
        <f>VLOOKUP($A62,'S47'!$C:$BQ,32,0)</f>
        <v>#N/A</v>
      </c>
      <c r="AD62" s="107" t="e">
        <f>VLOOKUP($A62,'S47'!$C:$BQ,39,0)</f>
        <v>#N/A</v>
      </c>
      <c r="AE62" s="107" t="e">
        <f>VLOOKUP($A62,'S47'!$C:$BQ,40,0)</f>
        <v>#N/A</v>
      </c>
      <c r="AF62" s="107" t="e">
        <f>VLOOKUP($A62,'S47'!$C:$BQ,22,0)</f>
        <v>#N/A</v>
      </c>
      <c r="AG62" s="115" t="e">
        <f>VLOOKUP($A62,'S47'!$C:$BQ,29,0)</f>
        <v>#N/A</v>
      </c>
      <c r="AH62" s="115" t="e">
        <f>VLOOKUP($A62,'S47'!$C:$BQ,30,0)</f>
        <v>#N/A</v>
      </c>
      <c r="AI62" s="115" t="e">
        <f>VLOOKUP($A62,'S47'!$C:$BQ,52,0)</f>
        <v>#N/A</v>
      </c>
      <c r="AJ62" s="115" t="e">
        <f>VLOOKUP($A62,'S47'!$C:$BQ,59,0)</f>
        <v>#N/A</v>
      </c>
      <c r="AK62" s="115" t="e">
        <f>VLOOKUP($A62,'S47'!$C:$BQ,60,0)</f>
        <v>#N/A</v>
      </c>
      <c r="AL62" s="107" t="e">
        <f>VLOOKUP($A62,'S48'!$C:$BQ,32,0)</f>
        <v>#N/A</v>
      </c>
      <c r="AM62" s="107" t="e">
        <f>VLOOKUP($A62,'S48'!$C:$BQ,39,0)</f>
        <v>#N/A</v>
      </c>
      <c r="AN62" s="107" t="e">
        <f>VLOOKUP($A62,'S48'!$C:$BQ,40,0)</f>
        <v>#N/A</v>
      </c>
      <c r="AO62" s="107" t="e">
        <f>VLOOKUP($A62,'S48'!$C:$BQ,22,0)</f>
        <v>#N/A</v>
      </c>
      <c r="AP62" s="115" t="e">
        <f>VLOOKUP($A62,'S48'!$C:$BQ,29,0)</f>
        <v>#N/A</v>
      </c>
      <c r="AQ62" s="115" t="e">
        <f>VLOOKUP($A62,'S48'!$C:$BQ,30,0)</f>
        <v>#N/A</v>
      </c>
      <c r="AR62" s="115" t="e">
        <f>VLOOKUP($A62,'S48'!$C:$BQ,52,0)</f>
        <v>#N/A</v>
      </c>
      <c r="AS62" s="115" t="e">
        <f>VLOOKUP($A62,'S48'!$C:$BQ,59,0)</f>
        <v>#N/A</v>
      </c>
      <c r="AT62" s="115" t="e">
        <f>VLOOKUP($A62,'S48'!$C:$BQ,60,0)</f>
        <v>#N/A</v>
      </c>
      <c r="AU62" s="107" t="e">
        <f>VLOOKUP($A62,'S49'!$C:$BQ,32,0)</f>
        <v>#N/A</v>
      </c>
      <c r="AV62" s="107" t="e">
        <f>VLOOKUP($A62,'S49'!$C:$BQ,39,0)</f>
        <v>#N/A</v>
      </c>
      <c r="AW62" s="107" t="e">
        <f>VLOOKUP($A62,'S49'!$C:$BQ,40,0)</f>
        <v>#N/A</v>
      </c>
      <c r="AX62" s="107" t="e">
        <f>VLOOKUP($A62,'S49'!$C:$BQ,22,0)</f>
        <v>#N/A</v>
      </c>
      <c r="AY62" s="115" t="e">
        <f>VLOOKUP($A62,'S49'!$C:$BQ,29,0)</f>
        <v>#N/A</v>
      </c>
      <c r="AZ62" s="115" t="e">
        <f>VLOOKUP($A62,'S49'!$C:$BQ,30,0)</f>
        <v>#N/A</v>
      </c>
      <c r="BA62" s="115" t="e">
        <f>VLOOKUP($A62,'S49'!$C:$BQ,52,0)</f>
        <v>#N/A</v>
      </c>
      <c r="BB62" s="115" t="e">
        <f>VLOOKUP($A62,'S49'!$C:$BQ,59,0)</f>
        <v>#N/A</v>
      </c>
      <c r="BC62" s="115" t="e">
        <f>VLOOKUP($A62,'S49'!$C:$BQ,60,0)</f>
        <v>#N/A</v>
      </c>
      <c r="BD62" s="107" t="e">
        <f>VLOOKUP($A62,'S50'!$C:$BQ,32,0)</f>
        <v>#N/A</v>
      </c>
      <c r="BE62" s="107" t="e">
        <f>VLOOKUP($A62,'S50'!$C:$BQ,39,0)</f>
        <v>#N/A</v>
      </c>
      <c r="BF62" s="107" t="e">
        <f>VLOOKUP($A62,'S50'!$C:$BQ,40,0)</f>
        <v>#N/A</v>
      </c>
      <c r="BG62" s="107" t="e">
        <f>VLOOKUP($A62,'S50'!$C:$BQ,22,0)</f>
        <v>#N/A</v>
      </c>
      <c r="BH62" s="115" t="e">
        <f>VLOOKUP($A62,'S50'!$C:$BQ,29,0)</f>
        <v>#N/A</v>
      </c>
      <c r="BI62" s="115" t="e">
        <f>VLOOKUP($A62,'S50'!$C:$BQ,30,0)</f>
        <v>#N/A</v>
      </c>
      <c r="BJ62" s="115" t="e">
        <f>VLOOKUP($A62,'S50'!$C:$BQ,52,0)</f>
        <v>#N/A</v>
      </c>
      <c r="BK62" s="115" t="e">
        <f>VLOOKUP($A62,'S50'!$C:$BQ,59,0)</f>
        <v>#N/A</v>
      </c>
      <c r="BL62" s="115" t="e">
        <f>VLOOKUP($A62,'S50'!$C:$BQ,60,0)</f>
        <v>#N/A</v>
      </c>
    </row>
    <row r="63" spans="1:64" x14ac:dyDescent="0.2">
      <c r="A63" s="106" t="s">
        <v>120</v>
      </c>
      <c r="B63" s="107">
        <f>VLOOKUP($A63,'S0 remplacer avec S44'!$C:$BQ,32,0)</f>
        <v>61.2</v>
      </c>
      <c r="C63" s="107">
        <f>VLOOKUP($A63,'S0 remplacer avec S44'!$C:$BQ,39,0)</f>
        <v>29</v>
      </c>
      <c r="D63" s="107">
        <f>VLOOKUP($A63,'S0 remplacer avec S44'!$C:$BQ,40,0)</f>
        <v>47</v>
      </c>
      <c r="E63" s="107">
        <f>VLOOKUP($A63,'S0 remplacer avec S44'!$C:$BQ,22,0)</f>
        <v>981.08911000000001</v>
      </c>
      <c r="F63" s="115">
        <f>VLOOKUP($A63,'S0 remplacer avec S44'!$C:$BQ,29,0)</f>
        <v>0</v>
      </c>
      <c r="G63" s="115">
        <f>VLOOKUP($A63,'S0 remplacer avec S44'!$C:$BQ,30,0)</f>
        <v>0</v>
      </c>
      <c r="H63" s="115">
        <f>VLOOKUP($A63,'S0 remplacer avec S44'!$C:$BQ,52,0)</f>
        <v>40.6</v>
      </c>
      <c r="I63" s="115">
        <f>VLOOKUP($A63,'S0 remplacer avec S44'!$C:$BQ,59,0)</f>
        <v>5</v>
      </c>
      <c r="J63" s="115">
        <f>VLOOKUP($A63,'S0 remplacer avec S44'!$C:$BQ,60,0)</f>
        <v>14</v>
      </c>
      <c r="K63" s="107" t="e">
        <f>VLOOKUP($A63,'S45'!$C:$BQ,32,0)</f>
        <v>#N/A</v>
      </c>
      <c r="L63" s="107" t="e">
        <f>VLOOKUP($A63,'S45'!$C:$BQ,39,0)</f>
        <v>#N/A</v>
      </c>
      <c r="M63" s="107" t="e">
        <f>VLOOKUP($A63,'S45'!$C:$BQ,40,0)</f>
        <v>#N/A</v>
      </c>
      <c r="N63" s="107" t="e">
        <f>VLOOKUP($A63,'S45'!$C:$BQ,22,0)</f>
        <v>#N/A</v>
      </c>
      <c r="O63" s="115" t="e">
        <f>VLOOKUP($A63,'S45'!$C:$BQ,29,0)</f>
        <v>#N/A</v>
      </c>
      <c r="P63" s="115" t="e">
        <f>VLOOKUP($A63,'S45'!$C:$BQ,30,0)</f>
        <v>#N/A</v>
      </c>
      <c r="Q63" s="115" t="e">
        <f>VLOOKUP($A63,'S45'!$C:$BQ,52,0)</f>
        <v>#N/A</v>
      </c>
      <c r="R63" s="115" t="e">
        <f>VLOOKUP($A63,'S45'!$C:$BQ,59,0)</f>
        <v>#N/A</v>
      </c>
      <c r="S63" s="115" t="e">
        <f>VLOOKUP($A63,'S45'!$C:$BQ,60,0)</f>
        <v>#N/A</v>
      </c>
      <c r="T63" s="107" t="e">
        <f>VLOOKUP($A63,'S46'!$C:$BQ,32,0)</f>
        <v>#N/A</v>
      </c>
      <c r="U63" s="107" t="e">
        <f>VLOOKUP($A63,'S46'!$C:$BQ,39,0)</f>
        <v>#N/A</v>
      </c>
      <c r="V63" s="107" t="e">
        <f>VLOOKUP($A63,'S46'!$C:$BQ,40,0)</f>
        <v>#N/A</v>
      </c>
      <c r="W63" s="107" t="e">
        <f>VLOOKUP($A63,'S46'!$C:$BQ,22,0)</f>
        <v>#N/A</v>
      </c>
      <c r="X63" s="115" t="e">
        <f>VLOOKUP($A63,'S46'!$C:$BQ,29,0)</f>
        <v>#N/A</v>
      </c>
      <c r="Y63" s="115" t="e">
        <f>VLOOKUP($A63,'S46'!$C:$BQ,30,0)</f>
        <v>#N/A</v>
      </c>
      <c r="Z63" s="115" t="e">
        <f>VLOOKUP($A63,'S46'!$C:$BQ,52,0)</f>
        <v>#N/A</v>
      </c>
      <c r="AA63" s="115" t="e">
        <f>VLOOKUP($A63,'S46'!$C:$BQ,59,0)</f>
        <v>#N/A</v>
      </c>
      <c r="AB63" s="115" t="e">
        <f>VLOOKUP($A63,'S46'!$C:$BQ,60,0)</f>
        <v>#N/A</v>
      </c>
      <c r="AC63" s="107" t="e">
        <f>VLOOKUP($A63,'S47'!$C:$BQ,32,0)</f>
        <v>#N/A</v>
      </c>
      <c r="AD63" s="107" t="e">
        <f>VLOOKUP($A63,'S47'!$C:$BQ,39,0)</f>
        <v>#N/A</v>
      </c>
      <c r="AE63" s="107" t="e">
        <f>VLOOKUP($A63,'S47'!$C:$BQ,40,0)</f>
        <v>#N/A</v>
      </c>
      <c r="AF63" s="107" t="e">
        <f>VLOOKUP($A63,'S47'!$C:$BQ,22,0)</f>
        <v>#N/A</v>
      </c>
      <c r="AG63" s="115" t="e">
        <f>VLOOKUP($A63,'S47'!$C:$BQ,29,0)</f>
        <v>#N/A</v>
      </c>
      <c r="AH63" s="115" t="e">
        <f>VLOOKUP($A63,'S47'!$C:$BQ,30,0)</f>
        <v>#N/A</v>
      </c>
      <c r="AI63" s="115" t="e">
        <f>VLOOKUP($A63,'S47'!$C:$BQ,52,0)</f>
        <v>#N/A</v>
      </c>
      <c r="AJ63" s="115" t="e">
        <f>VLOOKUP($A63,'S47'!$C:$BQ,59,0)</f>
        <v>#N/A</v>
      </c>
      <c r="AK63" s="115" t="e">
        <f>VLOOKUP($A63,'S47'!$C:$BQ,60,0)</f>
        <v>#N/A</v>
      </c>
      <c r="AL63" s="107" t="e">
        <f>VLOOKUP($A63,'S48'!$C:$BQ,32,0)</f>
        <v>#N/A</v>
      </c>
      <c r="AM63" s="107" t="e">
        <f>VLOOKUP($A63,'S48'!$C:$BQ,39,0)</f>
        <v>#N/A</v>
      </c>
      <c r="AN63" s="107" t="e">
        <f>VLOOKUP($A63,'S48'!$C:$BQ,40,0)</f>
        <v>#N/A</v>
      </c>
      <c r="AO63" s="107" t="e">
        <f>VLOOKUP($A63,'S48'!$C:$BQ,22,0)</f>
        <v>#N/A</v>
      </c>
      <c r="AP63" s="115" t="e">
        <f>VLOOKUP($A63,'S48'!$C:$BQ,29,0)</f>
        <v>#N/A</v>
      </c>
      <c r="AQ63" s="115" t="e">
        <f>VLOOKUP($A63,'S48'!$C:$BQ,30,0)</f>
        <v>#N/A</v>
      </c>
      <c r="AR63" s="115" t="e">
        <f>VLOOKUP($A63,'S48'!$C:$BQ,52,0)</f>
        <v>#N/A</v>
      </c>
      <c r="AS63" s="115" t="e">
        <f>VLOOKUP($A63,'S48'!$C:$BQ,59,0)</f>
        <v>#N/A</v>
      </c>
      <c r="AT63" s="115" t="e">
        <f>VLOOKUP($A63,'S48'!$C:$BQ,60,0)</f>
        <v>#N/A</v>
      </c>
      <c r="AU63" s="107" t="e">
        <f>VLOOKUP($A63,'S49'!$C:$BQ,32,0)</f>
        <v>#N/A</v>
      </c>
      <c r="AV63" s="107" t="e">
        <f>VLOOKUP($A63,'S49'!$C:$BQ,39,0)</f>
        <v>#N/A</v>
      </c>
      <c r="AW63" s="107" t="e">
        <f>VLOOKUP($A63,'S49'!$C:$BQ,40,0)</f>
        <v>#N/A</v>
      </c>
      <c r="AX63" s="107" t="e">
        <f>VLOOKUP($A63,'S49'!$C:$BQ,22,0)</f>
        <v>#N/A</v>
      </c>
      <c r="AY63" s="115" t="e">
        <f>VLOOKUP($A63,'S49'!$C:$BQ,29,0)</f>
        <v>#N/A</v>
      </c>
      <c r="AZ63" s="115" t="e">
        <f>VLOOKUP($A63,'S49'!$C:$BQ,30,0)</f>
        <v>#N/A</v>
      </c>
      <c r="BA63" s="115" t="e">
        <f>VLOOKUP($A63,'S49'!$C:$BQ,52,0)</f>
        <v>#N/A</v>
      </c>
      <c r="BB63" s="115" t="e">
        <f>VLOOKUP($A63,'S49'!$C:$BQ,59,0)</f>
        <v>#N/A</v>
      </c>
      <c r="BC63" s="115" t="e">
        <f>VLOOKUP($A63,'S49'!$C:$BQ,60,0)</f>
        <v>#N/A</v>
      </c>
      <c r="BD63" s="107" t="e">
        <f>VLOOKUP($A63,'S50'!$C:$BQ,32,0)</f>
        <v>#N/A</v>
      </c>
      <c r="BE63" s="107" t="e">
        <f>VLOOKUP($A63,'S50'!$C:$BQ,39,0)</f>
        <v>#N/A</v>
      </c>
      <c r="BF63" s="107" t="e">
        <f>VLOOKUP($A63,'S50'!$C:$BQ,40,0)</f>
        <v>#N/A</v>
      </c>
      <c r="BG63" s="107" t="e">
        <f>VLOOKUP($A63,'S50'!$C:$BQ,22,0)</f>
        <v>#N/A</v>
      </c>
      <c r="BH63" s="115" t="e">
        <f>VLOOKUP($A63,'S50'!$C:$BQ,29,0)</f>
        <v>#N/A</v>
      </c>
      <c r="BI63" s="115" t="e">
        <f>VLOOKUP($A63,'S50'!$C:$BQ,30,0)</f>
        <v>#N/A</v>
      </c>
      <c r="BJ63" s="115" t="e">
        <f>VLOOKUP($A63,'S50'!$C:$BQ,52,0)</f>
        <v>#N/A</v>
      </c>
      <c r="BK63" s="115" t="e">
        <f>VLOOKUP($A63,'S50'!$C:$BQ,59,0)</f>
        <v>#N/A</v>
      </c>
      <c r="BL63" s="115" t="e">
        <f>VLOOKUP($A63,'S50'!$C:$BQ,60,0)</f>
        <v>#N/A</v>
      </c>
    </row>
    <row r="64" spans="1:64" x14ac:dyDescent="0.2">
      <c r="A64" s="106" t="s">
        <v>121</v>
      </c>
      <c r="B64" s="107">
        <f>VLOOKUP($A64,'S0 remplacer avec S44'!$C:$BQ,32,0)</f>
        <v>153.9</v>
      </c>
      <c r="C64" s="107">
        <f>VLOOKUP($A64,'S0 remplacer avec S44'!$C:$BQ,39,0)</f>
        <v>121</v>
      </c>
      <c r="D64" s="107">
        <f>VLOOKUP($A64,'S0 remplacer avec S44'!$C:$BQ,40,0)</f>
        <v>176</v>
      </c>
      <c r="E64" s="107">
        <f>VLOOKUP($A64,'S0 remplacer avec S44'!$C:$BQ,22,0)</f>
        <v>1955.762305</v>
      </c>
      <c r="F64" s="115">
        <f>VLOOKUP($A64,'S0 remplacer avec S44'!$C:$BQ,29,0)</f>
        <v>541</v>
      </c>
      <c r="G64" s="115">
        <f>VLOOKUP($A64,'S0 remplacer avec S44'!$C:$BQ,30,0)</f>
        <v>1040</v>
      </c>
      <c r="H64" s="115">
        <f>VLOOKUP($A64,'S0 remplacer avec S44'!$C:$BQ,52,0)</f>
        <v>193.6</v>
      </c>
      <c r="I64" s="115">
        <f>VLOOKUP($A64,'S0 remplacer avec S44'!$C:$BQ,59,0)</f>
        <v>0</v>
      </c>
      <c r="J64" s="115">
        <f>VLOOKUP($A64,'S0 remplacer avec S44'!$C:$BQ,60,0)</f>
        <v>0</v>
      </c>
      <c r="K64" s="107" t="e">
        <f>VLOOKUP($A64,'S45'!$C:$BQ,32,0)</f>
        <v>#N/A</v>
      </c>
      <c r="L64" s="107" t="e">
        <f>VLOOKUP($A64,'S45'!$C:$BQ,39,0)</f>
        <v>#N/A</v>
      </c>
      <c r="M64" s="107" t="e">
        <f>VLOOKUP($A64,'S45'!$C:$BQ,40,0)</f>
        <v>#N/A</v>
      </c>
      <c r="N64" s="107" t="e">
        <f>VLOOKUP($A64,'S45'!$C:$BQ,22,0)</f>
        <v>#N/A</v>
      </c>
      <c r="O64" s="115" t="e">
        <f>VLOOKUP($A64,'S45'!$C:$BQ,29,0)</f>
        <v>#N/A</v>
      </c>
      <c r="P64" s="115" t="e">
        <f>VLOOKUP($A64,'S45'!$C:$BQ,30,0)</f>
        <v>#N/A</v>
      </c>
      <c r="Q64" s="115" t="e">
        <f>VLOOKUP($A64,'S45'!$C:$BQ,52,0)</f>
        <v>#N/A</v>
      </c>
      <c r="R64" s="115" t="e">
        <f>VLOOKUP($A64,'S45'!$C:$BQ,59,0)</f>
        <v>#N/A</v>
      </c>
      <c r="S64" s="115" t="e">
        <f>VLOOKUP($A64,'S45'!$C:$BQ,60,0)</f>
        <v>#N/A</v>
      </c>
      <c r="T64" s="107" t="e">
        <f>VLOOKUP($A64,'S46'!$C:$BQ,32,0)</f>
        <v>#N/A</v>
      </c>
      <c r="U64" s="107" t="e">
        <f>VLOOKUP($A64,'S46'!$C:$BQ,39,0)</f>
        <v>#N/A</v>
      </c>
      <c r="V64" s="107" t="e">
        <f>VLOOKUP($A64,'S46'!$C:$BQ,40,0)</f>
        <v>#N/A</v>
      </c>
      <c r="W64" s="107" t="e">
        <f>VLOOKUP($A64,'S46'!$C:$BQ,22,0)</f>
        <v>#N/A</v>
      </c>
      <c r="X64" s="115" t="e">
        <f>VLOOKUP($A64,'S46'!$C:$BQ,29,0)</f>
        <v>#N/A</v>
      </c>
      <c r="Y64" s="115" t="e">
        <f>VLOOKUP($A64,'S46'!$C:$BQ,30,0)</f>
        <v>#N/A</v>
      </c>
      <c r="Z64" s="115" t="e">
        <f>VLOOKUP($A64,'S46'!$C:$BQ,52,0)</f>
        <v>#N/A</v>
      </c>
      <c r="AA64" s="115" t="e">
        <f>VLOOKUP($A64,'S46'!$C:$BQ,59,0)</f>
        <v>#N/A</v>
      </c>
      <c r="AB64" s="115" t="e">
        <f>VLOOKUP($A64,'S46'!$C:$BQ,60,0)</f>
        <v>#N/A</v>
      </c>
      <c r="AC64" s="107" t="e">
        <f>VLOOKUP($A64,'S47'!$C:$BQ,32,0)</f>
        <v>#N/A</v>
      </c>
      <c r="AD64" s="107" t="e">
        <f>VLOOKUP($A64,'S47'!$C:$BQ,39,0)</f>
        <v>#N/A</v>
      </c>
      <c r="AE64" s="107" t="e">
        <f>VLOOKUP($A64,'S47'!$C:$BQ,40,0)</f>
        <v>#N/A</v>
      </c>
      <c r="AF64" s="107" t="e">
        <f>VLOOKUP($A64,'S47'!$C:$BQ,22,0)</f>
        <v>#N/A</v>
      </c>
      <c r="AG64" s="115" t="e">
        <f>VLOOKUP($A64,'S47'!$C:$BQ,29,0)</f>
        <v>#N/A</v>
      </c>
      <c r="AH64" s="115" t="e">
        <f>VLOOKUP($A64,'S47'!$C:$BQ,30,0)</f>
        <v>#N/A</v>
      </c>
      <c r="AI64" s="115" t="e">
        <f>VLOOKUP($A64,'S47'!$C:$BQ,52,0)</f>
        <v>#N/A</v>
      </c>
      <c r="AJ64" s="115" t="e">
        <f>VLOOKUP($A64,'S47'!$C:$BQ,59,0)</f>
        <v>#N/A</v>
      </c>
      <c r="AK64" s="115" t="e">
        <f>VLOOKUP($A64,'S47'!$C:$BQ,60,0)</f>
        <v>#N/A</v>
      </c>
      <c r="AL64" s="107" t="e">
        <f>VLOOKUP($A64,'S48'!$C:$BQ,32,0)</f>
        <v>#N/A</v>
      </c>
      <c r="AM64" s="107" t="e">
        <f>VLOOKUP($A64,'S48'!$C:$BQ,39,0)</f>
        <v>#N/A</v>
      </c>
      <c r="AN64" s="107" t="e">
        <f>VLOOKUP($A64,'S48'!$C:$BQ,40,0)</f>
        <v>#N/A</v>
      </c>
      <c r="AO64" s="107" t="e">
        <f>VLOOKUP($A64,'S48'!$C:$BQ,22,0)</f>
        <v>#N/A</v>
      </c>
      <c r="AP64" s="115" t="e">
        <f>VLOOKUP($A64,'S48'!$C:$BQ,29,0)</f>
        <v>#N/A</v>
      </c>
      <c r="AQ64" s="115" t="e">
        <f>VLOOKUP($A64,'S48'!$C:$BQ,30,0)</f>
        <v>#N/A</v>
      </c>
      <c r="AR64" s="115" t="e">
        <f>VLOOKUP($A64,'S48'!$C:$BQ,52,0)</f>
        <v>#N/A</v>
      </c>
      <c r="AS64" s="115" t="e">
        <f>VLOOKUP($A64,'S48'!$C:$BQ,59,0)</f>
        <v>#N/A</v>
      </c>
      <c r="AT64" s="115" t="e">
        <f>VLOOKUP($A64,'S48'!$C:$BQ,60,0)</f>
        <v>#N/A</v>
      </c>
      <c r="AU64" s="107" t="e">
        <f>VLOOKUP($A64,'S49'!$C:$BQ,32,0)</f>
        <v>#N/A</v>
      </c>
      <c r="AV64" s="107" t="e">
        <f>VLOOKUP($A64,'S49'!$C:$BQ,39,0)</f>
        <v>#N/A</v>
      </c>
      <c r="AW64" s="107" t="e">
        <f>VLOOKUP($A64,'S49'!$C:$BQ,40,0)</f>
        <v>#N/A</v>
      </c>
      <c r="AX64" s="107" t="e">
        <f>VLOOKUP($A64,'S49'!$C:$BQ,22,0)</f>
        <v>#N/A</v>
      </c>
      <c r="AY64" s="115" t="e">
        <f>VLOOKUP($A64,'S49'!$C:$BQ,29,0)</f>
        <v>#N/A</v>
      </c>
      <c r="AZ64" s="115" t="e">
        <f>VLOOKUP($A64,'S49'!$C:$BQ,30,0)</f>
        <v>#N/A</v>
      </c>
      <c r="BA64" s="115" t="e">
        <f>VLOOKUP($A64,'S49'!$C:$BQ,52,0)</f>
        <v>#N/A</v>
      </c>
      <c r="BB64" s="115" t="e">
        <f>VLOOKUP($A64,'S49'!$C:$BQ,59,0)</f>
        <v>#N/A</v>
      </c>
      <c r="BC64" s="115" t="e">
        <f>VLOOKUP($A64,'S49'!$C:$BQ,60,0)</f>
        <v>#N/A</v>
      </c>
      <c r="BD64" s="107" t="e">
        <f>VLOOKUP($A64,'S50'!$C:$BQ,32,0)</f>
        <v>#N/A</v>
      </c>
      <c r="BE64" s="107" t="e">
        <f>VLOOKUP($A64,'S50'!$C:$BQ,39,0)</f>
        <v>#N/A</v>
      </c>
      <c r="BF64" s="107" t="e">
        <f>VLOOKUP($A64,'S50'!$C:$BQ,40,0)</f>
        <v>#N/A</v>
      </c>
      <c r="BG64" s="107" t="e">
        <f>VLOOKUP($A64,'S50'!$C:$BQ,22,0)</f>
        <v>#N/A</v>
      </c>
      <c r="BH64" s="115" t="e">
        <f>VLOOKUP($A64,'S50'!$C:$BQ,29,0)</f>
        <v>#N/A</v>
      </c>
      <c r="BI64" s="115" t="e">
        <f>VLOOKUP($A64,'S50'!$C:$BQ,30,0)</f>
        <v>#N/A</v>
      </c>
      <c r="BJ64" s="115" t="e">
        <f>VLOOKUP($A64,'S50'!$C:$BQ,52,0)</f>
        <v>#N/A</v>
      </c>
      <c r="BK64" s="115" t="e">
        <f>VLOOKUP($A64,'S50'!$C:$BQ,59,0)</f>
        <v>#N/A</v>
      </c>
      <c r="BL64" s="115" t="e">
        <f>VLOOKUP($A64,'S50'!$C:$BQ,60,0)</f>
        <v>#N/A</v>
      </c>
    </row>
    <row r="65" spans="1:64" x14ac:dyDescent="0.2">
      <c r="A65" s="106" t="s">
        <v>122</v>
      </c>
      <c r="B65" s="107">
        <f>VLOOKUP($A65,'S0 remplacer avec S44'!$C:$BQ,32,0)</f>
        <v>287.05</v>
      </c>
      <c r="C65" s="107">
        <f>VLOOKUP($A65,'S0 remplacer avec S44'!$C:$BQ,39,0)</f>
        <v>0</v>
      </c>
      <c r="D65" s="107">
        <f>VLOOKUP($A65,'S0 remplacer avec S44'!$C:$BQ,40,0)</f>
        <v>57</v>
      </c>
      <c r="E65" s="107">
        <f>VLOOKUP($A65,'S0 remplacer avec S44'!$C:$BQ,22,0)</f>
        <v>2752.2470450000001</v>
      </c>
      <c r="F65" s="115">
        <f>VLOOKUP($A65,'S0 remplacer avec S44'!$C:$BQ,29,0)</f>
        <v>0</v>
      </c>
      <c r="G65" s="115">
        <f>VLOOKUP($A65,'S0 remplacer avec S44'!$C:$BQ,30,0)</f>
        <v>375</v>
      </c>
      <c r="H65" s="115">
        <f>VLOOKUP($A65,'S0 remplacer avec S44'!$C:$BQ,52,0)</f>
        <v>211.8</v>
      </c>
      <c r="I65" s="115">
        <f>VLOOKUP($A65,'S0 remplacer avec S44'!$C:$BQ,59,0)</f>
        <v>0</v>
      </c>
      <c r="J65" s="115">
        <f>VLOOKUP($A65,'S0 remplacer avec S44'!$C:$BQ,60,0)</f>
        <v>0</v>
      </c>
      <c r="K65" s="107" t="e">
        <f>VLOOKUP($A65,'S45'!$C:$BQ,32,0)</f>
        <v>#N/A</v>
      </c>
      <c r="L65" s="107" t="e">
        <f>VLOOKUP($A65,'S45'!$C:$BQ,39,0)</f>
        <v>#N/A</v>
      </c>
      <c r="M65" s="107" t="e">
        <f>VLOOKUP($A65,'S45'!$C:$BQ,40,0)</f>
        <v>#N/A</v>
      </c>
      <c r="N65" s="107" t="e">
        <f>VLOOKUP($A65,'S45'!$C:$BQ,22,0)</f>
        <v>#N/A</v>
      </c>
      <c r="O65" s="115" t="e">
        <f>VLOOKUP($A65,'S45'!$C:$BQ,29,0)</f>
        <v>#N/A</v>
      </c>
      <c r="P65" s="115" t="e">
        <f>VLOOKUP($A65,'S45'!$C:$BQ,30,0)</f>
        <v>#N/A</v>
      </c>
      <c r="Q65" s="115" t="e">
        <f>VLOOKUP($A65,'S45'!$C:$BQ,52,0)</f>
        <v>#N/A</v>
      </c>
      <c r="R65" s="115" t="e">
        <f>VLOOKUP($A65,'S45'!$C:$BQ,59,0)</f>
        <v>#N/A</v>
      </c>
      <c r="S65" s="115" t="e">
        <f>VLOOKUP($A65,'S45'!$C:$BQ,60,0)</f>
        <v>#N/A</v>
      </c>
      <c r="T65" s="107" t="e">
        <f>VLOOKUP($A65,'S46'!$C:$BQ,32,0)</f>
        <v>#N/A</v>
      </c>
      <c r="U65" s="107" t="e">
        <f>VLOOKUP($A65,'S46'!$C:$BQ,39,0)</f>
        <v>#N/A</v>
      </c>
      <c r="V65" s="107" t="e">
        <f>VLOOKUP($A65,'S46'!$C:$BQ,40,0)</f>
        <v>#N/A</v>
      </c>
      <c r="W65" s="107" t="e">
        <f>VLOOKUP($A65,'S46'!$C:$BQ,22,0)</f>
        <v>#N/A</v>
      </c>
      <c r="X65" s="115" t="e">
        <f>VLOOKUP($A65,'S46'!$C:$BQ,29,0)</f>
        <v>#N/A</v>
      </c>
      <c r="Y65" s="115" t="e">
        <f>VLOOKUP($A65,'S46'!$C:$BQ,30,0)</f>
        <v>#N/A</v>
      </c>
      <c r="Z65" s="115" t="e">
        <f>VLOOKUP($A65,'S46'!$C:$BQ,52,0)</f>
        <v>#N/A</v>
      </c>
      <c r="AA65" s="115" t="e">
        <f>VLOOKUP($A65,'S46'!$C:$BQ,59,0)</f>
        <v>#N/A</v>
      </c>
      <c r="AB65" s="115" t="e">
        <f>VLOOKUP($A65,'S46'!$C:$BQ,60,0)</f>
        <v>#N/A</v>
      </c>
      <c r="AC65" s="107" t="e">
        <f>VLOOKUP($A65,'S47'!$C:$BQ,32,0)</f>
        <v>#N/A</v>
      </c>
      <c r="AD65" s="107" t="e">
        <f>VLOOKUP($A65,'S47'!$C:$BQ,39,0)</f>
        <v>#N/A</v>
      </c>
      <c r="AE65" s="107" t="e">
        <f>VLOOKUP($A65,'S47'!$C:$BQ,40,0)</f>
        <v>#N/A</v>
      </c>
      <c r="AF65" s="107" t="e">
        <f>VLOOKUP($A65,'S47'!$C:$BQ,22,0)</f>
        <v>#N/A</v>
      </c>
      <c r="AG65" s="115" t="e">
        <f>VLOOKUP($A65,'S47'!$C:$BQ,29,0)</f>
        <v>#N/A</v>
      </c>
      <c r="AH65" s="115" t="e">
        <f>VLOOKUP($A65,'S47'!$C:$BQ,30,0)</f>
        <v>#N/A</v>
      </c>
      <c r="AI65" s="115" t="e">
        <f>VLOOKUP($A65,'S47'!$C:$BQ,52,0)</f>
        <v>#N/A</v>
      </c>
      <c r="AJ65" s="115" t="e">
        <f>VLOOKUP($A65,'S47'!$C:$BQ,59,0)</f>
        <v>#N/A</v>
      </c>
      <c r="AK65" s="115" t="e">
        <f>VLOOKUP($A65,'S47'!$C:$BQ,60,0)</f>
        <v>#N/A</v>
      </c>
      <c r="AL65" s="107" t="e">
        <f>VLOOKUP($A65,'S48'!$C:$BQ,32,0)</f>
        <v>#N/A</v>
      </c>
      <c r="AM65" s="107" t="e">
        <f>VLOOKUP($A65,'S48'!$C:$BQ,39,0)</f>
        <v>#N/A</v>
      </c>
      <c r="AN65" s="107" t="e">
        <f>VLOOKUP($A65,'S48'!$C:$BQ,40,0)</f>
        <v>#N/A</v>
      </c>
      <c r="AO65" s="107" t="e">
        <f>VLOOKUP($A65,'S48'!$C:$BQ,22,0)</f>
        <v>#N/A</v>
      </c>
      <c r="AP65" s="115" t="e">
        <f>VLOOKUP($A65,'S48'!$C:$BQ,29,0)</f>
        <v>#N/A</v>
      </c>
      <c r="AQ65" s="115" t="e">
        <f>VLOOKUP($A65,'S48'!$C:$BQ,30,0)</f>
        <v>#N/A</v>
      </c>
      <c r="AR65" s="115" t="e">
        <f>VLOOKUP($A65,'S48'!$C:$BQ,52,0)</f>
        <v>#N/A</v>
      </c>
      <c r="AS65" s="115" t="e">
        <f>VLOOKUP($A65,'S48'!$C:$BQ,59,0)</f>
        <v>#N/A</v>
      </c>
      <c r="AT65" s="115" t="e">
        <f>VLOOKUP($A65,'S48'!$C:$BQ,60,0)</f>
        <v>#N/A</v>
      </c>
      <c r="AU65" s="107" t="e">
        <f>VLOOKUP($A65,'S49'!$C:$BQ,32,0)</f>
        <v>#N/A</v>
      </c>
      <c r="AV65" s="107" t="e">
        <f>VLOOKUP($A65,'S49'!$C:$BQ,39,0)</f>
        <v>#N/A</v>
      </c>
      <c r="AW65" s="107" t="e">
        <f>VLOOKUP($A65,'S49'!$C:$BQ,40,0)</f>
        <v>#N/A</v>
      </c>
      <c r="AX65" s="107" t="e">
        <f>VLOOKUP($A65,'S49'!$C:$BQ,22,0)</f>
        <v>#N/A</v>
      </c>
      <c r="AY65" s="115" t="e">
        <f>VLOOKUP($A65,'S49'!$C:$BQ,29,0)</f>
        <v>#N/A</v>
      </c>
      <c r="AZ65" s="115" t="e">
        <f>VLOOKUP($A65,'S49'!$C:$BQ,30,0)</f>
        <v>#N/A</v>
      </c>
      <c r="BA65" s="115" t="e">
        <f>VLOOKUP($A65,'S49'!$C:$BQ,52,0)</f>
        <v>#N/A</v>
      </c>
      <c r="BB65" s="115" t="e">
        <f>VLOOKUP($A65,'S49'!$C:$BQ,59,0)</f>
        <v>#N/A</v>
      </c>
      <c r="BC65" s="115" t="e">
        <f>VLOOKUP($A65,'S49'!$C:$BQ,60,0)</f>
        <v>#N/A</v>
      </c>
      <c r="BD65" s="107" t="e">
        <f>VLOOKUP($A65,'S50'!$C:$BQ,32,0)</f>
        <v>#N/A</v>
      </c>
      <c r="BE65" s="107" t="e">
        <f>VLOOKUP($A65,'S50'!$C:$BQ,39,0)</f>
        <v>#N/A</v>
      </c>
      <c r="BF65" s="107" t="e">
        <f>VLOOKUP($A65,'S50'!$C:$BQ,40,0)</f>
        <v>#N/A</v>
      </c>
      <c r="BG65" s="107" t="e">
        <f>VLOOKUP($A65,'S50'!$C:$BQ,22,0)</f>
        <v>#N/A</v>
      </c>
      <c r="BH65" s="115" t="e">
        <f>VLOOKUP($A65,'S50'!$C:$BQ,29,0)</f>
        <v>#N/A</v>
      </c>
      <c r="BI65" s="115" t="e">
        <f>VLOOKUP($A65,'S50'!$C:$BQ,30,0)</f>
        <v>#N/A</v>
      </c>
      <c r="BJ65" s="115" t="e">
        <f>VLOOKUP($A65,'S50'!$C:$BQ,52,0)</f>
        <v>#N/A</v>
      </c>
      <c r="BK65" s="115" t="e">
        <f>VLOOKUP($A65,'S50'!$C:$BQ,59,0)</f>
        <v>#N/A</v>
      </c>
      <c r="BL65" s="115" t="e">
        <f>VLOOKUP($A65,'S50'!$C:$BQ,60,0)</f>
        <v>#N/A</v>
      </c>
    </row>
    <row r="66" spans="1:64" x14ac:dyDescent="0.2">
      <c r="A66" s="106" t="s">
        <v>123</v>
      </c>
      <c r="B66" s="107">
        <f>VLOOKUP($A66,'S0 remplacer avec S44'!$C:$BQ,32,0)</f>
        <v>93.65</v>
      </c>
      <c r="C66" s="107">
        <f>VLOOKUP($A66,'S0 remplacer avec S44'!$C:$BQ,39,0)</f>
        <v>2</v>
      </c>
      <c r="D66" s="107">
        <f>VLOOKUP($A66,'S0 remplacer avec S44'!$C:$BQ,40,0)</f>
        <v>21</v>
      </c>
      <c r="E66" s="107">
        <f>VLOOKUP($A66,'S0 remplacer avec S44'!$C:$BQ,22,0)</f>
        <v>620.82729500000005</v>
      </c>
      <c r="F66" s="115">
        <f>VLOOKUP($A66,'S0 remplacer avec S44'!$C:$BQ,29,0)</f>
        <v>245</v>
      </c>
      <c r="G66" s="115">
        <f>VLOOKUP($A66,'S0 remplacer avec S44'!$C:$BQ,30,0)</f>
        <v>418</v>
      </c>
      <c r="H66" s="115">
        <f>VLOOKUP($A66,'S0 remplacer avec S44'!$C:$BQ,52,0)</f>
        <v>53.4</v>
      </c>
      <c r="I66" s="115">
        <f>VLOOKUP($A66,'S0 remplacer avec S44'!$C:$BQ,59,0)</f>
        <v>0</v>
      </c>
      <c r="J66" s="115">
        <f>VLOOKUP($A66,'S0 remplacer avec S44'!$C:$BQ,60,0)</f>
        <v>5</v>
      </c>
      <c r="K66" s="107" t="e">
        <f>VLOOKUP($A66,'S45'!$C:$BQ,32,0)</f>
        <v>#N/A</v>
      </c>
      <c r="L66" s="107" t="e">
        <f>VLOOKUP($A66,'S45'!$C:$BQ,39,0)</f>
        <v>#N/A</v>
      </c>
      <c r="M66" s="107" t="e">
        <f>VLOOKUP($A66,'S45'!$C:$BQ,40,0)</f>
        <v>#N/A</v>
      </c>
      <c r="N66" s="107" t="e">
        <f>VLOOKUP($A66,'S45'!$C:$BQ,22,0)</f>
        <v>#N/A</v>
      </c>
      <c r="O66" s="115" t="e">
        <f>VLOOKUP($A66,'S45'!$C:$BQ,29,0)</f>
        <v>#N/A</v>
      </c>
      <c r="P66" s="115" t="e">
        <f>VLOOKUP($A66,'S45'!$C:$BQ,30,0)</f>
        <v>#N/A</v>
      </c>
      <c r="Q66" s="115" t="e">
        <f>VLOOKUP($A66,'S45'!$C:$BQ,52,0)</f>
        <v>#N/A</v>
      </c>
      <c r="R66" s="115" t="e">
        <f>VLOOKUP($A66,'S45'!$C:$BQ,59,0)</f>
        <v>#N/A</v>
      </c>
      <c r="S66" s="115" t="e">
        <f>VLOOKUP($A66,'S45'!$C:$BQ,60,0)</f>
        <v>#N/A</v>
      </c>
      <c r="T66" s="107" t="e">
        <f>VLOOKUP($A66,'S46'!$C:$BQ,32,0)</f>
        <v>#N/A</v>
      </c>
      <c r="U66" s="107" t="e">
        <f>VLOOKUP($A66,'S46'!$C:$BQ,39,0)</f>
        <v>#N/A</v>
      </c>
      <c r="V66" s="107" t="e">
        <f>VLOOKUP($A66,'S46'!$C:$BQ,40,0)</f>
        <v>#N/A</v>
      </c>
      <c r="W66" s="107" t="e">
        <f>VLOOKUP($A66,'S46'!$C:$BQ,22,0)</f>
        <v>#N/A</v>
      </c>
      <c r="X66" s="115" t="e">
        <f>VLOOKUP($A66,'S46'!$C:$BQ,29,0)</f>
        <v>#N/A</v>
      </c>
      <c r="Y66" s="115" t="e">
        <f>VLOOKUP($A66,'S46'!$C:$BQ,30,0)</f>
        <v>#N/A</v>
      </c>
      <c r="Z66" s="115" t="e">
        <f>VLOOKUP($A66,'S46'!$C:$BQ,52,0)</f>
        <v>#N/A</v>
      </c>
      <c r="AA66" s="115" t="e">
        <f>VLOOKUP($A66,'S46'!$C:$BQ,59,0)</f>
        <v>#N/A</v>
      </c>
      <c r="AB66" s="115" t="e">
        <f>VLOOKUP($A66,'S46'!$C:$BQ,60,0)</f>
        <v>#N/A</v>
      </c>
      <c r="AC66" s="107" t="e">
        <f>VLOOKUP($A66,'S47'!$C:$BQ,32,0)</f>
        <v>#N/A</v>
      </c>
      <c r="AD66" s="107" t="e">
        <f>VLOOKUP($A66,'S47'!$C:$BQ,39,0)</f>
        <v>#N/A</v>
      </c>
      <c r="AE66" s="107" t="e">
        <f>VLOOKUP($A66,'S47'!$C:$BQ,40,0)</f>
        <v>#N/A</v>
      </c>
      <c r="AF66" s="107" t="e">
        <f>VLOOKUP($A66,'S47'!$C:$BQ,22,0)</f>
        <v>#N/A</v>
      </c>
      <c r="AG66" s="115" t="e">
        <f>VLOOKUP($A66,'S47'!$C:$BQ,29,0)</f>
        <v>#N/A</v>
      </c>
      <c r="AH66" s="115" t="e">
        <f>VLOOKUP($A66,'S47'!$C:$BQ,30,0)</f>
        <v>#N/A</v>
      </c>
      <c r="AI66" s="115" t="e">
        <f>VLOOKUP($A66,'S47'!$C:$BQ,52,0)</f>
        <v>#N/A</v>
      </c>
      <c r="AJ66" s="115" t="e">
        <f>VLOOKUP($A66,'S47'!$C:$BQ,59,0)</f>
        <v>#N/A</v>
      </c>
      <c r="AK66" s="115" t="e">
        <f>VLOOKUP($A66,'S47'!$C:$BQ,60,0)</f>
        <v>#N/A</v>
      </c>
      <c r="AL66" s="107" t="e">
        <f>VLOOKUP($A66,'S48'!$C:$BQ,32,0)</f>
        <v>#N/A</v>
      </c>
      <c r="AM66" s="107" t="e">
        <f>VLOOKUP($A66,'S48'!$C:$BQ,39,0)</f>
        <v>#N/A</v>
      </c>
      <c r="AN66" s="107" t="e">
        <f>VLOOKUP($A66,'S48'!$C:$BQ,40,0)</f>
        <v>#N/A</v>
      </c>
      <c r="AO66" s="107" t="e">
        <f>VLOOKUP($A66,'S48'!$C:$BQ,22,0)</f>
        <v>#N/A</v>
      </c>
      <c r="AP66" s="115" t="e">
        <f>VLOOKUP($A66,'S48'!$C:$BQ,29,0)</f>
        <v>#N/A</v>
      </c>
      <c r="AQ66" s="115" t="e">
        <f>VLOOKUP($A66,'S48'!$C:$BQ,30,0)</f>
        <v>#N/A</v>
      </c>
      <c r="AR66" s="115" t="e">
        <f>VLOOKUP($A66,'S48'!$C:$BQ,52,0)</f>
        <v>#N/A</v>
      </c>
      <c r="AS66" s="115" t="e">
        <f>VLOOKUP($A66,'S48'!$C:$BQ,59,0)</f>
        <v>#N/A</v>
      </c>
      <c r="AT66" s="115" t="e">
        <f>VLOOKUP($A66,'S48'!$C:$BQ,60,0)</f>
        <v>#N/A</v>
      </c>
      <c r="AU66" s="107" t="e">
        <f>VLOOKUP($A66,'S49'!$C:$BQ,32,0)</f>
        <v>#N/A</v>
      </c>
      <c r="AV66" s="107" t="e">
        <f>VLOOKUP($A66,'S49'!$C:$BQ,39,0)</f>
        <v>#N/A</v>
      </c>
      <c r="AW66" s="107" t="e">
        <f>VLOOKUP($A66,'S49'!$C:$BQ,40,0)</f>
        <v>#N/A</v>
      </c>
      <c r="AX66" s="107" t="e">
        <f>VLOOKUP($A66,'S49'!$C:$BQ,22,0)</f>
        <v>#N/A</v>
      </c>
      <c r="AY66" s="115" t="e">
        <f>VLOOKUP($A66,'S49'!$C:$BQ,29,0)</f>
        <v>#N/A</v>
      </c>
      <c r="AZ66" s="115" t="e">
        <f>VLOOKUP($A66,'S49'!$C:$BQ,30,0)</f>
        <v>#N/A</v>
      </c>
      <c r="BA66" s="115" t="e">
        <f>VLOOKUP($A66,'S49'!$C:$BQ,52,0)</f>
        <v>#N/A</v>
      </c>
      <c r="BB66" s="115" t="e">
        <f>VLOOKUP($A66,'S49'!$C:$BQ,59,0)</f>
        <v>#N/A</v>
      </c>
      <c r="BC66" s="115" t="e">
        <f>VLOOKUP($A66,'S49'!$C:$BQ,60,0)</f>
        <v>#N/A</v>
      </c>
      <c r="BD66" s="107" t="e">
        <f>VLOOKUP($A66,'S50'!$C:$BQ,32,0)</f>
        <v>#N/A</v>
      </c>
      <c r="BE66" s="107" t="e">
        <f>VLOOKUP($A66,'S50'!$C:$BQ,39,0)</f>
        <v>#N/A</v>
      </c>
      <c r="BF66" s="107" t="e">
        <f>VLOOKUP($A66,'S50'!$C:$BQ,40,0)</f>
        <v>#N/A</v>
      </c>
      <c r="BG66" s="107" t="e">
        <f>VLOOKUP($A66,'S50'!$C:$BQ,22,0)</f>
        <v>#N/A</v>
      </c>
      <c r="BH66" s="115" t="e">
        <f>VLOOKUP($A66,'S50'!$C:$BQ,29,0)</f>
        <v>#N/A</v>
      </c>
      <c r="BI66" s="115" t="e">
        <f>VLOOKUP($A66,'S50'!$C:$BQ,30,0)</f>
        <v>#N/A</v>
      </c>
      <c r="BJ66" s="115" t="e">
        <f>VLOOKUP($A66,'S50'!$C:$BQ,52,0)</f>
        <v>#N/A</v>
      </c>
      <c r="BK66" s="115" t="e">
        <f>VLOOKUP($A66,'S50'!$C:$BQ,59,0)</f>
        <v>#N/A</v>
      </c>
      <c r="BL66" s="115" t="e">
        <f>VLOOKUP($A66,'S50'!$C:$BQ,60,0)</f>
        <v>#N/A</v>
      </c>
    </row>
    <row r="67" spans="1:64" x14ac:dyDescent="0.2">
      <c r="A67" s="106" t="s">
        <v>124</v>
      </c>
      <c r="B67" s="107">
        <f>VLOOKUP($A67,'S0 remplacer avec S44'!$C:$BQ,32,0)</f>
        <v>121.3</v>
      </c>
      <c r="C67" s="107">
        <f>VLOOKUP($A67,'S0 remplacer avec S44'!$C:$BQ,39,0)</f>
        <v>72</v>
      </c>
      <c r="D67" s="107">
        <f>VLOOKUP($A67,'S0 remplacer avec S44'!$C:$BQ,40,0)</f>
        <v>110</v>
      </c>
      <c r="E67" s="107">
        <f>VLOOKUP($A67,'S0 remplacer avec S44'!$C:$BQ,22,0)</f>
        <v>1468.09015</v>
      </c>
      <c r="F67" s="115">
        <f>VLOOKUP($A67,'S0 remplacer avec S44'!$C:$BQ,29,0)</f>
        <v>282</v>
      </c>
      <c r="G67" s="115">
        <f>VLOOKUP($A67,'S0 remplacer avec S44'!$C:$BQ,30,0)</f>
        <v>632</v>
      </c>
      <c r="H67" s="115">
        <f>VLOOKUP($A67,'S0 remplacer avec S44'!$C:$BQ,52,0)</f>
        <v>164</v>
      </c>
      <c r="I67" s="115">
        <f>VLOOKUP($A67,'S0 remplacer avec S44'!$C:$BQ,59,0)</f>
        <v>0</v>
      </c>
      <c r="J67" s="115">
        <f>VLOOKUP($A67,'S0 remplacer avec S44'!$C:$BQ,60,0)</f>
        <v>0</v>
      </c>
      <c r="K67" s="107" t="e">
        <f>VLOOKUP($A67,'S45'!$C:$BQ,32,0)</f>
        <v>#N/A</v>
      </c>
      <c r="L67" s="107" t="e">
        <f>VLOOKUP($A67,'S45'!$C:$BQ,39,0)</f>
        <v>#N/A</v>
      </c>
      <c r="M67" s="107" t="e">
        <f>VLOOKUP($A67,'S45'!$C:$BQ,40,0)</f>
        <v>#N/A</v>
      </c>
      <c r="N67" s="107" t="e">
        <f>VLOOKUP($A67,'S45'!$C:$BQ,22,0)</f>
        <v>#N/A</v>
      </c>
      <c r="O67" s="115" t="e">
        <f>VLOOKUP($A67,'S45'!$C:$BQ,29,0)</f>
        <v>#N/A</v>
      </c>
      <c r="P67" s="115" t="e">
        <f>VLOOKUP($A67,'S45'!$C:$BQ,30,0)</f>
        <v>#N/A</v>
      </c>
      <c r="Q67" s="115" t="e">
        <f>VLOOKUP($A67,'S45'!$C:$BQ,52,0)</f>
        <v>#N/A</v>
      </c>
      <c r="R67" s="115" t="e">
        <f>VLOOKUP($A67,'S45'!$C:$BQ,59,0)</f>
        <v>#N/A</v>
      </c>
      <c r="S67" s="115" t="e">
        <f>VLOOKUP($A67,'S45'!$C:$BQ,60,0)</f>
        <v>#N/A</v>
      </c>
      <c r="T67" s="107" t="e">
        <f>VLOOKUP($A67,'S46'!$C:$BQ,32,0)</f>
        <v>#N/A</v>
      </c>
      <c r="U67" s="107" t="e">
        <f>VLOOKUP($A67,'S46'!$C:$BQ,39,0)</f>
        <v>#N/A</v>
      </c>
      <c r="V67" s="107" t="e">
        <f>VLOOKUP($A67,'S46'!$C:$BQ,40,0)</f>
        <v>#N/A</v>
      </c>
      <c r="W67" s="107" t="e">
        <f>VLOOKUP($A67,'S46'!$C:$BQ,22,0)</f>
        <v>#N/A</v>
      </c>
      <c r="X67" s="115" t="e">
        <f>VLOOKUP($A67,'S46'!$C:$BQ,29,0)</f>
        <v>#N/A</v>
      </c>
      <c r="Y67" s="115" t="e">
        <f>VLOOKUP($A67,'S46'!$C:$BQ,30,0)</f>
        <v>#N/A</v>
      </c>
      <c r="Z67" s="115" t="e">
        <f>VLOOKUP($A67,'S46'!$C:$BQ,52,0)</f>
        <v>#N/A</v>
      </c>
      <c r="AA67" s="115" t="e">
        <f>VLOOKUP($A67,'S46'!$C:$BQ,59,0)</f>
        <v>#N/A</v>
      </c>
      <c r="AB67" s="115" t="e">
        <f>VLOOKUP($A67,'S46'!$C:$BQ,60,0)</f>
        <v>#N/A</v>
      </c>
      <c r="AC67" s="107" t="e">
        <f>VLOOKUP($A67,'S47'!$C:$BQ,32,0)</f>
        <v>#N/A</v>
      </c>
      <c r="AD67" s="107" t="e">
        <f>VLOOKUP($A67,'S47'!$C:$BQ,39,0)</f>
        <v>#N/A</v>
      </c>
      <c r="AE67" s="107" t="e">
        <f>VLOOKUP($A67,'S47'!$C:$BQ,40,0)</f>
        <v>#N/A</v>
      </c>
      <c r="AF67" s="107" t="e">
        <f>VLOOKUP($A67,'S47'!$C:$BQ,22,0)</f>
        <v>#N/A</v>
      </c>
      <c r="AG67" s="115" t="e">
        <f>VLOOKUP($A67,'S47'!$C:$BQ,29,0)</f>
        <v>#N/A</v>
      </c>
      <c r="AH67" s="115" t="e">
        <f>VLOOKUP($A67,'S47'!$C:$BQ,30,0)</f>
        <v>#N/A</v>
      </c>
      <c r="AI67" s="115" t="e">
        <f>VLOOKUP($A67,'S47'!$C:$BQ,52,0)</f>
        <v>#N/A</v>
      </c>
      <c r="AJ67" s="115" t="e">
        <f>VLOOKUP($A67,'S47'!$C:$BQ,59,0)</f>
        <v>#N/A</v>
      </c>
      <c r="AK67" s="115" t="e">
        <f>VLOOKUP($A67,'S47'!$C:$BQ,60,0)</f>
        <v>#N/A</v>
      </c>
      <c r="AL67" s="107" t="e">
        <f>VLOOKUP($A67,'S48'!$C:$BQ,32,0)</f>
        <v>#N/A</v>
      </c>
      <c r="AM67" s="107" t="e">
        <f>VLOOKUP($A67,'S48'!$C:$BQ,39,0)</f>
        <v>#N/A</v>
      </c>
      <c r="AN67" s="107" t="e">
        <f>VLOOKUP($A67,'S48'!$C:$BQ,40,0)</f>
        <v>#N/A</v>
      </c>
      <c r="AO67" s="107" t="e">
        <f>VLOOKUP($A67,'S48'!$C:$BQ,22,0)</f>
        <v>#N/A</v>
      </c>
      <c r="AP67" s="115" t="e">
        <f>VLOOKUP($A67,'S48'!$C:$BQ,29,0)</f>
        <v>#N/A</v>
      </c>
      <c r="AQ67" s="115" t="e">
        <f>VLOOKUP($A67,'S48'!$C:$BQ,30,0)</f>
        <v>#N/A</v>
      </c>
      <c r="AR67" s="115" t="e">
        <f>VLOOKUP($A67,'S48'!$C:$BQ,52,0)</f>
        <v>#N/A</v>
      </c>
      <c r="AS67" s="115" t="e">
        <f>VLOOKUP($A67,'S48'!$C:$BQ,59,0)</f>
        <v>#N/A</v>
      </c>
      <c r="AT67" s="115" t="e">
        <f>VLOOKUP($A67,'S48'!$C:$BQ,60,0)</f>
        <v>#N/A</v>
      </c>
      <c r="AU67" s="107" t="e">
        <f>VLOOKUP($A67,'S49'!$C:$BQ,32,0)</f>
        <v>#N/A</v>
      </c>
      <c r="AV67" s="107" t="e">
        <f>VLOOKUP($A67,'S49'!$C:$BQ,39,0)</f>
        <v>#N/A</v>
      </c>
      <c r="AW67" s="107" t="e">
        <f>VLOOKUP($A67,'S49'!$C:$BQ,40,0)</f>
        <v>#N/A</v>
      </c>
      <c r="AX67" s="107" t="e">
        <f>VLOOKUP($A67,'S49'!$C:$BQ,22,0)</f>
        <v>#N/A</v>
      </c>
      <c r="AY67" s="115" t="e">
        <f>VLOOKUP($A67,'S49'!$C:$BQ,29,0)</f>
        <v>#N/A</v>
      </c>
      <c r="AZ67" s="115" t="e">
        <f>VLOOKUP($A67,'S49'!$C:$BQ,30,0)</f>
        <v>#N/A</v>
      </c>
      <c r="BA67" s="115" t="e">
        <f>VLOOKUP($A67,'S49'!$C:$BQ,52,0)</f>
        <v>#N/A</v>
      </c>
      <c r="BB67" s="115" t="e">
        <f>VLOOKUP($A67,'S49'!$C:$BQ,59,0)</f>
        <v>#N/A</v>
      </c>
      <c r="BC67" s="115" t="e">
        <f>VLOOKUP($A67,'S49'!$C:$BQ,60,0)</f>
        <v>#N/A</v>
      </c>
      <c r="BD67" s="107" t="e">
        <f>VLOOKUP($A67,'S50'!$C:$BQ,32,0)</f>
        <v>#N/A</v>
      </c>
      <c r="BE67" s="107" t="e">
        <f>VLOOKUP($A67,'S50'!$C:$BQ,39,0)</f>
        <v>#N/A</v>
      </c>
      <c r="BF67" s="107" t="e">
        <f>VLOOKUP($A67,'S50'!$C:$BQ,40,0)</f>
        <v>#N/A</v>
      </c>
      <c r="BG67" s="107" t="e">
        <f>VLOOKUP($A67,'S50'!$C:$BQ,22,0)</f>
        <v>#N/A</v>
      </c>
      <c r="BH67" s="115" t="e">
        <f>VLOOKUP($A67,'S50'!$C:$BQ,29,0)</f>
        <v>#N/A</v>
      </c>
      <c r="BI67" s="115" t="e">
        <f>VLOOKUP($A67,'S50'!$C:$BQ,30,0)</f>
        <v>#N/A</v>
      </c>
      <c r="BJ67" s="115" t="e">
        <f>VLOOKUP($A67,'S50'!$C:$BQ,52,0)</f>
        <v>#N/A</v>
      </c>
      <c r="BK67" s="115" t="e">
        <f>VLOOKUP($A67,'S50'!$C:$BQ,59,0)</f>
        <v>#N/A</v>
      </c>
      <c r="BL67" s="115" t="e">
        <f>VLOOKUP($A67,'S50'!$C:$BQ,60,0)</f>
        <v>#N/A</v>
      </c>
    </row>
    <row r="68" spans="1:64" x14ac:dyDescent="0.2">
      <c r="A68" s="106" t="s">
        <v>125</v>
      </c>
      <c r="B68" s="107">
        <f>VLOOKUP($A68,'S0 remplacer avec S44'!$C:$BQ,32,0)</f>
        <v>118.9</v>
      </c>
      <c r="C68" s="107">
        <f>VLOOKUP($A68,'S0 remplacer avec S44'!$C:$BQ,39,0)</f>
        <v>20</v>
      </c>
      <c r="D68" s="107">
        <f>VLOOKUP($A68,'S0 remplacer avec S44'!$C:$BQ,40,0)</f>
        <v>47</v>
      </c>
      <c r="E68" s="107">
        <f>VLOOKUP($A68,'S0 remplacer avec S44'!$C:$BQ,22,0)</f>
        <v>1317.896555</v>
      </c>
      <c r="F68" s="115">
        <f>VLOOKUP($A68,'S0 remplacer avec S44'!$C:$BQ,29,0)</f>
        <v>0</v>
      </c>
      <c r="G68" s="115">
        <f>VLOOKUP($A68,'S0 remplacer avec S44'!$C:$BQ,30,0)</f>
        <v>191</v>
      </c>
      <c r="H68" s="115">
        <f>VLOOKUP($A68,'S0 remplacer avec S44'!$C:$BQ,52,0)</f>
        <v>85.4</v>
      </c>
      <c r="I68" s="115">
        <f>VLOOKUP($A68,'S0 remplacer avec S44'!$C:$BQ,59,0)</f>
        <v>0</v>
      </c>
      <c r="J68" s="115">
        <f>VLOOKUP($A68,'S0 remplacer avec S44'!$C:$BQ,60,0)</f>
        <v>0</v>
      </c>
      <c r="K68" s="107" t="e">
        <f>VLOOKUP($A68,'S45'!$C:$BQ,32,0)</f>
        <v>#N/A</v>
      </c>
      <c r="L68" s="107" t="e">
        <f>VLOOKUP($A68,'S45'!$C:$BQ,39,0)</f>
        <v>#N/A</v>
      </c>
      <c r="M68" s="107" t="e">
        <f>VLOOKUP($A68,'S45'!$C:$BQ,40,0)</f>
        <v>#N/A</v>
      </c>
      <c r="N68" s="107" t="e">
        <f>VLOOKUP($A68,'S45'!$C:$BQ,22,0)</f>
        <v>#N/A</v>
      </c>
      <c r="O68" s="115" t="e">
        <f>VLOOKUP($A68,'S45'!$C:$BQ,29,0)</f>
        <v>#N/A</v>
      </c>
      <c r="P68" s="115" t="e">
        <f>VLOOKUP($A68,'S45'!$C:$BQ,30,0)</f>
        <v>#N/A</v>
      </c>
      <c r="Q68" s="115" t="e">
        <f>VLOOKUP($A68,'S45'!$C:$BQ,52,0)</f>
        <v>#N/A</v>
      </c>
      <c r="R68" s="115" t="e">
        <f>VLOOKUP($A68,'S45'!$C:$BQ,59,0)</f>
        <v>#N/A</v>
      </c>
      <c r="S68" s="115" t="e">
        <f>VLOOKUP($A68,'S45'!$C:$BQ,60,0)</f>
        <v>#N/A</v>
      </c>
      <c r="T68" s="107" t="e">
        <f>VLOOKUP($A68,'S46'!$C:$BQ,32,0)</f>
        <v>#N/A</v>
      </c>
      <c r="U68" s="107" t="e">
        <f>VLOOKUP($A68,'S46'!$C:$BQ,39,0)</f>
        <v>#N/A</v>
      </c>
      <c r="V68" s="107" t="e">
        <f>VLOOKUP($A68,'S46'!$C:$BQ,40,0)</f>
        <v>#N/A</v>
      </c>
      <c r="W68" s="107" t="e">
        <f>VLOOKUP($A68,'S46'!$C:$BQ,22,0)</f>
        <v>#N/A</v>
      </c>
      <c r="X68" s="115" t="e">
        <f>VLOOKUP($A68,'S46'!$C:$BQ,29,0)</f>
        <v>#N/A</v>
      </c>
      <c r="Y68" s="115" t="e">
        <f>VLOOKUP($A68,'S46'!$C:$BQ,30,0)</f>
        <v>#N/A</v>
      </c>
      <c r="Z68" s="115" t="e">
        <f>VLOOKUP($A68,'S46'!$C:$BQ,52,0)</f>
        <v>#N/A</v>
      </c>
      <c r="AA68" s="115" t="e">
        <f>VLOOKUP($A68,'S46'!$C:$BQ,59,0)</f>
        <v>#N/A</v>
      </c>
      <c r="AB68" s="115" t="e">
        <f>VLOOKUP($A68,'S46'!$C:$BQ,60,0)</f>
        <v>#N/A</v>
      </c>
      <c r="AC68" s="107" t="e">
        <f>VLOOKUP($A68,'S47'!$C:$BQ,32,0)</f>
        <v>#N/A</v>
      </c>
      <c r="AD68" s="107" t="e">
        <f>VLOOKUP($A68,'S47'!$C:$BQ,39,0)</f>
        <v>#N/A</v>
      </c>
      <c r="AE68" s="107" t="e">
        <f>VLOOKUP($A68,'S47'!$C:$BQ,40,0)</f>
        <v>#N/A</v>
      </c>
      <c r="AF68" s="107" t="e">
        <f>VLOOKUP($A68,'S47'!$C:$BQ,22,0)</f>
        <v>#N/A</v>
      </c>
      <c r="AG68" s="115" t="e">
        <f>VLOOKUP($A68,'S47'!$C:$BQ,29,0)</f>
        <v>#N/A</v>
      </c>
      <c r="AH68" s="115" t="e">
        <f>VLOOKUP($A68,'S47'!$C:$BQ,30,0)</f>
        <v>#N/A</v>
      </c>
      <c r="AI68" s="115" t="e">
        <f>VLOOKUP($A68,'S47'!$C:$BQ,52,0)</f>
        <v>#N/A</v>
      </c>
      <c r="AJ68" s="115" t="e">
        <f>VLOOKUP($A68,'S47'!$C:$BQ,59,0)</f>
        <v>#N/A</v>
      </c>
      <c r="AK68" s="115" t="e">
        <f>VLOOKUP($A68,'S47'!$C:$BQ,60,0)</f>
        <v>#N/A</v>
      </c>
      <c r="AL68" s="107" t="e">
        <f>VLOOKUP($A68,'S48'!$C:$BQ,32,0)</f>
        <v>#N/A</v>
      </c>
      <c r="AM68" s="107" t="e">
        <f>VLOOKUP($A68,'S48'!$C:$BQ,39,0)</f>
        <v>#N/A</v>
      </c>
      <c r="AN68" s="107" t="e">
        <f>VLOOKUP($A68,'S48'!$C:$BQ,40,0)</f>
        <v>#N/A</v>
      </c>
      <c r="AO68" s="107" t="e">
        <f>VLOOKUP($A68,'S48'!$C:$BQ,22,0)</f>
        <v>#N/A</v>
      </c>
      <c r="AP68" s="115" t="e">
        <f>VLOOKUP($A68,'S48'!$C:$BQ,29,0)</f>
        <v>#N/A</v>
      </c>
      <c r="AQ68" s="115" t="e">
        <f>VLOOKUP($A68,'S48'!$C:$BQ,30,0)</f>
        <v>#N/A</v>
      </c>
      <c r="AR68" s="115" t="e">
        <f>VLOOKUP($A68,'S48'!$C:$BQ,52,0)</f>
        <v>#N/A</v>
      </c>
      <c r="AS68" s="115" t="e">
        <f>VLOOKUP($A68,'S48'!$C:$BQ,59,0)</f>
        <v>#N/A</v>
      </c>
      <c r="AT68" s="115" t="e">
        <f>VLOOKUP($A68,'S48'!$C:$BQ,60,0)</f>
        <v>#N/A</v>
      </c>
      <c r="AU68" s="107" t="e">
        <f>VLOOKUP($A68,'S49'!$C:$BQ,32,0)</f>
        <v>#N/A</v>
      </c>
      <c r="AV68" s="107" t="e">
        <f>VLOOKUP($A68,'S49'!$C:$BQ,39,0)</f>
        <v>#N/A</v>
      </c>
      <c r="AW68" s="107" t="e">
        <f>VLOOKUP($A68,'S49'!$C:$BQ,40,0)</f>
        <v>#N/A</v>
      </c>
      <c r="AX68" s="107" t="e">
        <f>VLOOKUP($A68,'S49'!$C:$BQ,22,0)</f>
        <v>#N/A</v>
      </c>
      <c r="AY68" s="115" t="e">
        <f>VLOOKUP($A68,'S49'!$C:$BQ,29,0)</f>
        <v>#N/A</v>
      </c>
      <c r="AZ68" s="115" t="e">
        <f>VLOOKUP($A68,'S49'!$C:$BQ,30,0)</f>
        <v>#N/A</v>
      </c>
      <c r="BA68" s="115" t="e">
        <f>VLOOKUP($A68,'S49'!$C:$BQ,52,0)</f>
        <v>#N/A</v>
      </c>
      <c r="BB68" s="115" t="e">
        <f>VLOOKUP($A68,'S49'!$C:$BQ,59,0)</f>
        <v>#N/A</v>
      </c>
      <c r="BC68" s="115" t="e">
        <f>VLOOKUP($A68,'S49'!$C:$BQ,60,0)</f>
        <v>#N/A</v>
      </c>
      <c r="BD68" s="107" t="e">
        <f>VLOOKUP($A68,'S50'!$C:$BQ,32,0)</f>
        <v>#N/A</v>
      </c>
      <c r="BE68" s="107" t="e">
        <f>VLOOKUP($A68,'S50'!$C:$BQ,39,0)</f>
        <v>#N/A</v>
      </c>
      <c r="BF68" s="107" t="e">
        <f>VLOOKUP($A68,'S50'!$C:$BQ,40,0)</f>
        <v>#N/A</v>
      </c>
      <c r="BG68" s="107" t="e">
        <f>VLOOKUP($A68,'S50'!$C:$BQ,22,0)</f>
        <v>#N/A</v>
      </c>
      <c r="BH68" s="115" t="e">
        <f>VLOOKUP($A68,'S50'!$C:$BQ,29,0)</f>
        <v>#N/A</v>
      </c>
      <c r="BI68" s="115" t="e">
        <f>VLOOKUP($A68,'S50'!$C:$BQ,30,0)</f>
        <v>#N/A</v>
      </c>
      <c r="BJ68" s="115" t="e">
        <f>VLOOKUP($A68,'S50'!$C:$BQ,52,0)</f>
        <v>#N/A</v>
      </c>
      <c r="BK68" s="115" t="e">
        <f>VLOOKUP($A68,'S50'!$C:$BQ,59,0)</f>
        <v>#N/A</v>
      </c>
      <c r="BL68" s="115" t="e">
        <f>VLOOKUP($A68,'S50'!$C:$BQ,60,0)</f>
        <v>#N/A</v>
      </c>
    </row>
    <row r="69" spans="1:64" x14ac:dyDescent="0.2">
      <c r="A69" s="106" t="s">
        <v>126</v>
      </c>
      <c r="B69" s="107">
        <f>VLOOKUP($A69,'S0 remplacer avec S44'!$C:$BQ,32,0)</f>
        <v>367.75</v>
      </c>
      <c r="C69" s="107">
        <f>VLOOKUP($A69,'S0 remplacer avec S44'!$C:$BQ,39,0)</f>
        <v>0</v>
      </c>
      <c r="D69" s="107">
        <f>VLOOKUP($A69,'S0 remplacer avec S44'!$C:$BQ,40,0)</f>
        <v>0</v>
      </c>
      <c r="E69" s="107">
        <f>VLOOKUP($A69,'S0 remplacer avec S44'!$C:$BQ,22,0)</f>
        <v>2932.2169349999999</v>
      </c>
      <c r="F69" s="115">
        <f>VLOOKUP($A69,'S0 remplacer avec S44'!$C:$BQ,29,0)</f>
        <v>0</v>
      </c>
      <c r="G69" s="115">
        <f>VLOOKUP($A69,'S0 remplacer avec S44'!$C:$BQ,30,0)</f>
        <v>226</v>
      </c>
      <c r="H69" s="115">
        <f>VLOOKUP($A69,'S0 remplacer avec S44'!$C:$BQ,52,0)</f>
        <v>232.8</v>
      </c>
      <c r="I69" s="115">
        <f>VLOOKUP($A69,'S0 remplacer avec S44'!$C:$BQ,59,0)</f>
        <v>0</v>
      </c>
      <c r="J69" s="115">
        <f>VLOOKUP($A69,'S0 remplacer avec S44'!$C:$BQ,60,0)</f>
        <v>0</v>
      </c>
      <c r="K69" s="107" t="e">
        <f>VLOOKUP($A69,'S45'!$C:$BQ,32,0)</f>
        <v>#N/A</v>
      </c>
      <c r="L69" s="107" t="e">
        <f>VLOOKUP($A69,'S45'!$C:$BQ,39,0)</f>
        <v>#N/A</v>
      </c>
      <c r="M69" s="107" t="e">
        <f>VLOOKUP($A69,'S45'!$C:$BQ,40,0)</f>
        <v>#N/A</v>
      </c>
      <c r="N69" s="107" t="e">
        <f>VLOOKUP($A69,'S45'!$C:$BQ,22,0)</f>
        <v>#N/A</v>
      </c>
      <c r="O69" s="115" t="e">
        <f>VLOOKUP($A69,'S45'!$C:$BQ,29,0)</f>
        <v>#N/A</v>
      </c>
      <c r="P69" s="115" t="e">
        <f>VLOOKUP($A69,'S45'!$C:$BQ,30,0)</f>
        <v>#N/A</v>
      </c>
      <c r="Q69" s="115" t="e">
        <f>VLOOKUP($A69,'S45'!$C:$BQ,52,0)</f>
        <v>#N/A</v>
      </c>
      <c r="R69" s="115" t="e">
        <f>VLOOKUP($A69,'S45'!$C:$BQ,59,0)</f>
        <v>#N/A</v>
      </c>
      <c r="S69" s="115" t="e">
        <f>VLOOKUP($A69,'S45'!$C:$BQ,60,0)</f>
        <v>#N/A</v>
      </c>
      <c r="T69" s="107" t="e">
        <f>VLOOKUP($A69,'S46'!$C:$BQ,32,0)</f>
        <v>#N/A</v>
      </c>
      <c r="U69" s="107" t="e">
        <f>VLOOKUP($A69,'S46'!$C:$BQ,39,0)</f>
        <v>#N/A</v>
      </c>
      <c r="V69" s="107" t="e">
        <f>VLOOKUP($A69,'S46'!$C:$BQ,40,0)</f>
        <v>#N/A</v>
      </c>
      <c r="W69" s="107" t="e">
        <f>VLOOKUP($A69,'S46'!$C:$BQ,22,0)</f>
        <v>#N/A</v>
      </c>
      <c r="X69" s="115" t="e">
        <f>VLOOKUP($A69,'S46'!$C:$BQ,29,0)</f>
        <v>#N/A</v>
      </c>
      <c r="Y69" s="115" t="e">
        <f>VLOOKUP($A69,'S46'!$C:$BQ,30,0)</f>
        <v>#N/A</v>
      </c>
      <c r="Z69" s="115" t="e">
        <f>VLOOKUP($A69,'S46'!$C:$BQ,52,0)</f>
        <v>#N/A</v>
      </c>
      <c r="AA69" s="115" t="e">
        <f>VLOOKUP($A69,'S46'!$C:$BQ,59,0)</f>
        <v>#N/A</v>
      </c>
      <c r="AB69" s="115" t="e">
        <f>VLOOKUP($A69,'S46'!$C:$BQ,60,0)</f>
        <v>#N/A</v>
      </c>
      <c r="AC69" s="107" t="e">
        <f>VLOOKUP($A69,'S47'!$C:$BQ,32,0)</f>
        <v>#N/A</v>
      </c>
      <c r="AD69" s="107" t="e">
        <f>VLOOKUP($A69,'S47'!$C:$BQ,39,0)</f>
        <v>#N/A</v>
      </c>
      <c r="AE69" s="107" t="e">
        <f>VLOOKUP($A69,'S47'!$C:$BQ,40,0)</f>
        <v>#N/A</v>
      </c>
      <c r="AF69" s="107" t="e">
        <f>VLOOKUP($A69,'S47'!$C:$BQ,22,0)</f>
        <v>#N/A</v>
      </c>
      <c r="AG69" s="115" t="e">
        <f>VLOOKUP($A69,'S47'!$C:$BQ,29,0)</f>
        <v>#N/A</v>
      </c>
      <c r="AH69" s="115" t="e">
        <f>VLOOKUP($A69,'S47'!$C:$BQ,30,0)</f>
        <v>#N/A</v>
      </c>
      <c r="AI69" s="115" t="e">
        <f>VLOOKUP($A69,'S47'!$C:$BQ,52,0)</f>
        <v>#N/A</v>
      </c>
      <c r="AJ69" s="115" t="e">
        <f>VLOOKUP($A69,'S47'!$C:$BQ,59,0)</f>
        <v>#N/A</v>
      </c>
      <c r="AK69" s="115" t="e">
        <f>VLOOKUP($A69,'S47'!$C:$BQ,60,0)</f>
        <v>#N/A</v>
      </c>
      <c r="AL69" s="107" t="e">
        <f>VLOOKUP($A69,'S48'!$C:$BQ,32,0)</f>
        <v>#N/A</v>
      </c>
      <c r="AM69" s="107" t="e">
        <f>VLOOKUP($A69,'S48'!$C:$BQ,39,0)</f>
        <v>#N/A</v>
      </c>
      <c r="AN69" s="107" t="e">
        <f>VLOOKUP($A69,'S48'!$C:$BQ,40,0)</f>
        <v>#N/A</v>
      </c>
      <c r="AO69" s="107" t="e">
        <f>VLOOKUP($A69,'S48'!$C:$BQ,22,0)</f>
        <v>#N/A</v>
      </c>
      <c r="AP69" s="115" t="e">
        <f>VLOOKUP($A69,'S48'!$C:$BQ,29,0)</f>
        <v>#N/A</v>
      </c>
      <c r="AQ69" s="115" t="e">
        <f>VLOOKUP($A69,'S48'!$C:$BQ,30,0)</f>
        <v>#N/A</v>
      </c>
      <c r="AR69" s="115" t="e">
        <f>VLOOKUP($A69,'S48'!$C:$BQ,52,0)</f>
        <v>#N/A</v>
      </c>
      <c r="AS69" s="115" t="e">
        <f>VLOOKUP($A69,'S48'!$C:$BQ,59,0)</f>
        <v>#N/A</v>
      </c>
      <c r="AT69" s="115" t="e">
        <f>VLOOKUP($A69,'S48'!$C:$BQ,60,0)</f>
        <v>#N/A</v>
      </c>
      <c r="AU69" s="107" t="e">
        <f>VLOOKUP($A69,'S49'!$C:$BQ,32,0)</f>
        <v>#N/A</v>
      </c>
      <c r="AV69" s="107" t="e">
        <f>VLOOKUP($A69,'S49'!$C:$BQ,39,0)</f>
        <v>#N/A</v>
      </c>
      <c r="AW69" s="107" t="e">
        <f>VLOOKUP($A69,'S49'!$C:$BQ,40,0)</f>
        <v>#N/A</v>
      </c>
      <c r="AX69" s="107" t="e">
        <f>VLOOKUP($A69,'S49'!$C:$BQ,22,0)</f>
        <v>#N/A</v>
      </c>
      <c r="AY69" s="115" t="e">
        <f>VLOOKUP($A69,'S49'!$C:$BQ,29,0)</f>
        <v>#N/A</v>
      </c>
      <c r="AZ69" s="115" t="e">
        <f>VLOOKUP($A69,'S49'!$C:$BQ,30,0)</f>
        <v>#N/A</v>
      </c>
      <c r="BA69" s="115" t="e">
        <f>VLOOKUP($A69,'S49'!$C:$BQ,52,0)</f>
        <v>#N/A</v>
      </c>
      <c r="BB69" s="115" t="e">
        <f>VLOOKUP($A69,'S49'!$C:$BQ,59,0)</f>
        <v>#N/A</v>
      </c>
      <c r="BC69" s="115" t="e">
        <f>VLOOKUP($A69,'S49'!$C:$BQ,60,0)</f>
        <v>#N/A</v>
      </c>
      <c r="BD69" s="107" t="e">
        <f>VLOOKUP($A69,'S50'!$C:$BQ,32,0)</f>
        <v>#N/A</v>
      </c>
      <c r="BE69" s="107" t="e">
        <f>VLOOKUP($A69,'S50'!$C:$BQ,39,0)</f>
        <v>#N/A</v>
      </c>
      <c r="BF69" s="107" t="e">
        <f>VLOOKUP($A69,'S50'!$C:$BQ,40,0)</f>
        <v>#N/A</v>
      </c>
      <c r="BG69" s="107" t="e">
        <f>VLOOKUP($A69,'S50'!$C:$BQ,22,0)</f>
        <v>#N/A</v>
      </c>
      <c r="BH69" s="115" t="e">
        <f>VLOOKUP($A69,'S50'!$C:$BQ,29,0)</f>
        <v>#N/A</v>
      </c>
      <c r="BI69" s="115" t="e">
        <f>VLOOKUP($A69,'S50'!$C:$BQ,30,0)</f>
        <v>#N/A</v>
      </c>
      <c r="BJ69" s="115" t="e">
        <f>VLOOKUP($A69,'S50'!$C:$BQ,52,0)</f>
        <v>#N/A</v>
      </c>
      <c r="BK69" s="115" t="e">
        <f>VLOOKUP($A69,'S50'!$C:$BQ,59,0)</f>
        <v>#N/A</v>
      </c>
      <c r="BL69" s="115" t="e">
        <f>VLOOKUP($A69,'S50'!$C:$BQ,60,0)</f>
        <v>#N/A</v>
      </c>
    </row>
    <row r="70" spans="1:64" x14ac:dyDescent="0.2">
      <c r="A70" s="106" t="s">
        <v>127</v>
      </c>
      <c r="B70" s="107">
        <f>VLOOKUP($A70,'S0 remplacer avec S44'!$C:$BQ,32,0)</f>
        <v>160.9</v>
      </c>
      <c r="C70" s="107">
        <f>VLOOKUP($A70,'S0 remplacer avec S44'!$C:$BQ,39,0)</f>
        <v>14</v>
      </c>
      <c r="D70" s="107">
        <f>VLOOKUP($A70,'S0 remplacer avec S44'!$C:$BQ,40,0)</f>
        <v>48</v>
      </c>
      <c r="E70" s="107">
        <f>VLOOKUP($A70,'S0 remplacer avec S44'!$C:$BQ,22,0)</f>
        <v>1765.9622449999999</v>
      </c>
      <c r="F70" s="115">
        <f>VLOOKUP($A70,'S0 remplacer avec S44'!$C:$BQ,29,0)</f>
        <v>0</v>
      </c>
      <c r="G70" s="115">
        <f>VLOOKUP($A70,'S0 remplacer avec S44'!$C:$BQ,30,0)</f>
        <v>133</v>
      </c>
      <c r="H70" s="115">
        <f>VLOOKUP($A70,'S0 remplacer avec S44'!$C:$BQ,52,0)</f>
        <v>104</v>
      </c>
      <c r="I70" s="115">
        <f>VLOOKUP($A70,'S0 remplacer avec S44'!$C:$BQ,59,0)</f>
        <v>0</v>
      </c>
      <c r="J70" s="115">
        <f>VLOOKUP($A70,'S0 remplacer avec S44'!$C:$BQ,60,0)</f>
        <v>3</v>
      </c>
      <c r="K70" s="107" t="e">
        <f>VLOOKUP($A70,'S45'!$C:$BQ,32,0)</f>
        <v>#N/A</v>
      </c>
      <c r="L70" s="107" t="e">
        <f>VLOOKUP($A70,'S45'!$C:$BQ,39,0)</f>
        <v>#N/A</v>
      </c>
      <c r="M70" s="107" t="e">
        <f>VLOOKUP($A70,'S45'!$C:$BQ,40,0)</f>
        <v>#N/A</v>
      </c>
      <c r="N70" s="107" t="e">
        <f>VLOOKUP($A70,'S45'!$C:$BQ,22,0)</f>
        <v>#N/A</v>
      </c>
      <c r="O70" s="115" t="e">
        <f>VLOOKUP($A70,'S45'!$C:$BQ,29,0)</f>
        <v>#N/A</v>
      </c>
      <c r="P70" s="115" t="e">
        <f>VLOOKUP($A70,'S45'!$C:$BQ,30,0)</f>
        <v>#N/A</v>
      </c>
      <c r="Q70" s="115" t="e">
        <f>VLOOKUP($A70,'S45'!$C:$BQ,52,0)</f>
        <v>#N/A</v>
      </c>
      <c r="R70" s="115" t="e">
        <f>VLOOKUP($A70,'S45'!$C:$BQ,59,0)</f>
        <v>#N/A</v>
      </c>
      <c r="S70" s="115" t="e">
        <f>VLOOKUP($A70,'S45'!$C:$BQ,60,0)</f>
        <v>#N/A</v>
      </c>
      <c r="T70" s="107" t="e">
        <f>VLOOKUP($A70,'S46'!$C:$BQ,32,0)</f>
        <v>#N/A</v>
      </c>
      <c r="U70" s="107" t="e">
        <f>VLOOKUP($A70,'S46'!$C:$BQ,39,0)</f>
        <v>#N/A</v>
      </c>
      <c r="V70" s="107" t="e">
        <f>VLOOKUP($A70,'S46'!$C:$BQ,40,0)</f>
        <v>#N/A</v>
      </c>
      <c r="W70" s="107" t="e">
        <f>VLOOKUP($A70,'S46'!$C:$BQ,22,0)</f>
        <v>#N/A</v>
      </c>
      <c r="X70" s="115" t="e">
        <f>VLOOKUP($A70,'S46'!$C:$BQ,29,0)</f>
        <v>#N/A</v>
      </c>
      <c r="Y70" s="115" t="e">
        <f>VLOOKUP($A70,'S46'!$C:$BQ,30,0)</f>
        <v>#N/A</v>
      </c>
      <c r="Z70" s="115" t="e">
        <f>VLOOKUP($A70,'S46'!$C:$BQ,52,0)</f>
        <v>#N/A</v>
      </c>
      <c r="AA70" s="115" t="e">
        <f>VLOOKUP($A70,'S46'!$C:$BQ,59,0)</f>
        <v>#N/A</v>
      </c>
      <c r="AB70" s="115" t="e">
        <f>VLOOKUP($A70,'S46'!$C:$BQ,60,0)</f>
        <v>#N/A</v>
      </c>
      <c r="AC70" s="107" t="e">
        <f>VLOOKUP($A70,'S47'!$C:$BQ,32,0)</f>
        <v>#N/A</v>
      </c>
      <c r="AD70" s="107" t="e">
        <f>VLOOKUP($A70,'S47'!$C:$BQ,39,0)</f>
        <v>#N/A</v>
      </c>
      <c r="AE70" s="107" t="e">
        <f>VLOOKUP($A70,'S47'!$C:$BQ,40,0)</f>
        <v>#N/A</v>
      </c>
      <c r="AF70" s="107" t="e">
        <f>VLOOKUP($A70,'S47'!$C:$BQ,22,0)</f>
        <v>#N/A</v>
      </c>
      <c r="AG70" s="115" t="e">
        <f>VLOOKUP($A70,'S47'!$C:$BQ,29,0)</f>
        <v>#N/A</v>
      </c>
      <c r="AH70" s="115" t="e">
        <f>VLOOKUP($A70,'S47'!$C:$BQ,30,0)</f>
        <v>#N/A</v>
      </c>
      <c r="AI70" s="115" t="e">
        <f>VLOOKUP($A70,'S47'!$C:$BQ,52,0)</f>
        <v>#N/A</v>
      </c>
      <c r="AJ70" s="115" t="e">
        <f>VLOOKUP($A70,'S47'!$C:$BQ,59,0)</f>
        <v>#N/A</v>
      </c>
      <c r="AK70" s="115" t="e">
        <f>VLOOKUP($A70,'S47'!$C:$BQ,60,0)</f>
        <v>#N/A</v>
      </c>
      <c r="AL70" s="107" t="e">
        <f>VLOOKUP($A70,'S48'!$C:$BQ,32,0)</f>
        <v>#N/A</v>
      </c>
      <c r="AM70" s="107" t="e">
        <f>VLOOKUP($A70,'S48'!$C:$BQ,39,0)</f>
        <v>#N/A</v>
      </c>
      <c r="AN70" s="107" t="e">
        <f>VLOOKUP($A70,'S48'!$C:$BQ,40,0)</f>
        <v>#N/A</v>
      </c>
      <c r="AO70" s="107" t="e">
        <f>VLOOKUP($A70,'S48'!$C:$BQ,22,0)</f>
        <v>#N/A</v>
      </c>
      <c r="AP70" s="115" t="e">
        <f>VLOOKUP($A70,'S48'!$C:$BQ,29,0)</f>
        <v>#N/A</v>
      </c>
      <c r="AQ70" s="115" t="e">
        <f>VLOOKUP($A70,'S48'!$C:$BQ,30,0)</f>
        <v>#N/A</v>
      </c>
      <c r="AR70" s="115" t="e">
        <f>VLOOKUP($A70,'S48'!$C:$BQ,52,0)</f>
        <v>#N/A</v>
      </c>
      <c r="AS70" s="115" t="e">
        <f>VLOOKUP($A70,'S48'!$C:$BQ,59,0)</f>
        <v>#N/A</v>
      </c>
      <c r="AT70" s="115" t="e">
        <f>VLOOKUP($A70,'S48'!$C:$BQ,60,0)</f>
        <v>#N/A</v>
      </c>
      <c r="AU70" s="107" t="e">
        <f>VLOOKUP($A70,'S49'!$C:$BQ,32,0)</f>
        <v>#N/A</v>
      </c>
      <c r="AV70" s="107" t="e">
        <f>VLOOKUP($A70,'S49'!$C:$BQ,39,0)</f>
        <v>#N/A</v>
      </c>
      <c r="AW70" s="107" t="e">
        <f>VLOOKUP($A70,'S49'!$C:$BQ,40,0)</f>
        <v>#N/A</v>
      </c>
      <c r="AX70" s="107" t="e">
        <f>VLOOKUP($A70,'S49'!$C:$BQ,22,0)</f>
        <v>#N/A</v>
      </c>
      <c r="AY70" s="115" t="e">
        <f>VLOOKUP($A70,'S49'!$C:$BQ,29,0)</f>
        <v>#N/A</v>
      </c>
      <c r="AZ70" s="115" t="e">
        <f>VLOOKUP($A70,'S49'!$C:$BQ,30,0)</f>
        <v>#N/A</v>
      </c>
      <c r="BA70" s="115" t="e">
        <f>VLOOKUP($A70,'S49'!$C:$BQ,52,0)</f>
        <v>#N/A</v>
      </c>
      <c r="BB70" s="115" t="e">
        <f>VLOOKUP($A70,'S49'!$C:$BQ,59,0)</f>
        <v>#N/A</v>
      </c>
      <c r="BC70" s="115" t="e">
        <f>VLOOKUP($A70,'S49'!$C:$BQ,60,0)</f>
        <v>#N/A</v>
      </c>
      <c r="BD70" s="107" t="e">
        <f>VLOOKUP($A70,'S50'!$C:$BQ,32,0)</f>
        <v>#N/A</v>
      </c>
      <c r="BE70" s="107" t="e">
        <f>VLOOKUP($A70,'S50'!$C:$BQ,39,0)</f>
        <v>#N/A</v>
      </c>
      <c r="BF70" s="107" t="e">
        <f>VLOOKUP($A70,'S50'!$C:$BQ,40,0)</f>
        <v>#N/A</v>
      </c>
      <c r="BG70" s="107" t="e">
        <f>VLOOKUP($A70,'S50'!$C:$BQ,22,0)</f>
        <v>#N/A</v>
      </c>
      <c r="BH70" s="115" t="e">
        <f>VLOOKUP($A70,'S50'!$C:$BQ,29,0)</f>
        <v>#N/A</v>
      </c>
      <c r="BI70" s="115" t="e">
        <f>VLOOKUP($A70,'S50'!$C:$BQ,30,0)</f>
        <v>#N/A</v>
      </c>
      <c r="BJ70" s="115" t="e">
        <f>VLOOKUP($A70,'S50'!$C:$BQ,52,0)</f>
        <v>#N/A</v>
      </c>
      <c r="BK70" s="115" t="e">
        <f>VLOOKUP($A70,'S50'!$C:$BQ,59,0)</f>
        <v>#N/A</v>
      </c>
      <c r="BL70" s="115" t="e">
        <f>VLOOKUP($A70,'S50'!$C:$BQ,60,0)</f>
        <v>#N/A</v>
      </c>
    </row>
    <row r="71" spans="1:64" x14ac:dyDescent="0.2">
      <c r="A71" s="106" t="s">
        <v>128</v>
      </c>
      <c r="B71" s="107">
        <f>VLOOKUP($A71,'S0 remplacer avec S44'!$C:$BQ,32,0)</f>
        <v>275.8</v>
      </c>
      <c r="C71" s="107">
        <f>VLOOKUP($A71,'S0 remplacer avec S44'!$C:$BQ,39,0)</f>
        <v>77</v>
      </c>
      <c r="D71" s="107">
        <f>VLOOKUP($A71,'S0 remplacer avec S44'!$C:$BQ,40,0)</f>
        <v>148</v>
      </c>
      <c r="E71" s="107">
        <f>VLOOKUP($A71,'S0 remplacer avec S44'!$C:$BQ,22,0)</f>
        <v>2075.1427800000001</v>
      </c>
      <c r="F71" s="115">
        <f>VLOOKUP($A71,'S0 remplacer avec S44'!$C:$BQ,29,0)</f>
        <v>1132</v>
      </c>
      <c r="G71" s="115">
        <f>VLOOKUP($A71,'S0 remplacer avec S44'!$C:$BQ,30,0)</f>
        <v>1774</v>
      </c>
      <c r="H71" s="115">
        <f>VLOOKUP($A71,'S0 remplacer avec S44'!$C:$BQ,52,0)</f>
        <v>264.60000000000002</v>
      </c>
      <c r="I71" s="115">
        <f>VLOOKUP($A71,'S0 remplacer avec S44'!$C:$BQ,59,0)</f>
        <v>0</v>
      </c>
      <c r="J71" s="115">
        <f>VLOOKUP($A71,'S0 remplacer avec S44'!$C:$BQ,60,0)</f>
        <v>0</v>
      </c>
      <c r="K71" s="107" t="e">
        <f>VLOOKUP($A71,'S45'!$C:$BQ,32,0)</f>
        <v>#N/A</v>
      </c>
      <c r="L71" s="107" t="e">
        <f>VLOOKUP($A71,'S45'!$C:$BQ,39,0)</f>
        <v>#N/A</v>
      </c>
      <c r="M71" s="107" t="e">
        <f>VLOOKUP($A71,'S45'!$C:$BQ,40,0)</f>
        <v>#N/A</v>
      </c>
      <c r="N71" s="107" t="e">
        <f>VLOOKUP($A71,'S45'!$C:$BQ,22,0)</f>
        <v>#N/A</v>
      </c>
      <c r="O71" s="115" t="e">
        <f>VLOOKUP($A71,'S45'!$C:$BQ,29,0)</f>
        <v>#N/A</v>
      </c>
      <c r="P71" s="115" t="e">
        <f>VLOOKUP($A71,'S45'!$C:$BQ,30,0)</f>
        <v>#N/A</v>
      </c>
      <c r="Q71" s="115" t="e">
        <f>VLOOKUP($A71,'S45'!$C:$BQ,52,0)</f>
        <v>#N/A</v>
      </c>
      <c r="R71" s="115" t="e">
        <f>VLOOKUP($A71,'S45'!$C:$BQ,59,0)</f>
        <v>#N/A</v>
      </c>
      <c r="S71" s="115" t="e">
        <f>VLOOKUP($A71,'S45'!$C:$BQ,60,0)</f>
        <v>#N/A</v>
      </c>
      <c r="T71" s="107" t="e">
        <f>VLOOKUP($A71,'S46'!$C:$BQ,32,0)</f>
        <v>#N/A</v>
      </c>
      <c r="U71" s="107" t="e">
        <f>VLOOKUP($A71,'S46'!$C:$BQ,39,0)</f>
        <v>#N/A</v>
      </c>
      <c r="V71" s="107" t="e">
        <f>VLOOKUP($A71,'S46'!$C:$BQ,40,0)</f>
        <v>#N/A</v>
      </c>
      <c r="W71" s="107" t="e">
        <f>VLOOKUP($A71,'S46'!$C:$BQ,22,0)</f>
        <v>#N/A</v>
      </c>
      <c r="X71" s="115" t="e">
        <f>VLOOKUP($A71,'S46'!$C:$BQ,29,0)</f>
        <v>#N/A</v>
      </c>
      <c r="Y71" s="115" t="e">
        <f>VLOOKUP($A71,'S46'!$C:$BQ,30,0)</f>
        <v>#N/A</v>
      </c>
      <c r="Z71" s="115" t="e">
        <f>VLOOKUP($A71,'S46'!$C:$BQ,52,0)</f>
        <v>#N/A</v>
      </c>
      <c r="AA71" s="115" t="e">
        <f>VLOOKUP($A71,'S46'!$C:$BQ,59,0)</f>
        <v>#N/A</v>
      </c>
      <c r="AB71" s="115" t="e">
        <f>VLOOKUP($A71,'S46'!$C:$BQ,60,0)</f>
        <v>#N/A</v>
      </c>
      <c r="AC71" s="107" t="e">
        <f>VLOOKUP($A71,'S47'!$C:$BQ,32,0)</f>
        <v>#N/A</v>
      </c>
      <c r="AD71" s="107" t="e">
        <f>VLOOKUP($A71,'S47'!$C:$BQ,39,0)</f>
        <v>#N/A</v>
      </c>
      <c r="AE71" s="107" t="e">
        <f>VLOOKUP($A71,'S47'!$C:$BQ,40,0)</f>
        <v>#N/A</v>
      </c>
      <c r="AF71" s="107" t="e">
        <f>VLOOKUP($A71,'S47'!$C:$BQ,22,0)</f>
        <v>#N/A</v>
      </c>
      <c r="AG71" s="115" t="e">
        <f>VLOOKUP($A71,'S47'!$C:$BQ,29,0)</f>
        <v>#N/A</v>
      </c>
      <c r="AH71" s="115" t="e">
        <f>VLOOKUP($A71,'S47'!$C:$BQ,30,0)</f>
        <v>#N/A</v>
      </c>
      <c r="AI71" s="115" t="e">
        <f>VLOOKUP($A71,'S47'!$C:$BQ,52,0)</f>
        <v>#N/A</v>
      </c>
      <c r="AJ71" s="115" t="e">
        <f>VLOOKUP($A71,'S47'!$C:$BQ,59,0)</f>
        <v>#N/A</v>
      </c>
      <c r="AK71" s="115" t="e">
        <f>VLOOKUP($A71,'S47'!$C:$BQ,60,0)</f>
        <v>#N/A</v>
      </c>
      <c r="AL71" s="107" t="e">
        <f>VLOOKUP($A71,'S48'!$C:$BQ,32,0)</f>
        <v>#N/A</v>
      </c>
      <c r="AM71" s="107" t="e">
        <f>VLOOKUP($A71,'S48'!$C:$BQ,39,0)</f>
        <v>#N/A</v>
      </c>
      <c r="AN71" s="107" t="e">
        <f>VLOOKUP($A71,'S48'!$C:$BQ,40,0)</f>
        <v>#N/A</v>
      </c>
      <c r="AO71" s="107" t="e">
        <f>VLOOKUP($A71,'S48'!$C:$BQ,22,0)</f>
        <v>#N/A</v>
      </c>
      <c r="AP71" s="115" t="e">
        <f>VLOOKUP($A71,'S48'!$C:$BQ,29,0)</f>
        <v>#N/A</v>
      </c>
      <c r="AQ71" s="115" t="e">
        <f>VLOOKUP($A71,'S48'!$C:$BQ,30,0)</f>
        <v>#N/A</v>
      </c>
      <c r="AR71" s="115" t="e">
        <f>VLOOKUP($A71,'S48'!$C:$BQ,52,0)</f>
        <v>#N/A</v>
      </c>
      <c r="AS71" s="115" t="e">
        <f>VLOOKUP($A71,'S48'!$C:$BQ,59,0)</f>
        <v>#N/A</v>
      </c>
      <c r="AT71" s="115" t="e">
        <f>VLOOKUP($A71,'S48'!$C:$BQ,60,0)</f>
        <v>#N/A</v>
      </c>
      <c r="AU71" s="107" t="e">
        <f>VLOOKUP($A71,'S49'!$C:$BQ,32,0)</f>
        <v>#N/A</v>
      </c>
      <c r="AV71" s="107" t="e">
        <f>VLOOKUP($A71,'S49'!$C:$BQ,39,0)</f>
        <v>#N/A</v>
      </c>
      <c r="AW71" s="107" t="e">
        <f>VLOOKUP($A71,'S49'!$C:$BQ,40,0)</f>
        <v>#N/A</v>
      </c>
      <c r="AX71" s="107" t="e">
        <f>VLOOKUP($A71,'S49'!$C:$BQ,22,0)</f>
        <v>#N/A</v>
      </c>
      <c r="AY71" s="115" t="e">
        <f>VLOOKUP($A71,'S49'!$C:$BQ,29,0)</f>
        <v>#N/A</v>
      </c>
      <c r="AZ71" s="115" t="e">
        <f>VLOOKUP($A71,'S49'!$C:$BQ,30,0)</f>
        <v>#N/A</v>
      </c>
      <c r="BA71" s="115" t="e">
        <f>VLOOKUP($A71,'S49'!$C:$BQ,52,0)</f>
        <v>#N/A</v>
      </c>
      <c r="BB71" s="115" t="e">
        <f>VLOOKUP($A71,'S49'!$C:$BQ,59,0)</f>
        <v>#N/A</v>
      </c>
      <c r="BC71" s="115" t="e">
        <f>VLOOKUP($A71,'S49'!$C:$BQ,60,0)</f>
        <v>#N/A</v>
      </c>
      <c r="BD71" s="107" t="e">
        <f>VLOOKUP($A71,'S50'!$C:$BQ,32,0)</f>
        <v>#N/A</v>
      </c>
      <c r="BE71" s="107" t="e">
        <f>VLOOKUP($A71,'S50'!$C:$BQ,39,0)</f>
        <v>#N/A</v>
      </c>
      <c r="BF71" s="107" t="e">
        <f>VLOOKUP($A71,'S50'!$C:$BQ,40,0)</f>
        <v>#N/A</v>
      </c>
      <c r="BG71" s="107" t="e">
        <f>VLOOKUP($A71,'S50'!$C:$BQ,22,0)</f>
        <v>#N/A</v>
      </c>
      <c r="BH71" s="115" t="e">
        <f>VLOOKUP($A71,'S50'!$C:$BQ,29,0)</f>
        <v>#N/A</v>
      </c>
      <c r="BI71" s="115" t="e">
        <f>VLOOKUP($A71,'S50'!$C:$BQ,30,0)</f>
        <v>#N/A</v>
      </c>
      <c r="BJ71" s="115" t="e">
        <f>VLOOKUP($A71,'S50'!$C:$BQ,52,0)</f>
        <v>#N/A</v>
      </c>
      <c r="BK71" s="115" t="e">
        <f>VLOOKUP($A71,'S50'!$C:$BQ,59,0)</f>
        <v>#N/A</v>
      </c>
      <c r="BL71" s="115" t="e">
        <f>VLOOKUP($A71,'S50'!$C:$BQ,60,0)</f>
        <v>#N/A</v>
      </c>
    </row>
    <row r="72" spans="1:64" x14ac:dyDescent="0.2">
      <c r="A72" s="106" t="s">
        <v>129</v>
      </c>
      <c r="B72" s="107">
        <f>VLOOKUP($A72,'S0 remplacer avec S44'!$C:$BQ,32,0)</f>
        <v>164.4</v>
      </c>
      <c r="C72" s="107">
        <f>VLOOKUP($A72,'S0 remplacer avec S44'!$C:$BQ,39,0)</f>
        <v>106</v>
      </c>
      <c r="D72" s="107">
        <f>VLOOKUP($A72,'S0 remplacer avec S44'!$C:$BQ,40,0)</f>
        <v>160</v>
      </c>
      <c r="E72" s="107">
        <f>VLOOKUP($A72,'S0 remplacer avec S44'!$C:$BQ,22,0)</f>
        <v>2294.0540299999998</v>
      </c>
      <c r="F72" s="115">
        <f>VLOOKUP($A72,'S0 remplacer avec S44'!$C:$BQ,29,0)</f>
        <v>163</v>
      </c>
      <c r="G72" s="115">
        <f>VLOOKUP($A72,'S0 remplacer avec S44'!$C:$BQ,30,0)</f>
        <v>654</v>
      </c>
      <c r="H72" s="115">
        <f>VLOOKUP($A72,'S0 remplacer avec S44'!$C:$BQ,52,0)</f>
        <v>123.4</v>
      </c>
      <c r="I72" s="115">
        <f>VLOOKUP($A72,'S0 remplacer avec S44'!$C:$BQ,59,0)</f>
        <v>14</v>
      </c>
      <c r="J72" s="115">
        <f>VLOOKUP($A72,'S0 remplacer avec S44'!$C:$BQ,60,0)</f>
        <v>42</v>
      </c>
      <c r="K72" s="107" t="e">
        <f>VLOOKUP($A72,'S45'!$C:$BQ,32,0)</f>
        <v>#N/A</v>
      </c>
      <c r="L72" s="107" t="e">
        <f>VLOOKUP($A72,'S45'!$C:$BQ,39,0)</f>
        <v>#N/A</v>
      </c>
      <c r="M72" s="107" t="e">
        <f>VLOOKUP($A72,'S45'!$C:$BQ,40,0)</f>
        <v>#N/A</v>
      </c>
      <c r="N72" s="107" t="e">
        <f>VLOOKUP($A72,'S45'!$C:$BQ,22,0)</f>
        <v>#N/A</v>
      </c>
      <c r="O72" s="115" t="e">
        <f>VLOOKUP($A72,'S45'!$C:$BQ,29,0)</f>
        <v>#N/A</v>
      </c>
      <c r="P72" s="115" t="e">
        <f>VLOOKUP($A72,'S45'!$C:$BQ,30,0)</f>
        <v>#N/A</v>
      </c>
      <c r="Q72" s="115" t="e">
        <f>VLOOKUP($A72,'S45'!$C:$BQ,52,0)</f>
        <v>#N/A</v>
      </c>
      <c r="R72" s="115" t="e">
        <f>VLOOKUP($A72,'S45'!$C:$BQ,59,0)</f>
        <v>#N/A</v>
      </c>
      <c r="S72" s="115" t="e">
        <f>VLOOKUP($A72,'S45'!$C:$BQ,60,0)</f>
        <v>#N/A</v>
      </c>
      <c r="T72" s="107" t="e">
        <f>VLOOKUP($A72,'S46'!$C:$BQ,32,0)</f>
        <v>#N/A</v>
      </c>
      <c r="U72" s="107" t="e">
        <f>VLOOKUP($A72,'S46'!$C:$BQ,39,0)</f>
        <v>#N/A</v>
      </c>
      <c r="V72" s="107" t="e">
        <f>VLOOKUP($A72,'S46'!$C:$BQ,40,0)</f>
        <v>#N/A</v>
      </c>
      <c r="W72" s="107" t="e">
        <f>VLOOKUP($A72,'S46'!$C:$BQ,22,0)</f>
        <v>#N/A</v>
      </c>
      <c r="X72" s="115" t="e">
        <f>VLOOKUP($A72,'S46'!$C:$BQ,29,0)</f>
        <v>#N/A</v>
      </c>
      <c r="Y72" s="115" t="e">
        <f>VLOOKUP($A72,'S46'!$C:$BQ,30,0)</f>
        <v>#N/A</v>
      </c>
      <c r="Z72" s="115" t="e">
        <f>VLOOKUP($A72,'S46'!$C:$BQ,52,0)</f>
        <v>#N/A</v>
      </c>
      <c r="AA72" s="115" t="e">
        <f>VLOOKUP($A72,'S46'!$C:$BQ,59,0)</f>
        <v>#N/A</v>
      </c>
      <c r="AB72" s="115" t="e">
        <f>VLOOKUP($A72,'S46'!$C:$BQ,60,0)</f>
        <v>#N/A</v>
      </c>
      <c r="AC72" s="107" t="e">
        <f>VLOOKUP($A72,'S47'!$C:$BQ,32,0)</f>
        <v>#N/A</v>
      </c>
      <c r="AD72" s="107" t="e">
        <f>VLOOKUP($A72,'S47'!$C:$BQ,39,0)</f>
        <v>#N/A</v>
      </c>
      <c r="AE72" s="107" t="e">
        <f>VLOOKUP($A72,'S47'!$C:$BQ,40,0)</f>
        <v>#N/A</v>
      </c>
      <c r="AF72" s="107" t="e">
        <f>VLOOKUP($A72,'S47'!$C:$BQ,22,0)</f>
        <v>#N/A</v>
      </c>
      <c r="AG72" s="115" t="e">
        <f>VLOOKUP($A72,'S47'!$C:$BQ,29,0)</f>
        <v>#N/A</v>
      </c>
      <c r="AH72" s="115" t="e">
        <f>VLOOKUP($A72,'S47'!$C:$BQ,30,0)</f>
        <v>#N/A</v>
      </c>
      <c r="AI72" s="115" t="e">
        <f>VLOOKUP($A72,'S47'!$C:$BQ,52,0)</f>
        <v>#N/A</v>
      </c>
      <c r="AJ72" s="115" t="e">
        <f>VLOOKUP($A72,'S47'!$C:$BQ,59,0)</f>
        <v>#N/A</v>
      </c>
      <c r="AK72" s="115" t="e">
        <f>VLOOKUP($A72,'S47'!$C:$BQ,60,0)</f>
        <v>#N/A</v>
      </c>
      <c r="AL72" s="107" t="e">
        <f>VLOOKUP($A72,'S48'!$C:$BQ,32,0)</f>
        <v>#N/A</v>
      </c>
      <c r="AM72" s="107" t="e">
        <f>VLOOKUP($A72,'S48'!$C:$BQ,39,0)</f>
        <v>#N/A</v>
      </c>
      <c r="AN72" s="107" t="e">
        <f>VLOOKUP($A72,'S48'!$C:$BQ,40,0)</f>
        <v>#N/A</v>
      </c>
      <c r="AO72" s="107" t="e">
        <f>VLOOKUP($A72,'S48'!$C:$BQ,22,0)</f>
        <v>#N/A</v>
      </c>
      <c r="AP72" s="115" t="e">
        <f>VLOOKUP($A72,'S48'!$C:$BQ,29,0)</f>
        <v>#N/A</v>
      </c>
      <c r="AQ72" s="115" t="e">
        <f>VLOOKUP($A72,'S48'!$C:$BQ,30,0)</f>
        <v>#N/A</v>
      </c>
      <c r="AR72" s="115" t="e">
        <f>VLOOKUP($A72,'S48'!$C:$BQ,52,0)</f>
        <v>#N/A</v>
      </c>
      <c r="AS72" s="115" t="e">
        <f>VLOOKUP($A72,'S48'!$C:$BQ,59,0)</f>
        <v>#N/A</v>
      </c>
      <c r="AT72" s="115" t="e">
        <f>VLOOKUP($A72,'S48'!$C:$BQ,60,0)</f>
        <v>#N/A</v>
      </c>
      <c r="AU72" s="107" t="e">
        <f>VLOOKUP($A72,'S49'!$C:$BQ,32,0)</f>
        <v>#N/A</v>
      </c>
      <c r="AV72" s="107" t="e">
        <f>VLOOKUP($A72,'S49'!$C:$BQ,39,0)</f>
        <v>#N/A</v>
      </c>
      <c r="AW72" s="107" t="e">
        <f>VLOOKUP($A72,'S49'!$C:$BQ,40,0)</f>
        <v>#N/A</v>
      </c>
      <c r="AX72" s="107" t="e">
        <f>VLOOKUP($A72,'S49'!$C:$BQ,22,0)</f>
        <v>#N/A</v>
      </c>
      <c r="AY72" s="115" t="e">
        <f>VLOOKUP($A72,'S49'!$C:$BQ,29,0)</f>
        <v>#N/A</v>
      </c>
      <c r="AZ72" s="115" t="e">
        <f>VLOOKUP($A72,'S49'!$C:$BQ,30,0)</f>
        <v>#N/A</v>
      </c>
      <c r="BA72" s="115" t="e">
        <f>VLOOKUP($A72,'S49'!$C:$BQ,52,0)</f>
        <v>#N/A</v>
      </c>
      <c r="BB72" s="115" t="e">
        <f>VLOOKUP($A72,'S49'!$C:$BQ,59,0)</f>
        <v>#N/A</v>
      </c>
      <c r="BC72" s="115" t="e">
        <f>VLOOKUP($A72,'S49'!$C:$BQ,60,0)</f>
        <v>#N/A</v>
      </c>
      <c r="BD72" s="107" t="e">
        <f>VLOOKUP($A72,'S50'!$C:$BQ,32,0)</f>
        <v>#N/A</v>
      </c>
      <c r="BE72" s="107" t="e">
        <f>VLOOKUP($A72,'S50'!$C:$BQ,39,0)</f>
        <v>#N/A</v>
      </c>
      <c r="BF72" s="107" t="e">
        <f>VLOOKUP($A72,'S50'!$C:$BQ,40,0)</f>
        <v>#N/A</v>
      </c>
      <c r="BG72" s="107" t="e">
        <f>VLOOKUP($A72,'S50'!$C:$BQ,22,0)</f>
        <v>#N/A</v>
      </c>
      <c r="BH72" s="115" t="e">
        <f>VLOOKUP($A72,'S50'!$C:$BQ,29,0)</f>
        <v>#N/A</v>
      </c>
      <c r="BI72" s="115" t="e">
        <f>VLOOKUP($A72,'S50'!$C:$BQ,30,0)</f>
        <v>#N/A</v>
      </c>
      <c r="BJ72" s="115" t="e">
        <f>VLOOKUP($A72,'S50'!$C:$BQ,52,0)</f>
        <v>#N/A</v>
      </c>
      <c r="BK72" s="115" t="e">
        <f>VLOOKUP($A72,'S50'!$C:$BQ,59,0)</f>
        <v>#N/A</v>
      </c>
      <c r="BL72" s="115" t="e">
        <f>VLOOKUP($A72,'S50'!$C:$BQ,60,0)</f>
        <v>#N/A</v>
      </c>
    </row>
    <row r="73" spans="1:64" x14ac:dyDescent="0.2">
      <c r="A73" s="106" t="s">
        <v>130</v>
      </c>
      <c r="B73" s="107">
        <f>VLOOKUP($A73,'S0 remplacer avec S44'!$C:$BQ,32,0)</f>
        <v>257</v>
      </c>
      <c r="C73" s="107">
        <f>VLOOKUP($A73,'S0 remplacer avec S44'!$C:$BQ,39,0)</f>
        <v>119</v>
      </c>
      <c r="D73" s="107">
        <f>VLOOKUP($A73,'S0 remplacer avec S44'!$C:$BQ,40,0)</f>
        <v>194</v>
      </c>
      <c r="E73" s="107">
        <f>VLOOKUP($A73,'S0 remplacer avec S44'!$C:$BQ,22,0)</f>
        <v>3350.6094199999998</v>
      </c>
      <c r="F73" s="115">
        <f>VLOOKUP($A73,'S0 remplacer avec S44'!$C:$BQ,29,0)</f>
        <v>65</v>
      </c>
      <c r="G73" s="115">
        <f>VLOOKUP($A73,'S0 remplacer avec S44'!$C:$BQ,30,0)</f>
        <v>748</v>
      </c>
      <c r="H73" s="115">
        <f>VLOOKUP($A73,'S0 remplacer avec S44'!$C:$BQ,52,0)</f>
        <v>206</v>
      </c>
      <c r="I73" s="115">
        <f>VLOOKUP($A73,'S0 remplacer avec S44'!$C:$BQ,59,0)</f>
        <v>0</v>
      </c>
      <c r="J73" s="115">
        <f>VLOOKUP($A73,'S0 remplacer avec S44'!$C:$BQ,60,0)</f>
        <v>23</v>
      </c>
      <c r="K73" s="107" t="e">
        <f>VLOOKUP($A73,'S45'!$C:$BQ,32,0)</f>
        <v>#N/A</v>
      </c>
      <c r="L73" s="107" t="e">
        <f>VLOOKUP($A73,'S45'!$C:$BQ,39,0)</f>
        <v>#N/A</v>
      </c>
      <c r="M73" s="107" t="e">
        <f>VLOOKUP($A73,'S45'!$C:$BQ,40,0)</f>
        <v>#N/A</v>
      </c>
      <c r="N73" s="107" t="e">
        <f>VLOOKUP($A73,'S45'!$C:$BQ,22,0)</f>
        <v>#N/A</v>
      </c>
      <c r="O73" s="115" t="e">
        <f>VLOOKUP($A73,'S45'!$C:$BQ,29,0)</f>
        <v>#N/A</v>
      </c>
      <c r="P73" s="115" t="e">
        <f>VLOOKUP($A73,'S45'!$C:$BQ,30,0)</f>
        <v>#N/A</v>
      </c>
      <c r="Q73" s="115" t="e">
        <f>VLOOKUP($A73,'S45'!$C:$BQ,52,0)</f>
        <v>#N/A</v>
      </c>
      <c r="R73" s="115" t="e">
        <f>VLOOKUP($A73,'S45'!$C:$BQ,59,0)</f>
        <v>#N/A</v>
      </c>
      <c r="S73" s="115" t="e">
        <f>VLOOKUP($A73,'S45'!$C:$BQ,60,0)</f>
        <v>#N/A</v>
      </c>
      <c r="T73" s="107" t="e">
        <f>VLOOKUP($A73,'S46'!$C:$BQ,32,0)</f>
        <v>#N/A</v>
      </c>
      <c r="U73" s="107" t="e">
        <f>VLOOKUP($A73,'S46'!$C:$BQ,39,0)</f>
        <v>#N/A</v>
      </c>
      <c r="V73" s="107" t="e">
        <f>VLOOKUP($A73,'S46'!$C:$BQ,40,0)</f>
        <v>#N/A</v>
      </c>
      <c r="W73" s="107" t="e">
        <f>VLOOKUP($A73,'S46'!$C:$BQ,22,0)</f>
        <v>#N/A</v>
      </c>
      <c r="X73" s="115" t="e">
        <f>VLOOKUP($A73,'S46'!$C:$BQ,29,0)</f>
        <v>#N/A</v>
      </c>
      <c r="Y73" s="115" t="e">
        <f>VLOOKUP($A73,'S46'!$C:$BQ,30,0)</f>
        <v>#N/A</v>
      </c>
      <c r="Z73" s="115" t="e">
        <f>VLOOKUP($A73,'S46'!$C:$BQ,52,0)</f>
        <v>#N/A</v>
      </c>
      <c r="AA73" s="115" t="e">
        <f>VLOOKUP($A73,'S46'!$C:$BQ,59,0)</f>
        <v>#N/A</v>
      </c>
      <c r="AB73" s="115" t="e">
        <f>VLOOKUP($A73,'S46'!$C:$BQ,60,0)</f>
        <v>#N/A</v>
      </c>
      <c r="AC73" s="107" t="e">
        <f>VLOOKUP($A73,'S47'!$C:$BQ,32,0)</f>
        <v>#N/A</v>
      </c>
      <c r="AD73" s="107" t="e">
        <f>VLOOKUP($A73,'S47'!$C:$BQ,39,0)</f>
        <v>#N/A</v>
      </c>
      <c r="AE73" s="107" t="e">
        <f>VLOOKUP($A73,'S47'!$C:$BQ,40,0)</f>
        <v>#N/A</v>
      </c>
      <c r="AF73" s="107" t="e">
        <f>VLOOKUP($A73,'S47'!$C:$BQ,22,0)</f>
        <v>#N/A</v>
      </c>
      <c r="AG73" s="115" t="e">
        <f>VLOOKUP($A73,'S47'!$C:$BQ,29,0)</f>
        <v>#N/A</v>
      </c>
      <c r="AH73" s="115" t="e">
        <f>VLOOKUP($A73,'S47'!$C:$BQ,30,0)</f>
        <v>#N/A</v>
      </c>
      <c r="AI73" s="115" t="e">
        <f>VLOOKUP($A73,'S47'!$C:$BQ,52,0)</f>
        <v>#N/A</v>
      </c>
      <c r="AJ73" s="115" t="e">
        <f>VLOOKUP($A73,'S47'!$C:$BQ,59,0)</f>
        <v>#N/A</v>
      </c>
      <c r="AK73" s="115" t="e">
        <f>VLOOKUP($A73,'S47'!$C:$BQ,60,0)</f>
        <v>#N/A</v>
      </c>
      <c r="AL73" s="107" t="e">
        <f>VLOOKUP($A73,'S48'!$C:$BQ,32,0)</f>
        <v>#N/A</v>
      </c>
      <c r="AM73" s="107" t="e">
        <f>VLOOKUP($A73,'S48'!$C:$BQ,39,0)</f>
        <v>#N/A</v>
      </c>
      <c r="AN73" s="107" t="e">
        <f>VLOOKUP($A73,'S48'!$C:$BQ,40,0)</f>
        <v>#N/A</v>
      </c>
      <c r="AO73" s="107" t="e">
        <f>VLOOKUP($A73,'S48'!$C:$BQ,22,0)</f>
        <v>#N/A</v>
      </c>
      <c r="AP73" s="115" t="e">
        <f>VLOOKUP($A73,'S48'!$C:$BQ,29,0)</f>
        <v>#N/A</v>
      </c>
      <c r="AQ73" s="115" t="e">
        <f>VLOOKUP($A73,'S48'!$C:$BQ,30,0)</f>
        <v>#N/A</v>
      </c>
      <c r="AR73" s="115" t="e">
        <f>VLOOKUP($A73,'S48'!$C:$BQ,52,0)</f>
        <v>#N/A</v>
      </c>
      <c r="AS73" s="115" t="e">
        <f>VLOOKUP($A73,'S48'!$C:$BQ,59,0)</f>
        <v>#N/A</v>
      </c>
      <c r="AT73" s="115" t="e">
        <f>VLOOKUP($A73,'S48'!$C:$BQ,60,0)</f>
        <v>#N/A</v>
      </c>
      <c r="AU73" s="107" t="e">
        <f>VLOOKUP($A73,'S49'!$C:$BQ,32,0)</f>
        <v>#N/A</v>
      </c>
      <c r="AV73" s="107" t="e">
        <f>VLOOKUP($A73,'S49'!$C:$BQ,39,0)</f>
        <v>#N/A</v>
      </c>
      <c r="AW73" s="107" t="e">
        <f>VLOOKUP($A73,'S49'!$C:$BQ,40,0)</f>
        <v>#N/A</v>
      </c>
      <c r="AX73" s="107" t="e">
        <f>VLOOKUP($A73,'S49'!$C:$BQ,22,0)</f>
        <v>#N/A</v>
      </c>
      <c r="AY73" s="115" t="e">
        <f>VLOOKUP($A73,'S49'!$C:$BQ,29,0)</f>
        <v>#N/A</v>
      </c>
      <c r="AZ73" s="115" t="e">
        <f>VLOOKUP($A73,'S49'!$C:$BQ,30,0)</f>
        <v>#N/A</v>
      </c>
      <c r="BA73" s="115" t="e">
        <f>VLOOKUP($A73,'S49'!$C:$BQ,52,0)</f>
        <v>#N/A</v>
      </c>
      <c r="BB73" s="115" t="e">
        <f>VLOOKUP($A73,'S49'!$C:$BQ,59,0)</f>
        <v>#N/A</v>
      </c>
      <c r="BC73" s="115" t="e">
        <f>VLOOKUP($A73,'S49'!$C:$BQ,60,0)</f>
        <v>#N/A</v>
      </c>
      <c r="BD73" s="107" t="e">
        <f>VLOOKUP($A73,'S50'!$C:$BQ,32,0)</f>
        <v>#N/A</v>
      </c>
      <c r="BE73" s="107" t="e">
        <f>VLOOKUP($A73,'S50'!$C:$BQ,39,0)</f>
        <v>#N/A</v>
      </c>
      <c r="BF73" s="107" t="e">
        <f>VLOOKUP($A73,'S50'!$C:$BQ,40,0)</f>
        <v>#N/A</v>
      </c>
      <c r="BG73" s="107" t="e">
        <f>VLOOKUP($A73,'S50'!$C:$BQ,22,0)</f>
        <v>#N/A</v>
      </c>
      <c r="BH73" s="115" t="e">
        <f>VLOOKUP($A73,'S50'!$C:$BQ,29,0)</f>
        <v>#N/A</v>
      </c>
      <c r="BI73" s="115" t="e">
        <f>VLOOKUP($A73,'S50'!$C:$BQ,30,0)</f>
        <v>#N/A</v>
      </c>
      <c r="BJ73" s="115" t="e">
        <f>VLOOKUP($A73,'S50'!$C:$BQ,52,0)</f>
        <v>#N/A</v>
      </c>
      <c r="BK73" s="115" t="e">
        <f>VLOOKUP($A73,'S50'!$C:$BQ,59,0)</f>
        <v>#N/A</v>
      </c>
      <c r="BL73" s="115" t="e">
        <f>VLOOKUP($A73,'S50'!$C:$BQ,60,0)</f>
        <v>#N/A</v>
      </c>
    </row>
    <row r="74" spans="1:64" x14ac:dyDescent="0.2">
      <c r="A74" s="106" t="s">
        <v>131</v>
      </c>
      <c r="B74" s="107">
        <f>VLOOKUP($A74,'S0 remplacer avec S44'!$C:$BQ,32,0)</f>
        <v>517.6</v>
      </c>
      <c r="C74" s="107">
        <f>VLOOKUP($A74,'S0 remplacer avec S44'!$C:$BQ,39,0)</f>
        <v>17</v>
      </c>
      <c r="D74" s="107">
        <f>VLOOKUP($A74,'S0 remplacer avec S44'!$C:$BQ,40,0)</f>
        <v>124</v>
      </c>
      <c r="E74" s="107">
        <f>VLOOKUP($A74,'S0 remplacer avec S44'!$C:$BQ,22,0)</f>
        <v>3411.2687799999999</v>
      </c>
      <c r="F74" s="115">
        <f>VLOOKUP($A74,'S0 remplacer avec S44'!$C:$BQ,29,0)</f>
        <v>1445</v>
      </c>
      <c r="G74" s="115">
        <f>VLOOKUP($A74,'S0 remplacer avec S44'!$C:$BQ,30,0)</f>
        <v>2416</v>
      </c>
      <c r="H74" s="115">
        <f>VLOOKUP($A74,'S0 remplacer avec S44'!$C:$BQ,52,0)</f>
        <v>674.8</v>
      </c>
      <c r="I74" s="115">
        <f>VLOOKUP($A74,'S0 remplacer avec S44'!$C:$BQ,59,0)</f>
        <v>0</v>
      </c>
      <c r="J74" s="115">
        <f>VLOOKUP($A74,'S0 remplacer avec S44'!$C:$BQ,60,0)</f>
        <v>0</v>
      </c>
      <c r="K74" s="107" t="e">
        <f>VLOOKUP($A74,'S45'!$C:$BQ,32,0)</f>
        <v>#N/A</v>
      </c>
      <c r="L74" s="107" t="e">
        <f>VLOOKUP($A74,'S45'!$C:$BQ,39,0)</f>
        <v>#N/A</v>
      </c>
      <c r="M74" s="107" t="e">
        <f>VLOOKUP($A74,'S45'!$C:$BQ,40,0)</f>
        <v>#N/A</v>
      </c>
      <c r="N74" s="107" t="e">
        <f>VLOOKUP($A74,'S45'!$C:$BQ,22,0)</f>
        <v>#N/A</v>
      </c>
      <c r="O74" s="115" t="e">
        <f>VLOOKUP($A74,'S45'!$C:$BQ,29,0)</f>
        <v>#N/A</v>
      </c>
      <c r="P74" s="115" t="e">
        <f>VLOOKUP($A74,'S45'!$C:$BQ,30,0)</f>
        <v>#N/A</v>
      </c>
      <c r="Q74" s="115" t="e">
        <f>VLOOKUP($A74,'S45'!$C:$BQ,52,0)</f>
        <v>#N/A</v>
      </c>
      <c r="R74" s="115" t="e">
        <f>VLOOKUP($A74,'S45'!$C:$BQ,59,0)</f>
        <v>#N/A</v>
      </c>
      <c r="S74" s="115" t="e">
        <f>VLOOKUP($A74,'S45'!$C:$BQ,60,0)</f>
        <v>#N/A</v>
      </c>
      <c r="T74" s="107" t="e">
        <f>VLOOKUP($A74,'S46'!$C:$BQ,32,0)</f>
        <v>#N/A</v>
      </c>
      <c r="U74" s="107" t="e">
        <f>VLOOKUP($A74,'S46'!$C:$BQ,39,0)</f>
        <v>#N/A</v>
      </c>
      <c r="V74" s="107" t="e">
        <f>VLOOKUP($A74,'S46'!$C:$BQ,40,0)</f>
        <v>#N/A</v>
      </c>
      <c r="W74" s="107" t="e">
        <f>VLOOKUP($A74,'S46'!$C:$BQ,22,0)</f>
        <v>#N/A</v>
      </c>
      <c r="X74" s="115" t="e">
        <f>VLOOKUP($A74,'S46'!$C:$BQ,29,0)</f>
        <v>#N/A</v>
      </c>
      <c r="Y74" s="115" t="e">
        <f>VLOOKUP($A74,'S46'!$C:$BQ,30,0)</f>
        <v>#N/A</v>
      </c>
      <c r="Z74" s="115" t="e">
        <f>VLOOKUP($A74,'S46'!$C:$BQ,52,0)</f>
        <v>#N/A</v>
      </c>
      <c r="AA74" s="115" t="e">
        <f>VLOOKUP($A74,'S46'!$C:$BQ,59,0)</f>
        <v>#N/A</v>
      </c>
      <c r="AB74" s="115" t="e">
        <f>VLOOKUP($A74,'S46'!$C:$BQ,60,0)</f>
        <v>#N/A</v>
      </c>
      <c r="AC74" s="107" t="e">
        <f>VLOOKUP($A74,'S47'!$C:$BQ,32,0)</f>
        <v>#N/A</v>
      </c>
      <c r="AD74" s="107" t="e">
        <f>VLOOKUP($A74,'S47'!$C:$BQ,39,0)</f>
        <v>#N/A</v>
      </c>
      <c r="AE74" s="107" t="e">
        <f>VLOOKUP($A74,'S47'!$C:$BQ,40,0)</f>
        <v>#N/A</v>
      </c>
      <c r="AF74" s="107" t="e">
        <f>VLOOKUP($A74,'S47'!$C:$BQ,22,0)</f>
        <v>#N/A</v>
      </c>
      <c r="AG74" s="115" t="e">
        <f>VLOOKUP($A74,'S47'!$C:$BQ,29,0)</f>
        <v>#N/A</v>
      </c>
      <c r="AH74" s="115" t="e">
        <f>VLOOKUP($A74,'S47'!$C:$BQ,30,0)</f>
        <v>#N/A</v>
      </c>
      <c r="AI74" s="115" t="e">
        <f>VLOOKUP($A74,'S47'!$C:$BQ,52,0)</f>
        <v>#N/A</v>
      </c>
      <c r="AJ74" s="115" t="e">
        <f>VLOOKUP($A74,'S47'!$C:$BQ,59,0)</f>
        <v>#N/A</v>
      </c>
      <c r="AK74" s="115" t="e">
        <f>VLOOKUP($A74,'S47'!$C:$BQ,60,0)</f>
        <v>#N/A</v>
      </c>
      <c r="AL74" s="107" t="e">
        <f>VLOOKUP($A74,'S48'!$C:$BQ,32,0)</f>
        <v>#N/A</v>
      </c>
      <c r="AM74" s="107" t="e">
        <f>VLOOKUP($A74,'S48'!$C:$BQ,39,0)</f>
        <v>#N/A</v>
      </c>
      <c r="AN74" s="107" t="e">
        <f>VLOOKUP($A74,'S48'!$C:$BQ,40,0)</f>
        <v>#N/A</v>
      </c>
      <c r="AO74" s="107" t="e">
        <f>VLOOKUP($A74,'S48'!$C:$BQ,22,0)</f>
        <v>#N/A</v>
      </c>
      <c r="AP74" s="115" t="e">
        <f>VLOOKUP($A74,'S48'!$C:$BQ,29,0)</f>
        <v>#N/A</v>
      </c>
      <c r="AQ74" s="115" t="e">
        <f>VLOOKUP($A74,'S48'!$C:$BQ,30,0)</f>
        <v>#N/A</v>
      </c>
      <c r="AR74" s="115" t="e">
        <f>VLOOKUP($A74,'S48'!$C:$BQ,52,0)</f>
        <v>#N/A</v>
      </c>
      <c r="AS74" s="115" t="e">
        <f>VLOOKUP($A74,'S48'!$C:$BQ,59,0)</f>
        <v>#N/A</v>
      </c>
      <c r="AT74" s="115" t="e">
        <f>VLOOKUP($A74,'S48'!$C:$BQ,60,0)</f>
        <v>#N/A</v>
      </c>
      <c r="AU74" s="107" t="e">
        <f>VLOOKUP($A74,'S49'!$C:$BQ,32,0)</f>
        <v>#N/A</v>
      </c>
      <c r="AV74" s="107" t="e">
        <f>VLOOKUP($A74,'S49'!$C:$BQ,39,0)</f>
        <v>#N/A</v>
      </c>
      <c r="AW74" s="107" t="e">
        <f>VLOOKUP($A74,'S49'!$C:$BQ,40,0)</f>
        <v>#N/A</v>
      </c>
      <c r="AX74" s="107" t="e">
        <f>VLOOKUP($A74,'S49'!$C:$BQ,22,0)</f>
        <v>#N/A</v>
      </c>
      <c r="AY74" s="115" t="e">
        <f>VLOOKUP($A74,'S49'!$C:$BQ,29,0)</f>
        <v>#N/A</v>
      </c>
      <c r="AZ74" s="115" t="e">
        <f>VLOOKUP($A74,'S49'!$C:$BQ,30,0)</f>
        <v>#N/A</v>
      </c>
      <c r="BA74" s="115" t="e">
        <f>VLOOKUP($A74,'S49'!$C:$BQ,52,0)</f>
        <v>#N/A</v>
      </c>
      <c r="BB74" s="115" t="e">
        <f>VLOOKUP($A74,'S49'!$C:$BQ,59,0)</f>
        <v>#N/A</v>
      </c>
      <c r="BC74" s="115" t="e">
        <f>VLOOKUP($A74,'S49'!$C:$BQ,60,0)</f>
        <v>#N/A</v>
      </c>
      <c r="BD74" s="107" t="e">
        <f>VLOOKUP($A74,'S50'!$C:$BQ,32,0)</f>
        <v>#N/A</v>
      </c>
      <c r="BE74" s="107" t="e">
        <f>VLOOKUP($A74,'S50'!$C:$BQ,39,0)</f>
        <v>#N/A</v>
      </c>
      <c r="BF74" s="107" t="e">
        <f>VLOOKUP($A74,'S50'!$C:$BQ,40,0)</f>
        <v>#N/A</v>
      </c>
      <c r="BG74" s="107" t="e">
        <f>VLOOKUP($A74,'S50'!$C:$BQ,22,0)</f>
        <v>#N/A</v>
      </c>
      <c r="BH74" s="115" t="e">
        <f>VLOOKUP($A74,'S50'!$C:$BQ,29,0)</f>
        <v>#N/A</v>
      </c>
      <c r="BI74" s="115" t="e">
        <f>VLOOKUP($A74,'S50'!$C:$BQ,30,0)</f>
        <v>#N/A</v>
      </c>
      <c r="BJ74" s="115" t="e">
        <f>VLOOKUP($A74,'S50'!$C:$BQ,52,0)</f>
        <v>#N/A</v>
      </c>
      <c r="BK74" s="115" t="e">
        <f>VLOOKUP($A74,'S50'!$C:$BQ,59,0)</f>
        <v>#N/A</v>
      </c>
      <c r="BL74" s="115" t="e">
        <f>VLOOKUP($A74,'S50'!$C:$BQ,60,0)</f>
        <v>#N/A</v>
      </c>
    </row>
    <row r="75" spans="1:64" x14ac:dyDescent="0.2">
      <c r="A75" s="106" t="s">
        <v>132</v>
      </c>
      <c r="B75" s="107">
        <f>VLOOKUP($A75,'S0 remplacer avec S44'!$C:$BQ,32,0)</f>
        <v>129.94999999999999</v>
      </c>
      <c r="C75" s="107">
        <f>VLOOKUP($A75,'S0 remplacer avec S44'!$C:$BQ,39,0)</f>
        <v>46</v>
      </c>
      <c r="D75" s="107">
        <f>VLOOKUP($A75,'S0 remplacer avec S44'!$C:$BQ,40,0)</f>
        <v>81</v>
      </c>
      <c r="E75" s="107">
        <f>VLOOKUP($A75,'S0 remplacer avec S44'!$C:$BQ,22,0)</f>
        <v>630.70265500000005</v>
      </c>
      <c r="F75" s="115">
        <f>VLOOKUP($A75,'S0 remplacer avec S44'!$C:$BQ,29,0)</f>
        <v>969</v>
      </c>
      <c r="G75" s="115">
        <f>VLOOKUP($A75,'S0 remplacer avec S44'!$C:$BQ,30,0)</f>
        <v>1288</v>
      </c>
      <c r="H75" s="115">
        <f>VLOOKUP($A75,'S0 remplacer avec S44'!$C:$BQ,52,0)</f>
        <v>95.4</v>
      </c>
      <c r="I75" s="115">
        <f>VLOOKUP($A75,'S0 remplacer avec S44'!$C:$BQ,59,0)</f>
        <v>0</v>
      </c>
      <c r="J75" s="115">
        <f>VLOOKUP($A75,'S0 remplacer avec S44'!$C:$BQ,60,0)</f>
        <v>12</v>
      </c>
      <c r="K75" s="107" t="e">
        <f>VLOOKUP($A75,'S45'!$C:$BQ,32,0)</f>
        <v>#N/A</v>
      </c>
      <c r="L75" s="107" t="e">
        <f>VLOOKUP($A75,'S45'!$C:$BQ,39,0)</f>
        <v>#N/A</v>
      </c>
      <c r="M75" s="107" t="e">
        <f>VLOOKUP($A75,'S45'!$C:$BQ,40,0)</f>
        <v>#N/A</v>
      </c>
      <c r="N75" s="107" t="e">
        <f>VLOOKUP($A75,'S45'!$C:$BQ,22,0)</f>
        <v>#N/A</v>
      </c>
      <c r="O75" s="115" t="e">
        <f>VLOOKUP($A75,'S45'!$C:$BQ,29,0)</f>
        <v>#N/A</v>
      </c>
      <c r="P75" s="115" t="e">
        <f>VLOOKUP($A75,'S45'!$C:$BQ,30,0)</f>
        <v>#N/A</v>
      </c>
      <c r="Q75" s="115" t="e">
        <f>VLOOKUP($A75,'S45'!$C:$BQ,52,0)</f>
        <v>#N/A</v>
      </c>
      <c r="R75" s="115" t="e">
        <f>VLOOKUP($A75,'S45'!$C:$BQ,59,0)</f>
        <v>#N/A</v>
      </c>
      <c r="S75" s="115" t="e">
        <f>VLOOKUP($A75,'S45'!$C:$BQ,60,0)</f>
        <v>#N/A</v>
      </c>
      <c r="T75" s="107" t="e">
        <f>VLOOKUP($A75,'S46'!$C:$BQ,32,0)</f>
        <v>#N/A</v>
      </c>
      <c r="U75" s="107" t="e">
        <f>VLOOKUP($A75,'S46'!$C:$BQ,39,0)</f>
        <v>#N/A</v>
      </c>
      <c r="V75" s="107" t="e">
        <f>VLOOKUP($A75,'S46'!$C:$BQ,40,0)</f>
        <v>#N/A</v>
      </c>
      <c r="W75" s="107" t="e">
        <f>VLOOKUP($A75,'S46'!$C:$BQ,22,0)</f>
        <v>#N/A</v>
      </c>
      <c r="X75" s="115" t="e">
        <f>VLOOKUP($A75,'S46'!$C:$BQ,29,0)</f>
        <v>#N/A</v>
      </c>
      <c r="Y75" s="115" t="e">
        <f>VLOOKUP($A75,'S46'!$C:$BQ,30,0)</f>
        <v>#N/A</v>
      </c>
      <c r="Z75" s="115" t="e">
        <f>VLOOKUP($A75,'S46'!$C:$BQ,52,0)</f>
        <v>#N/A</v>
      </c>
      <c r="AA75" s="115" t="e">
        <f>VLOOKUP($A75,'S46'!$C:$BQ,59,0)</f>
        <v>#N/A</v>
      </c>
      <c r="AB75" s="115" t="e">
        <f>VLOOKUP($A75,'S46'!$C:$BQ,60,0)</f>
        <v>#N/A</v>
      </c>
      <c r="AC75" s="107" t="e">
        <f>VLOOKUP($A75,'S47'!$C:$BQ,32,0)</f>
        <v>#N/A</v>
      </c>
      <c r="AD75" s="107" t="e">
        <f>VLOOKUP($A75,'S47'!$C:$BQ,39,0)</f>
        <v>#N/A</v>
      </c>
      <c r="AE75" s="107" t="e">
        <f>VLOOKUP($A75,'S47'!$C:$BQ,40,0)</f>
        <v>#N/A</v>
      </c>
      <c r="AF75" s="107" t="e">
        <f>VLOOKUP($A75,'S47'!$C:$BQ,22,0)</f>
        <v>#N/A</v>
      </c>
      <c r="AG75" s="115" t="e">
        <f>VLOOKUP($A75,'S47'!$C:$BQ,29,0)</f>
        <v>#N/A</v>
      </c>
      <c r="AH75" s="115" t="e">
        <f>VLOOKUP($A75,'S47'!$C:$BQ,30,0)</f>
        <v>#N/A</v>
      </c>
      <c r="AI75" s="115" t="e">
        <f>VLOOKUP($A75,'S47'!$C:$BQ,52,0)</f>
        <v>#N/A</v>
      </c>
      <c r="AJ75" s="115" t="e">
        <f>VLOOKUP($A75,'S47'!$C:$BQ,59,0)</f>
        <v>#N/A</v>
      </c>
      <c r="AK75" s="115" t="e">
        <f>VLOOKUP($A75,'S47'!$C:$BQ,60,0)</f>
        <v>#N/A</v>
      </c>
      <c r="AL75" s="107" t="e">
        <f>VLOOKUP($A75,'S48'!$C:$BQ,32,0)</f>
        <v>#N/A</v>
      </c>
      <c r="AM75" s="107" t="e">
        <f>VLOOKUP($A75,'S48'!$C:$BQ,39,0)</f>
        <v>#N/A</v>
      </c>
      <c r="AN75" s="107" t="e">
        <f>VLOOKUP($A75,'S48'!$C:$BQ,40,0)</f>
        <v>#N/A</v>
      </c>
      <c r="AO75" s="107" t="e">
        <f>VLOOKUP($A75,'S48'!$C:$BQ,22,0)</f>
        <v>#N/A</v>
      </c>
      <c r="AP75" s="115" t="e">
        <f>VLOOKUP($A75,'S48'!$C:$BQ,29,0)</f>
        <v>#N/A</v>
      </c>
      <c r="AQ75" s="115" t="e">
        <f>VLOOKUP($A75,'S48'!$C:$BQ,30,0)</f>
        <v>#N/A</v>
      </c>
      <c r="AR75" s="115" t="e">
        <f>VLOOKUP($A75,'S48'!$C:$BQ,52,0)</f>
        <v>#N/A</v>
      </c>
      <c r="AS75" s="115" t="e">
        <f>VLOOKUP($A75,'S48'!$C:$BQ,59,0)</f>
        <v>#N/A</v>
      </c>
      <c r="AT75" s="115" t="e">
        <f>VLOOKUP($A75,'S48'!$C:$BQ,60,0)</f>
        <v>#N/A</v>
      </c>
      <c r="AU75" s="107" t="e">
        <f>VLOOKUP($A75,'S49'!$C:$BQ,32,0)</f>
        <v>#N/A</v>
      </c>
      <c r="AV75" s="107" t="e">
        <f>VLOOKUP($A75,'S49'!$C:$BQ,39,0)</f>
        <v>#N/A</v>
      </c>
      <c r="AW75" s="107" t="e">
        <f>VLOOKUP($A75,'S49'!$C:$BQ,40,0)</f>
        <v>#N/A</v>
      </c>
      <c r="AX75" s="107" t="e">
        <f>VLOOKUP($A75,'S49'!$C:$BQ,22,0)</f>
        <v>#N/A</v>
      </c>
      <c r="AY75" s="115" t="e">
        <f>VLOOKUP($A75,'S49'!$C:$BQ,29,0)</f>
        <v>#N/A</v>
      </c>
      <c r="AZ75" s="115" t="e">
        <f>VLOOKUP($A75,'S49'!$C:$BQ,30,0)</f>
        <v>#N/A</v>
      </c>
      <c r="BA75" s="115" t="e">
        <f>VLOOKUP($A75,'S49'!$C:$BQ,52,0)</f>
        <v>#N/A</v>
      </c>
      <c r="BB75" s="115" t="e">
        <f>VLOOKUP($A75,'S49'!$C:$BQ,59,0)</f>
        <v>#N/A</v>
      </c>
      <c r="BC75" s="115" t="e">
        <f>VLOOKUP($A75,'S49'!$C:$BQ,60,0)</f>
        <v>#N/A</v>
      </c>
      <c r="BD75" s="107" t="e">
        <f>VLOOKUP($A75,'S50'!$C:$BQ,32,0)</f>
        <v>#N/A</v>
      </c>
      <c r="BE75" s="107" t="e">
        <f>VLOOKUP($A75,'S50'!$C:$BQ,39,0)</f>
        <v>#N/A</v>
      </c>
      <c r="BF75" s="107" t="e">
        <f>VLOOKUP($A75,'S50'!$C:$BQ,40,0)</f>
        <v>#N/A</v>
      </c>
      <c r="BG75" s="107" t="e">
        <f>VLOOKUP($A75,'S50'!$C:$BQ,22,0)</f>
        <v>#N/A</v>
      </c>
      <c r="BH75" s="115" t="e">
        <f>VLOOKUP($A75,'S50'!$C:$BQ,29,0)</f>
        <v>#N/A</v>
      </c>
      <c r="BI75" s="115" t="e">
        <f>VLOOKUP($A75,'S50'!$C:$BQ,30,0)</f>
        <v>#N/A</v>
      </c>
      <c r="BJ75" s="115" t="e">
        <f>VLOOKUP($A75,'S50'!$C:$BQ,52,0)</f>
        <v>#N/A</v>
      </c>
      <c r="BK75" s="115" t="e">
        <f>VLOOKUP($A75,'S50'!$C:$BQ,59,0)</f>
        <v>#N/A</v>
      </c>
      <c r="BL75" s="115" t="e">
        <f>VLOOKUP($A75,'S50'!$C:$BQ,60,0)</f>
        <v>#N/A</v>
      </c>
    </row>
    <row r="76" spans="1:64" x14ac:dyDescent="0.2">
      <c r="A76" s="106" t="s">
        <v>133</v>
      </c>
      <c r="B76" s="107">
        <f>VLOOKUP($A76,'S0 remplacer avec S44'!$C:$BQ,32,0)</f>
        <v>205.9</v>
      </c>
      <c r="C76" s="107">
        <f>VLOOKUP($A76,'S0 remplacer avec S44'!$C:$BQ,39,0)</f>
        <v>0</v>
      </c>
      <c r="D76" s="107">
        <f>VLOOKUP($A76,'S0 remplacer avec S44'!$C:$BQ,40,0)</f>
        <v>0</v>
      </c>
      <c r="E76" s="107">
        <f>VLOOKUP($A76,'S0 remplacer avec S44'!$C:$BQ,22,0)</f>
        <v>1695.3282300000001</v>
      </c>
      <c r="F76" s="115">
        <f>VLOOKUP($A76,'S0 remplacer avec S44'!$C:$BQ,29,0)</f>
        <v>0</v>
      </c>
      <c r="G76" s="115">
        <f>VLOOKUP($A76,'S0 remplacer avec S44'!$C:$BQ,30,0)</f>
        <v>0</v>
      </c>
      <c r="H76" s="115">
        <f>VLOOKUP($A76,'S0 remplacer avec S44'!$C:$BQ,52,0)</f>
        <v>140</v>
      </c>
      <c r="I76" s="115">
        <f>VLOOKUP($A76,'S0 remplacer avec S44'!$C:$BQ,59,0)</f>
        <v>0</v>
      </c>
      <c r="J76" s="115">
        <f>VLOOKUP($A76,'S0 remplacer avec S44'!$C:$BQ,60,0)</f>
        <v>0</v>
      </c>
      <c r="K76" s="107" t="e">
        <f>VLOOKUP($A76,'S45'!$C:$BQ,32,0)</f>
        <v>#N/A</v>
      </c>
      <c r="L76" s="107" t="e">
        <f>VLOOKUP($A76,'S45'!$C:$BQ,39,0)</f>
        <v>#N/A</v>
      </c>
      <c r="M76" s="107" t="e">
        <f>VLOOKUP($A76,'S45'!$C:$BQ,40,0)</f>
        <v>#N/A</v>
      </c>
      <c r="N76" s="107" t="e">
        <f>VLOOKUP($A76,'S45'!$C:$BQ,22,0)</f>
        <v>#N/A</v>
      </c>
      <c r="O76" s="115" t="e">
        <f>VLOOKUP($A76,'S45'!$C:$BQ,29,0)</f>
        <v>#N/A</v>
      </c>
      <c r="P76" s="115" t="e">
        <f>VLOOKUP($A76,'S45'!$C:$BQ,30,0)</f>
        <v>#N/A</v>
      </c>
      <c r="Q76" s="115" t="e">
        <f>VLOOKUP($A76,'S45'!$C:$BQ,52,0)</f>
        <v>#N/A</v>
      </c>
      <c r="R76" s="115" t="e">
        <f>VLOOKUP($A76,'S45'!$C:$BQ,59,0)</f>
        <v>#N/A</v>
      </c>
      <c r="S76" s="115" t="e">
        <f>VLOOKUP($A76,'S45'!$C:$BQ,60,0)</f>
        <v>#N/A</v>
      </c>
      <c r="T76" s="107" t="e">
        <f>VLOOKUP($A76,'S46'!$C:$BQ,32,0)</f>
        <v>#N/A</v>
      </c>
      <c r="U76" s="107" t="e">
        <f>VLOOKUP($A76,'S46'!$C:$BQ,39,0)</f>
        <v>#N/A</v>
      </c>
      <c r="V76" s="107" t="e">
        <f>VLOOKUP($A76,'S46'!$C:$BQ,40,0)</f>
        <v>#N/A</v>
      </c>
      <c r="W76" s="107" t="e">
        <f>VLOOKUP($A76,'S46'!$C:$BQ,22,0)</f>
        <v>#N/A</v>
      </c>
      <c r="X76" s="115" t="e">
        <f>VLOOKUP($A76,'S46'!$C:$BQ,29,0)</f>
        <v>#N/A</v>
      </c>
      <c r="Y76" s="115" t="e">
        <f>VLOOKUP($A76,'S46'!$C:$BQ,30,0)</f>
        <v>#N/A</v>
      </c>
      <c r="Z76" s="115" t="e">
        <f>VLOOKUP($A76,'S46'!$C:$BQ,52,0)</f>
        <v>#N/A</v>
      </c>
      <c r="AA76" s="115" t="e">
        <f>VLOOKUP($A76,'S46'!$C:$BQ,59,0)</f>
        <v>#N/A</v>
      </c>
      <c r="AB76" s="115" t="e">
        <f>VLOOKUP($A76,'S46'!$C:$BQ,60,0)</f>
        <v>#N/A</v>
      </c>
      <c r="AC76" s="107" t="e">
        <f>VLOOKUP($A76,'S47'!$C:$BQ,32,0)</f>
        <v>#N/A</v>
      </c>
      <c r="AD76" s="107" t="e">
        <f>VLOOKUP($A76,'S47'!$C:$BQ,39,0)</f>
        <v>#N/A</v>
      </c>
      <c r="AE76" s="107" t="e">
        <f>VLOOKUP($A76,'S47'!$C:$BQ,40,0)</f>
        <v>#N/A</v>
      </c>
      <c r="AF76" s="107" t="e">
        <f>VLOOKUP($A76,'S47'!$C:$BQ,22,0)</f>
        <v>#N/A</v>
      </c>
      <c r="AG76" s="115" t="e">
        <f>VLOOKUP($A76,'S47'!$C:$BQ,29,0)</f>
        <v>#N/A</v>
      </c>
      <c r="AH76" s="115" t="e">
        <f>VLOOKUP($A76,'S47'!$C:$BQ,30,0)</f>
        <v>#N/A</v>
      </c>
      <c r="AI76" s="115" t="e">
        <f>VLOOKUP($A76,'S47'!$C:$BQ,52,0)</f>
        <v>#N/A</v>
      </c>
      <c r="AJ76" s="115" t="e">
        <f>VLOOKUP($A76,'S47'!$C:$BQ,59,0)</f>
        <v>#N/A</v>
      </c>
      <c r="AK76" s="115" t="e">
        <f>VLOOKUP($A76,'S47'!$C:$BQ,60,0)</f>
        <v>#N/A</v>
      </c>
      <c r="AL76" s="107" t="e">
        <f>VLOOKUP($A76,'S48'!$C:$BQ,32,0)</f>
        <v>#N/A</v>
      </c>
      <c r="AM76" s="107" t="e">
        <f>VLOOKUP($A76,'S48'!$C:$BQ,39,0)</f>
        <v>#N/A</v>
      </c>
      <c r="AN76" s="107" t="e">
        <f>VLOOKUP($A76,'S48'!$C:$BQ,40,0)</f>
        <v>#N/A</v>
      </c>
      <c r="AO76" s="107" t="e">
        <f>VLOOKUP($A76,'S48'!$C:$BQ,22,0)</f>
        <v>#N/A</v>
      </c>
      <c r="AP76" s="115" t="e">
        <f>VLOOKUP($A76,'S48'!$C:$BQ,29,0)</f>
        <v>#N/A</v>
      </c>
      <c r="AQ76" s="115" t="e">
        <f>VLOOKUP($A76,'S48'!$C:$BQ,30,0)</f>
        <v>#N/A</v>
      </c>
      <c r="AR76" s="115" t="e">
        <f>VLOOKUP($A76,'S48'!$C:$BQ,52,0)</f>
        <v>#N/A</v>
      </c>
      <c r="AS76" s="115" t="e">
        <f>VLOOKUP($A76,'S48'!$C:$BQ,59,0)</f>
        <v>#N/A</v>
      </c>
      <c r="AT76" s="115" t="e">
        <f>VLOOKUP($A76,'S48'!$C:$BQ,60,0)</f>
        <v>#N/A</v>
      </c>
      <c r="AU76" s="107" t="e">
        <f>VLOOKUP($A76,'S49'!$C:$BQ,32,0)</f>
        <v>#N/A</v>
      </c>
      <c r="AV76" s="107" t="e">
        <f>VLOOKUP($A76,'S49'!$C:$BQ,39,0)</f>
        <v>#N/A</v>
      </c>
      <c r="AW76" s="107" t="e">
        <f>VLOOKUP($A76,'S49'!$C:$BQ,40,0)</f>
        <v>#N/A</v>
      </c>
      <c r="AX76" s="107" t="e">
        <f>VLOOKUP($A76,'S49'!$C:$BQ,22,0)</f>
        <v>#N/A</v>
      </c>
      <c r="AY76" s="115" t="e">
        <f>VLOOKUP($A76,'S49'!$C:$BQ,29,0)</f>
        <v>#N/A</v>
      </c>
      <c r="AZ76" s="115" t="e">
        <f>VLOOKUP($A76,'S49'!$C:$BQ,30,0)</f>
        <v>#N/A</v>
      </c>
      <c r="BA76" s="115" t="e">
        <f>VLOOKUP($A76,'S49'!$C:$BQ,52,0)</f>
        <v>#N/A</v>
      </c>
      <c r="BB76" s="115" t="e">
        <f>VLOOKUP($A76,'S49'!$C:$BQ,59,0)</f>
        <v>#N/A</v>
      </c>
      <c r="BC76" s="115" t="e">
        <f>VLOOKUP($A76,'S49'!$C:$BQ,60,0)</f>
        <v>#N/A</v>
      </c>
      <c r="BD76" s="107" t="e">
        <f>VLOOKUP($A76,'S50'!$C:$BQ,32,0)</f>
        <v>#N/A</v>
      </c>
      <c r="BE76" s="107" t="e">
        <f>VLOOKUP($A76,'S50'!$C:$BQ,39,0)</f>
        <v>#N/A</v>
      </c>
      <c r="BF76" s="107" t="e">
        <f>VLOOKUP($A76,'S50'!$C:$BQ,40,0)</f>
        <v>#N/A</v>
      </c>
      <c r="BG76" s="107" t="e">
        <f>VLOOKUP($A76,'S50'!$C:$BQ,22,0)</f>
        <v>#N/A</v>
      </c>
      <c r="BH76" s="115" t="e">
        <f>VLOOKUP($A76,'S50'!$C:$BQ,29,0)</f>
        <v>#N/A</v>
      </c>
      <c r="BI76" s="115" t="e">
        <f>VLOOKUP($A76,'S50'!$C:$BQ,30,0)</f>
        <v>#N/A</v>
      </c>
      <c r="BJ76" s="115" t="e">
        <f>VLOOKUP($A76,'S50'!$C:$BQ,52,0)</f>
        <v>#N/A</v>
      </c>
      <c r="BK76" s="115" t="e">
        <f>VLOOKUP($A76,'S50'!$C:$BQ,59,0)</f>
        <v>#N/A</v>
      </c>
      <c r="BL76" s="115" t="e">
        <f>VLOOKUP($A76,'S50'!$C:$BQ,60,0)</f>
        <v>#N/A</v>
      </c>
    </row>
    <row r="77" spans="1:64" x14ac:dyDescent="0.2">
      <c r="A77" s="106" t="s">
        <v>134</v>
      </c>
      <c r="B77" s="107">
        <f>VLOOKUP($A77,'S0 remplacer avec S44'!$C:$BQ,32,0)</f>
        <v>193.55</v>
      </c>
      <c r="C77" s="107">
        <f>VLOOKUP($A77,'S0 remplacer avec S44'!$C:$BQ,39,0)</f>
        <v>0</v>
      </c>
      <c r="D77" s="107">
        <f>VLOOKUP($A77,'S0 remplacer avec S44'!$C:$BQ,40,0)</f>
        <v>9</v>
      </c>
      <c r="E77" s="107">
        <f>VLOOKUP($A77,'S0 remplacer avec S44'!$C:$BQ,22,0)</f>
        <v>1459.97866</v>
      </c>
      <c r="F77" s="115">
        <f>VLOOKUP($A77,'S0 remplacer avec S44'!$C:$BQ,29,0)</f>
        <v>75</v>
      </c>
      <c r="G77" s="115">
        <f>VLOOKUP($A77,'S0 remplacer avec S44'!$C:$BQ,30,0)</f>
        <v>382</v>
      </c>
      <c r="H77" s="115">
        <f>VLOOKUP($A77,'S0 remplacer avec S44'!$C:$BQ,52,0)</f>
        <v>134.6</v>
      </c>
      <c r="I77" s="115">
        <f>VLOOKUP($A77,'S0 remplacer avec S44'!$C:$BQ,59,0)</f>
        <v>0</v>
      </c>
      <c r="J77" s="115">
        <f>VLOOKUP($A77,'S0 remplacer avec S44'!$C:$BQ,60,0)</f>
        <v>0</v>
      </c>
      <c r="K77" s="107" t="e">
        <f>VLOOKUP($A77,'S45'!$C:$BQ,32,0)</f>
        <v>#N/A</v>
      </c>
      <c r="L77" s="107" t="e">
        <f>VLOOKUP($A77,'S45'!$C:$BQ,39,0)</f>
        <v>#N/A</v>
      </c>
      <c r="M77" s="107" t="e">
        <f>VLOOKUP($A77,'S45'!$C:$BQ,40,0)</f>
        <v>#N/A</v>
      </c>
      <c r="N77" s="107" t="e">
        <f>VLOOKUP($A77,'S45'!$C:$BQ,22,0)</f>
        <v>#N/A</v>
      </c>
      <c r="O77" s="115" t="e">
        <f>VLOOKUP($A77,'S45'!$C:$BQ,29,0)</f>
        <v>#N/A</v>
      </c>
      <c r="P77" s="115" t="e">
        <f>VLOOKUP($A77,'S45'!$C:$BQ,30,0)</f>
        <v>#N/A</v>
      </c>
      <c r="Q77" s="115" t="e">
        <f>VLOOKUP($A77,'S45'!$C:$BQ,52,0)</f>
        <v>#N/A</v>
      </c>
      <c r="R77" s="115" t="e">
        <f>VLOOKUP($A77,'S45'!$C:$BQ,59,0)</f>
        <v>#N/A</v>
      </c>
      <c r="S77" s="115" t="e">
        <f>VLOOKUP($A77,'S45'!$C:$BQ,60,0)</f>
        <v>#N/A</v>
      </c>
      <c r="T77" s="107" t="e">
        <f>VLOOKUP($A77,'S46'!$C:$BQ,32,0)</f>
        <v>#N/A</v>
      </c>
      <c r="U77" s="107" t="e">
        <f>VLOOKUP($A77,'S46'!$C:$BQ,39,0)</f>
        <v>#N/A</v>
      </c>
      <c r="V77" s="107" t="e">
        <f>VLOOKUP($A77,'S46'!$C:$BQ,40,0)</f>
        <v>#N/A</v>
      </c>
      <c r="W77" s="107" t="e">
        <f>VLOOKUP($A77,'S46'!$C:$BQ,22,0)</f>
        <v>#N/A</v>
      </c>
      <c r="X77" s="115" t="e">
        <f>VLOOKUP($A77,'S46'!$C:$BQ,29,0)</f>
        <v>#N/A</v>
      </c>
      <c r="Y77" s="115" t="e">
        <f>VLOOKUP($A77,'S46'!$C:$BQ,30,0)</f>
        <v>#N/A</v>
      </c>
      <c r="Z77" s="115" t="e">
        <f>VLOOKUP($A77,'S46'!$C:$BQ,52,0)</f>
        <v>#N/A</v>
      </c>
      <c r="AA77" s="115" t="e">
        <f>VLOOKUP($A77,'S46'!$C:$BQ,59,0)</f>
        <v>#N/A</v>
      </c>
      <c r="AB77" s="115" t="e">
        <f>VLOOKUP($A77,'S46'!$C:$BQ,60,0)</f>
        <v>#N/A</v>
      </c>
      <c r="AC77" s="107" t="e">
        <f>VLOOKUP($A77,'S47'!$C:$BQ,32,0)</f>
        <v>#N/A</v>
      </c>
      <c r="AD77" s="107" t="e">
        <f>VLOOKUP($A77,'S47'!$C:$BQ,39,0)</f>
        <v>#N/A</v>
      </c>
      <c r="AE77" s="107" t="e">
        <f>VLOOKUP($A77,'S47'!$C:$BQ,40,0)</f>
        <v>#N/A</v>
      </c>
      <c r="AF77" s="107" t="e">
        <f>VLOOKUP($A77,'S47'!$C:$BQ,22,0)</f>
        <v>#N/A</v>
      </c>
      <c r="AG77" s="115" t="e">
        <f>VLOOKUP($A77,'S47'!$C:$BQ,29,0)</f>
        <v>#N/A</v>
      </c>
      <c r="AH77" s="115" t="e">
        <f>VLOOKUP($A77,'S47'!$C:$BQ,30,0)</f>
        <v>#N/A</v>
      </c>
      <c r="AI77" s="115" t="e">
        <f>VLOOKUP($A77,'S47'!$C:$BQ,52,0)</f>
        <v>#N/A</v>
      </c>
      <c r="AJ77" s="115" t="e">
        <f>VLOOKUP($A77,'S47'!$C:$BQ,59,0)</f>
        <v>#N/A</v>
      </c>
      <c r="AK77" s="115" t="e">
        <f>VLOOKUP($A77,'S47'!$C:$BQ,60,0)</f>
        <v>#N/A</v>
      </c>
      <c r="AL77" s="107" t="e">
        <f>VLOOKUP($A77,'S48'!$C:$BQ,32,0)</f>
        <v>#N/A</v>
      </c>
      <c r="AM77" s="107" t="e">
        <f>VLOOKUP($A77,'S48'!$C:$BQ,39,0)</f>
        <v>#N/A</v>
      </c>
      <c r="AN77" s="107" t="e">
        <f>VLOOKUP($A77,'S48'!$C:$BQ,40,0)</f>
        <v>#N/A</v>
      </c>
      <c r="AO77" s="107" t="e">
        <f>VLOOKUP($A77,'S48'!$C:$BQ,22,0)</f>
        <v>#N/A</v>
      </c>
      <c r="AP77" s="115" t="e">
        <f>VLOOKUP($A77,'S48'!$C:$BQ,29,0)</f>
        <v>#N/A</v>
      </c>
      <c r="AQ77" s="115" t="e">
        <f>VLOOKUP($A77,'S48'!$C:$BQ,30,0)</f>
        <v>#N/A</v>
      </c>
      <c r="AR77" s="115" t="e">
        <f>VLOOKUP($A77,'S48'!$C:$BQ,52,0)</f>
        <v>#N/A</v>
      </c>
      <c r="AS77" s="115" t="e">
        <f>VLOOKUP($A77,'S48'!$C:$BQ,59,0)</f>
        <v>#N/A</v>
      </c>
      <c r="AT77" s="115" t="e">
        <f>VLOOKUP($A77,'S48'!$C:$BQ,60,0)</f>
        <v>#N/A</v>
      </c>
      <c r="AU77" s="107" t="e">
        <f>VLOOKUP($A77,'S49'!$C:$BQ,32,0)</f>
        <v>#N/A</v>
      </c>
      <c r="AV77" s="107" t="e">
        <f>VLOOKUP($A77,'S49'!$C:$BQ,39,0)</f>
        <v>#N/A</v>
      </c>
      <c r="AW77" s="107" t="e">
        <f>VLOOKUP($A77,'S49'!$C:$BQ,40,0)</f>
        <v>#N/A</v>
      </c>
      <c r="AX77" s="107" t="e">
        <f>VLOOKUP($A77,'S49'!$C:$BQ,22,0)</f>
        <v>#N/A</v>
      </c>
      <c r="AY77" s="115" t="e">
        <f>VLOOKUP($A77,'S49'!$C:$BQ,29,0)</f>
        <v>#N/A</v>
      </c>
      <c r="AZ77" s="115" t="e">
        <f>VLOOKUP($A77,'S49'!$C:$BQ,30,0)</f>
        <v>#N/A</v>
      </c>
      <c r="BA77" s="115" t="e">
        <f>VLOOKUP($A77,'S49'!$C:$BQ,52,0)</f>
        <v>#N/A</v>
      </c>
      <c r="BB77" s="115" t="e">
        <f>VLOOKUP($A77,'S49'!$C:$BQ,59,0)</f>
        <v>#N/A</v>
      </c>
      <c r="BC77" s="115" t="e">
        <f>VLOOKUP($A77,'S49'!$C:$BQ,60,0)</f>
        <v>#N/A</v>
      </c>
      <c r="BD77" s="107" t="e">
        <f>VLOOKUP($A77,'S50'!$C:$BQ,32,0)</f>
        <v>#N/A</v>
      </c>
      <c r="BE77" s="107" t="e">
        <f>VLOOKUP($A77,'S50'!$C:$BQ,39,0)</f>
        <v>#N/A</v>
      </c>
      <c r="BF77" s="107" t="e">
        <f>VLOOKUP($A77,'S50'!$C:$BQ,40,0)</f>
        <v>#N/A</v>
      </c>
      <c r="BG77" s="107" t="e">
        <f>VLOOKUP($A77,'S50'!$C:$BQ,22,0)</f>
        <v>#N/A</v>
      </c>
      <c r="BH77" s="115" t="e">
        <f>VLOOKUP($A77,'S50'!$C:$BQ,29,0)</f>
        <v>#N/A</v>
      </c>
      <c r="BI77" s="115" t="e">
        <f>VLOOKUP($A77,'S50'!$C:$BQ,30,0)</f>
        <v>#N/A</v>
      </c>
      <c r="BJ77" s="115" t="e">
        <f>VLOOKUP($A77,'S50'!$C:$BQ,52,0)</f>
        <v>#N/A</v>
      </c>
      <c r="BK77" s="115" t="e">
        <f>VLOOKUP($A77,'S50'!$C:$BQ,59,0)</f>
        <v>#N/A</v>
      </c>
      <c r="BL77" s="115" t="e">
        <f>VLOOKUP($A77,'S50'!$C:$BQ,60,0)</f>
        <v>#N/A</v>
      </c>
    </row>
    <row r="78" spans="1:64" x14ac:dyDescent="0.2">
      <c r="A78" s="106" t="s">
        <v>135</v>
      </c>
      <c r="B78" s="107">
        <f>VLOOKUP($A78,'S0 remplacer avec S44'!$C:$BQ,32,0)</f>
        <v>255</v>
      </c>
      <c r="C78" s="107">
        <f>VLOOKUP($A78,'S0 remplacer avec S44'!$C:$BQ,39,0)</f>
        <v>96</v>
      </c>
      <c r="D78" s="107">
        <f>VLOOKUP($A78,'S0 remplacer avec S44'!$C:$BQ,40,0)</f>
        <v>166</v>
      </c>
      <c r="E78" s="107">
        <f>VLOOKUP($A78,'S0 remplacer avec S44'!$C:$BQ,22,0)</f>
        <v>2342.6053449999999</v>
      </c>
      <c r="F78" s="115">
        <f>VLOOKUP($A78,'S0 remplacer avec S44'!$C:$BQ,29,0)</f>
        <v>845</v>
      </c>
      <c r="G78" s="115">
        <f>VLOOKUP($A78,'S0 remplacer avec S44'!$C:$BQ,30,0)</f>
        <v>1482</v>
      </c>
      <c r="H78" s="115">
        <f>VLOOKUP($A78,'S0 remplacer avec S44'!$C:$BQ,52,0)</f>
        <v>219.2</v>
      </c>
      <c r="I78" s="115">
        <f>VLOOKUP($A78,'S0 remplacer avec S44'!$C:$BQ,59,0)</f>
        <v>0</v>
      </c>
      <c r="J78" s="115">
        <f>VLOOKUP($A78,'S0 remplacer avec S44'!$C:$BQ,60,0)</f>
        <v>0</v>
      </c>
      <c r="K78" s="107" t="e">
        <f>VLOOKUP($A78,'S45'!$C:$BQ,32,0)</f>
        <v>#N/A</v>
      </c>
      <c r="L78" s="107" t="e">
        <f>VLOOKUP($A78,'S45'!$C:$BQ,39,0)</f>
        <v>#N/A</v>
      </c>
      <c r="M78" s="107" t="e">
        <f>VLOOKUP($A78,'S45'!$C:$BQ,40,0)</f>
        <v>#N/A</v>
      </c>
      <c r="N78" s="107" t="e">
        <f>VLOOKUP($A78,'S45'!$C:$BQ,22,0)</f>
        <v>#N/A</v>
      </c>
      <c r="O78" s="115" t="e">
        <f>VLOOKUP($A78,'S45'!$C:$BQ,29,0)</f>
        <v>#N/A</v>
      </c>
      <c r="P78" s="115" t="e">
        <f>VLOOKUP($A78,'S45'!$C:$BQ,30,0)</f>
        <v>#N/A</v>
      </c>
      <c r="Q78" s="115" t="e">
        <f>VLOOKUP($A78,'S45'!$C:$BQ,52,0)</f>
        <v>#N/A</v>
      </c>
      <c r="R78" s="115" t="e">
        <f>VLOOKUP($A78,'S45'!$C:$BQ,59,0)</f>
        <v>#N/A</v>
      </c>
      <c r="S78" s="115" t="e">
        <f>VLOOKUP($A78,'S45'!$C:$BQ,60,0)</f>
        <v>#N/A</v>
      </c>
      <c r="T78" s="107" t="e">
        <f>VLOOKUP($A78,'S46'!$C:$BQ,32,0)</f>
        <v>#N/A</v>
      </c>
      <c r="U78" s="107" t="e">
        <f>VLOOKUP($A78,'S46'!$C:$BQ,39,0)</f>
        <v>#N/A</v>
      </c>
      <c r="V78" s="107" t="e">
        <f>VLOOKUP($A78,'S46'!$C:$BQ,40,0)</f>
        <v>#N/A</v>
      </c>
      <c r="W78" s="107" t="e">
        <f>VLOOKUP($A78,'S46'!$C:$BQ,22,0)</f>
        <v>#N/A</v>
      </c>
      <c r="X78" s="115" t="e">
        <f>VLOOKUP($A78,'S46'!$C:$BQ,29,0)</f>
        <v>#N/A</v>
      </c>
      <c r="Y78" s="115" t="e">
        <f>VLOOKUP($A78,'S46'!$C:$BQ,30,0)</f>
        <v>#N/A</v>
      </c>
      <c r="Z78" s="115" t="e">
        <f>VLOOKUP($A78,'S46'!$C:$BQ,52,0)</f>
        <v>#N/A</v>
      </c>
      <c r="AA78" s="115" t="e">
        <f>VLOOKUP($A78,'S46'!$C:$BQ,59,0)</f>
        <v>#N/A</v>
      </c>
      <c r="AB78" s="115" t="e">
        <f>VLOOKUP($A78,'S46'!$C:$BQ,60,0)</f>
        <v>#N/A</v>
      </c>
      <c r="AC78" s="107" t="e">
        <f>VLOOKUP($A78,'S47'!$C:$BQ,32,0)</f>
        <v>#N/A</v>
      </c>
      <c r="AD78" s="107" t="e">
        <f>VLOOKUP($A78,'S47'!$C:$BQ,39,0)</f>
        <v>#N/A</v>
      </c>
      <c r="AE78" s="107" t="e">
        <f>VLOOKUP($A78,'S47'!$C:$BQ,40,0)</f>
        <v>#N/A</v>
      </c>
      <c r="AF78" s="107" t="e">
        <f>VLOOKUP($A78,'S47'!$C:$BQ,22,0)</f>
        <v>#N/A</v>
      </c>
      <c r="AG78" s="115" t="e">
        <f>VLOOKUP($A78,'S47'!$C:$BQ,29,0)</f>
        <v>#N/A</v>
      </c>
      <c r="AH78" s="115" t="e">
        <f>VLOOKUP($A78,'S47'!$C:$BQ,30,0)</f>
        <v>#N/A</v>
      </c>
      <c r="AI78" s="115" t="e">
        <f>VLOOKUP($A78,'S47'!$C:$BQ,52,0)</f>
        <v>#N/A</v>
      </c>
      <c r="AJ78" s="115" t="e">
        <f>VLOOKUP($A78,'S47'!$C:$BQ,59,0)</f>
        <v>#N/A</v>
      </c>
      <c r="AK78" s="115" t="e">
        <f>VLOOKUP($A78,'S47'!$C:$BQ,60,0)</f>
        <v>#N/A</v>
      </c>
      <c r="AL78" s="107" t="e">
        <f>VLOOKUP($A78,'S48'!$C:$BQ,32,0)</f>
        <v>#N/A</v>
      </c>
      <c r="AM78" s="107" t="e">
        <f>VLOOKUP($A78,'S48'!$C:$BQ,39,0)</f>
        <v>#N/A</v>
      </c>
      <c r="AN78" s="107" t="e">
        <f>VLOOKUP($A78,'S48'!$C:$BQ,40,0)</f>
        <v>#N/A</v>
      </c>
      <c r="AO78" s="107" t="e">
        <f>VLOOKUP($A78,'S48'!$C:$BQ,22,0)</f>
        <v>#N/A</v>
      </c>
      <c r="AP78" s="115" t="e">
        <f>VLOOKUP($A78,'S48'!$C:$BQ,29,0)</f>
        <v>#N/A</v>
      </c>
      <c r="AQ78" s="115" t="e">
        <f>VLOOKUP($A78,'S48'!$C:$BQ,30,0)</f>
        <v>#N/A</v>
      </c>
      <c r="AR78" s="115" t="e">
        <f>VLOOKUP($A78,'S48'!$C:$BQ,52,0)</f>
        <v>#N/A</v>
      </c>
      <c r="AS78" s="115" t="e">
        <f>VLOOKUP($A78,'S48'!$C:$BQ,59,0)</f>
        <v>#N/A</v>
      </c>
      <c r="AT78" s="115" t="e">
        <f>VLOOKUP($A78,'S48'!$C:$BQ,60,0)</f>
        <v>#N/A</v>
      </c>
      <c r="AU78" s="107" t="e">
        <f>VLOOKUP($A78,'S49'!$C:$BQ,32,0)</f>
        <v>#N/A</v>
      </c>
      <c r="AV78" s="107" t="e">
        <f>VLOOKUP($A78,'S49'!$C:$BQ,39,0)</f>
        <v>#N/A</v>
      </c>
      <c r="AW78" s="107" t="e">
        <f>VLOOKUP($A78,'S49'!$C:$BQ,40,0)</f>
        <v>#N/A</v>
      </c>
      <c r="AX78" s="107" t="e">
        <f>VLOOKUP($A78,'S49'!$C:$BQ,22,0)</f>
        <v>#N/A</v>
      </c>
      <c r="AY78" s="115" t="e">
        <f>VLOOKUP($A78,'S49'!$C:$BQ,29,0)</f>
        <v>#N/A</v>
      </c>
      <c r="AZ78" s="115" t="e">
        <f>VLOOKUP($A78,'S49'!$C:$BQ,30,0)</f>
        <v>#N/A</v>
      </c>
      <c r="BA78" s="115" t="e">
        <f>VLOOKUP($A78,'S49'!$C:$BQ,52,0)</f>
        <v>#N/A</v>
      </c>
      <c r="BB78" s="115" t="e">
        <f>VLOOKUP($A78,'S49'!$C:$BQ,59,0)</f>
        <v>#N/A</v>
      </c>
      <c r="BC78" s="115" t="e">
        <f>VLOOKUP($A78,'S49'!$C:$BQ,60,0)</f>
        <v>#N/A</v>
      </c>
      <c r="BD78" s="107" t="e">
        <f>VLOOKUP($A78,'S50'!$C:$BQ,32,0)</f>
        <v>#N/A</v>
      </c>
      <c r="BE78" s="107" t="e">
        <f>VLOOKUP($A78,'S50'!$C:$BQ,39,0)</f>
        <v>#N/A</v>
      </c>
      <c r="BF78" s="107" t="e">
        <f>VLOOKUP($A78,'S50'!$C:$BQ,40,0)</f>
        <v>#N/A</v>
      </c>
      <c r="BG78" s="107" t="e">
        <f>VLOOKUP($A78,'S50'!$C:$BQ,22,0)</f>
        <v>#N/A</v>
      </c>
      <c r="BH78" s="115" t="e">
        <f>VLOOKUP($A78,'S50'!$C:$BQ,29,0)</f>
        <v>#N/A</v>
      </c>
      <c r="BI78" s="115" t="e">
        <f>VLOOKUP($A78,'S50'!$C:$BQ,30,0)</f>
        <v>#N/A</v>
      </c>
      <c r="BJ78" s="115" t="e">
        <f>VLOOKUP($A78,'S50'!$C:$BQ,52,0)</f>
        <v>#N/A</v>
      </c>
      <c r="BK78" s="115" t="e">
        <f>VLOOKUP($A78,'S50'!$C:$BQ,59,0)</f>
        <v>#N/A</v>
      </c>
      <c r="BL78" s="115" t="e">
        <f>VLOOKUP($A78,'S50'!$C:$BQ,60,0)</f>
        <v>#N/A</v>
      </c>
    </row>
    <row r="79" spans="1:64" x14ac:dyDescent="0.2">
      <c r="A79" s="106" t="s">
        <v>136</v>
      </c>
      <c r="B79" s="107">
        <f>VLOOKUP($A79,'S0 remplacer avec S44'!$C:$BQ,32,0)</f>
        <v>189.2</v>
      </c>
      <c r="C79" s="107">
        <f>VLOOKUP($A79,'S0 remplacer avec S44'!$C:$BQ,39,0)</f>
        <v>106</v>
      </c>
      <c r="D79" s="107">
        <f>VLOOKUP($A79,'S0 remplacer avec S44'!$C:$BQ,40,0)</f>
        <v>165</v>
      </c>
      <c r="E79" s="107">
        <f>VLOOKUP($A79,'S0 remplacer avec S44'!$C:$BQ,22,0)</f>
        <v>2291.9000900000001</v>
      </c>
      <c r="F79" s="115">
        <f>VLOOKUP($A79,'S0 remplacer avec S44'!$C:$BQ,29,0)</f>
        <v>391</v>
      </c>
      <c r="G79" s="115">
        <f>VLOOKUP($A79,'S0 remplacer avec S44'!$C:$BQ,30,0)</f>
        <v>928</v>
      </c>
      <c r="H79" s="115">
        <f>VLOOKUP($A79,'S0 remplacer avec S44'!$C:$BQ,52,0)</f>
        <v>209.2</v>
      </c>
      <c r="I79" s="115">
        <f>VLOOKUP($A79,'S0 remplacer avec S44'!$C:$BQ,59,0)</f>
        <v>0</v>
      </c>
      <c r="J79" s="115">
        <f>VLOOKUP($A79,'S0 remplacer avec S44'!$C:$BQ,60,0)</f>
        <v>0</v>
      </c>
      <c r="K79" s="107" t="e">
        <f>VLOOKUP($A79,'S45'!$C:$BQ,32,0)</f>
        <v>#N/A</v>
      </c>
      <c r="L79" s="107" t="e">
        <f>VLOOKUP($A79,'S45'!$C:$BQ,39,0)</f>
        <v>#N/A</v>
      </c>
      <c r="M79" s="107" t="e">
        <f>VLOOKUP($A79,'S45'!$C:$BQ,40,0)</f>
        <v>#N/A</v>
      </c>
      <c r="N79" s="107" t="e">
        <f>VLOOKUP($A79,'S45'!$C:$BQ,22,0)</f>
        <v>#N/A</v>
      </c>
      <c r="O79" s="115" t="e">
        <f>VLOOKUP($A79,'S45'!$C:$BQ,29,0)</f>
        <v>#N/A</v>
      </c>
      <c r="P79" s="115" t="e">
        <f>VLOOKUP($A79,'S45'!$C:$BQ,30,0)</f>
        <v>#N/A</v>
      </c>
      <c r="Q79" s="115" t="e">
        <f>VLOOKUP($A79,'S45'!$C:$BQ,52,0)</f>
        <v>#N/A</v>
      </c>
      <c r="R79" s="115" t="e">
        <f>VLOOKUP($A79,'S45'!$C:$BQ,59,0)</f>
        <v>#N/A</v>
      </c>
      <c r="S79" s="115" t="e">
        <f>VLOOKUP($A79,'S45'!$C:$BQ,60,0)</f>
        <v>#N/A</v>
      </c>
      <c r="T79" s="107" t="e">
        <f>VLOOKUP($A79,'S46'!$C:$BQ,32,0)</f>
        <v>#N/A</v>
      </c>
      <c r="U79" s="107" t="e">
        <f>VLOOKUP($A79,'S46'!$C:$BQ,39,0)</f>
        <v>#N/A</v>
      </c>
      <c r="V79" s="107" t="e">
        <f>VLOOKUP($A79,'S46'!$C:$BQ,40,0)</f>
        <v>#N/A</v>
      </c>
      <c r="W79" s="107" t="e">
        <f>VLOOKUP($A79,'S46'!$C:$BQ,22,0)</f>
        <v>#N/A</v>
      </c>
      <c r="X79" s="115" t="e">
        <f>VLOOKUP($A79,'S46'!$C:$BQ,29,0)</f>
        <v>#N/A</v>
      </c>
      <c r="Y79" s="115" t="e">
        <f>VLOOKUP($A79,'S46'!$C:$BQ,30,0)</f>
        <v>#N/A</v>
      </c>
      <c r="Z79" s="115" t="e">
        <f>VLOOKUP($A79,'S46'!$C:$BQ,52,0)</f>
        <v>#N/A</v>
      </c>
      <c r="AA79" s="115" t="e">
        <f>VLOOKUP($A79,'S46'!$C:$BQ,59,0)</f>
        <v>#N/A</v>
      </c>
      <c r="AB79" s="115" t="e">
        <f>VLOOKUP($A79,'S46'!$C:$BQ,60,0)</f>
        <v>#N/A</v>
      </c>
      <c r="AC79" s="107" t="e">
        <f>VLOOKUP($A79,'S47'!$C:$BQ,32,0)</f>
        <v>#N/A</v>
      </c>
      <c r="AD79" s="107" t="e">
        <f>VLOOKUP($A79,'S47'!$C:$BQ,39,0)</f>
        <v>#N/A</v>
      </c>
      <c r="AE79" s="107" t="e">
        <f>VLOOKUP($A79,'S47'!$C:$BQ,40,0)</f>
        <v>#N/A</v>
      </c>
      <c r="AF79" s="107" t="e">
        <f>VLOOKUP($A79,'S47'!$C:$BQ,22,0)</f>
        <v>#N/A</v>
      </c>
      <c r="AG79" s="115" t="e">
        <f>VLOOKUP($A79,'S47'!$C:$BQ,29,0)</f>
        <v>#N/A</v>
      </c>
      <c r="AH79" s="115" t="e">
        <f>VLOOKUP($A79,'S47'!$C:$BQ,30,0)</f>
        <v>#N/A</v>
      </c>
      <c r="AI79" s="115" t="e">
        <f>VLOOKUP($A79,'S47'!$C:$BQ,52,0)</f>
        <v>#N/A</v>
      </c>
      <c r="AJ79" s="115" t="e">
        <f>VLOOKUP($A79,'S47'!$C:$BQ,59,0)</f>
        <v>#N/A</v>
      </c>
      <c r="AK79" s="115" t="e">
        <f>VLOOKUP($A79,'S47'!$C:$BQ,60,0)</f>
        <v>#N/A</v>
      </c>
      <c r="AL79" s="107" t="e">
        <f>VLOOKUP($A79,'S48'!$C:$BQ,32,0)</f>
        <v>#N/A</v>
      </c>
      <c r="AM79" s="107" t="e">
        <f>VLOOKUP($A79,'S48'!$C:$BQ,39,0)</f>
        <v>#N/A</v>
      </c>
      <c r="AN79" s="107" t="e">
        <f>VLOOKUP($A79,'S48'!$C:$BQ,40,0)</f>
        <v>#N/A</v>
      </c>
      <c r="AO79" s="107" t="e">
        <f>VLOOKUP($A79,'S48'!$C:$BQ,22,0)</f>
        <v>#N/A</v>
      </c>
      <c r="AP79" s="115" t="e">
        <f>VLOOKUP($A79,'S48'!$C:$BQ,29,0)</f>
        <v>#N/A</v>
      </c>
      <c r="AQ79" s="115" t="e">
        <f>VLOOKUP($A79,'S48'!$C:$BQ,30,0)</f>
        <v>#N/A</v>
      </c>
      <c r="AR79" s="115" t="e">
        <f>VLOOKUP($A79,'S48'!$C:$BQ,52,0)</f>
        <v>#N/A</v>
      </c>
      <c r="AS79" s="115" t="e">
        <f>VLOOKUP($A79,'S48'!$C:$BQ,59,0)</f>
        <v>#N/A</v>
      </c>
      <c r="AT79" s="115" t="e">
        <f>VLOOKUP($A79,'S48'!$C:$BQ,60,0)</f>
        <v>#N/A</v>
      </c>
      <c r="AU79" s="107" t="e">
        <f>VLOOKUP($A79,'S49'!$C:$BQ,32,0)</f>
        <v>#N/A</v>
      </c>
      <c r="AV79" s="107" t="e">
        <f>VLOOKUP($A79,'S49'!$C:$BQ,39,0)</f>
        <v>#N/A</v>
      </c>
      <c r="AW79" s="107" t="e">
        <f>VLOOKUP($A79,'S49'!$C:$BQ,40,0)</f>
        <v>#N/A</v>
      </c>
      <c r="AX79" s="107" t="e">
        <f>VLOOKUP($A79,'S49'!$C:$BQ,22,0)</f>
        <v>#N/A</v>
      </c>
      <c r="AY79" s="115" t="e">
        <f>VLOOKUP($A79,'S49'!$C:$BQ,29,0)</f>
        <v>#N/A</v>
      </c>
      <c r="AZ79" s="115" t="e">
        <f>VLOOKUP($A79,'S49'!$C:$BQ,30,0)</f>
        <v>#N/A</v>
      </c>
      <c r="BA79" s="115" t="e">
        <f>VLOOKUP($A79,'S49'!$C:$BQ,52,0)</f>
        <v>#N/A</v>
      </c>
      <c r="BB79" s="115" t="e">
        <f>VLOOKUP($A79,'S49'!$C:$BQ,59,0)</f>
        <v>#N/A</v>
      </c>
      <c r="BC79" s="115" t="e">
        <f>VLOOKUP($A79,'S49'!$C:$BQ,60,0)</f>
        <v>#N/A</v>
      </c>
      <c r="BD79" s="107" t="e">
        <f>VLOOKUP($A79,'S50'!$C:$BQ,32,0)</f>
        <v>#N/A</v>
      </c>
      <c r="BE79" s="107" t="e">
        <f>VLOOKUP($A79,'S50'!$C:$BQ,39,0)</f>
        <v>#N/A</v>
      </c>
      <c r="BF79" s="107" t="e">
        <f>VLOOKUP($A79,'S50'!$C:$BQ,40,0)</f>
        <v>#N/A</v>
      </c>
      <c r="BG79" s="107" t="e">
        <f>VLOOKUP($A79,'S50'!$C:$BQ,22,0)</f>
        <v>#N/A</v>
      </c>
      <c r="BH79" s="115" t="e">
        <f>VLOOKUP($A79,'S50'!$C:$BQ,29,0)</f>
        <v>#N/A</v>
      </c>
      <c r="BI79" s="115" t="e">
        <f>VLOOKUP($A79,'S50'!$C:$BQ,30,0)</f>
        <v>#N/A</v>
      </c>
      <c r="BJ79" s="115" t="e">
        <f>VLOOKUP($A79,'S50'!$C:$BQ,52,0)</f>
        <v>#N/A</v>
      </c>
      <c r="BK79" s="115" t="e">
        <f>VLOOKUP($A79,'S50'!$C:$BQ,59,0)</f>
        <v>#N/A</v>
      </c>
      <c r="BL79" s="115" t="e">
        <f>VLOOKUP($A79,'S50'!$C:$BQ,60,0)</f>
        <v>#N/A</v>
      </c>
    </row>
    <row r="80" spans="1:64" x14ac:dyDescent="0.2">
      <c r="A80" s="106" t="s">
        <v>137</v>
      </c>
      <c r="B80" s="107">
        <f>VLOOKUP($A80,'S0 remplacer avec S44'!$C:$BQ,32,0)</f>
        <v>145.1</v>
      </c>
      <c r="C80" s="107">
        <f>VLOOKUP($A80,'S0 remplacer avec S44'!$C:$BQ,39,0)</f>
        <v>35</v>
      </c>
      <c r="D80" s="107">
        <f>VLOOKUP($A80,'S0 remplacer avec S44'!$C:$BQ,40,0)</f>
        <v>71</v>
      </c>
      <c r="E80" s="107">
        <f>VLOOKUP($A80,'S0 remplacer avec S44'!$C:$BQ,22,0)</f>
        <v>604.84105</v>
      </c>
      <c r="F80" s="115">
        <f>VLOOKUP($A80,'S0 remplacer avec S44'!$C:$BQ,29,0)</f>
        <v>1033</v>
      </c>
      <c r="G80" s="115">
        <f>VLOOKUP($A80,'S0 remplacer avec S44'!$C:$BQ,30,0)</f>
        <v>1360</v>
      </c>
      <c r="H80" s="115">
        <f>VLOOKUP($A80,'S0 remplacer avec S44'!$C:$BQ,52,0)</f>
        <v>118.4</v>
      </c>
      <c r="I80" s="115">
        <f>VLOOKUP($A80,'S0 remplacer avec S44'!$C:$BQ,59,0)</f>
        <v>0</v>
      </c>
      <c r="J80" s="115">
        <f>VLOOKUP($A80,'S0 remplacer avec S44'!$C:$BQ,60,0)</f>
        <v>0</v>
      </c>
      <c r="K80" s="107" t="e">
        <f>VLOOKUP($A80,'S45'!$C:$BQ,32,0)</f>
        <v>#N/A</v>
      </c>
      <c r="L80" s="107" t="e">
        <f>VLOOKUP($A80,'S45'!$C:$BQ,39,0)</f>
        <v>#N/A</v>
      </c>
      <c r="M80" s="107" t="e">
        <f>VLOOKUP($A80,'S45'!$C:$BQ,40,0)</f>
        <v>#N/A</v>
      </c>
      <c r="N80" s="107" t="e">
        <f>VLOOKUP($A80,'S45'!$C:$BQ,22,0)</f>
        <v>#N/A</v>
      </c>
      <c r="O80" s="115" t="e">
        <f>VLOOKUP($A80,'S45'!$C:$BQ,29,0)</f>
        <v>#N/A</v>
      </c>
      <c r="P80" s="115" t="e">
        <f>VLOOKUP($A80,'S45'!$C:$BQ,30,0)</f>
        <v>#N/A</v>
      </c>
      <c r="Q80" s="115" t="e">
        <f>VLOOKUP($A80,'S45'!$C:$BQ,52,0)</f>
        <v>#N/A</v>
      </c>
      <c r="R80" s="115" t="e">
        <f>VLOOKUP($A80,'S45'!$C:$BQ,59,0)</f>
        <v>#N/A</v>
      </c>
      <c r="S80" s="115" t="e">
        <f>VLOOKUP($A80,'S45'!$C:$BQ,60,0)</f>
        <v>#N/A</v>
      </c>
      <c r="T80" s="107" t="e">
        <f>VLOOKUP($A80,'S46'!$C:$BQ,32,0)</f>
        <v>#N/A</v>
      </c>
      <c r="U80" s="107" t="e">
        <f>VLOOKUP($A80,'S46'!$C:$BQ,39,0)</f>
        <v>#N/A</v>
      </c>
      <c r="V80" s="107" t="e">
        <f>VLOOKUP($A80,'S46'!$C:$BQ,40,0)</f>
        <v>#N/A</v>
      </c>
      <c r="W80" s="107" t="e">
        <f>VLOOKUP($A80,'S46'!$C:$BQ,22,0)</f>
        <v>#N/A</v>
      </c>
      <c r="X80" s="115" t="e">
        <f>VLOOKUP($A80,'S46'!$C:$BQ,29,0)</f>
        <v>#N/A</v>
      </c>
      <c r="Y80" s="115" t="e">
        <f>VLOOKUP($A80,'S46'!$C:$BQ,30,0)</f>
        <v>#N/A</v>
      </c>
      <c r="Z80" s="115" t="e">
        <f>VLOOKUP($A80,'S46'!$C:$BQ,52,0)</f>
        <v>#N/A</v>
      </c>
      <c r="AA80" s="115" t="e">
        <f>VLOOKUP($A80,'S46'!$C:$BQ,59,0)</f>
        <v>#N/A</v>
      </c>
      <c r="AB80" s="115" t="e">
        <f>VLOOKUP($A80,'S46'!$C:$BQ,60,0)</f>
        <v>#N/A</v>
      </c>
      <c r="AC80" s="107" t="e">
        <f>VLOOKUP($A80,'S47'!$C:$BQ,32,0)</f>
        <v>#N/A</v>
      </c>
      <c r="AD80" s="107" t="e">
        <f>VLOOKUP($A80,'S47'!$C:$BQ,39,0)</f>
        <v>#N/A</v>
      </c>
      <c r="AE80" s="107" t="e">
        <f>VLOOKUP($A80,'S47'!$C:$BQ,40,0)</f>
        <v>#N/A</v>
      </c>
      <c r="AF80" s="107" t="e">
        <f>VLOOKUP($A80,'S47'!$C:$BQ,22,0)</f>
        <v>#N/A</v>
      </c>
      <c r="AG80" s="115" t="e">
        <f>VLOOKUP($A80,'S47'!$C:$BQ,29,0)</f>
        <v>#N/A</v>
      </c>
      <c r="AH80" s="115" t="e">
        <f>VLOOKUP($A80,'S47'!$C:$BQ,30,0)</f>
        <v>#N/A</v>
      </c>
      <c r="AI80" s="115" t="e">
        <f>VLOOKUP($A80,'S47'!$C:$BQ,52,0)</f>
        <v>#N/A</v>
      </c>
      <c r="AJ80" s="115" t="e">
        <f>VLOOKUP($A80,'S47'!$C:$BQ,59,0)</f>
        <v>#N/A</v>
      </c>
      <c r="AK80" s="115" t="e">
        <f>VLOOKUP($A80,'S47'!$C:$BQ,60,0)</f>
        <v>#N/A</v>
      </c>
      <c r="AL80" s="107" t="e">
        <f>VLOOKUP($A80,'S48'!$C:$BQ,32,0)</f>
        <v>#N/A</v>
      </c>
      <c r="AM80" s="107" t="e">
        <f>VLOOKUP($A80,'S48'!$C:$BQ,39,0)</f>
        <v>#N/A</v>
      </c>
      <c r="AN80" s="107" t="e">
        <f>VLOOKUP($A80,'S48'!$C:$BQ,40,0)</f>
        <v>#N/A</v>
      </c>
      <c r="AO80" s="107" t="e">
        <f>VLOOKUP($A80,'S48'!$C:$BQ,22,0)</f>
        <v>#N/A</v>
      </c>
      <c r="AP80" s="115" t="e">
        <f>VLOOKUP($A80,'S48'!$C:$BQ,29,0)</f>
        <v>#N/A</v>
      </c>
      <c r="AQ80" s="115" t="e">
        <f>VLOOKUP($A80,'S48'!$C:$BQ,30,0)</f>
        <v>#N/A</v>
      </c>
      <c r="AR80" s="115" t="e">
        <f>VLOOKUP($A80,'S48'!$C:$BQ,52,0)</f>
        <v>#N/A</v>
      </c>
      <c r="AS80" s="115" t="e">
        <f>VLOOKUP($A80,'S48'!$C:$BQ,59,0)</f>
        <v>#N/A</v>
      </c>
      <c r="AT80" s="115" t="e">
        <f>VLOOKUP($A80,'S48'!$C:$BQ,60,0)</f>
        <v>#N/A</v>
      </c>
      <c r="AU80" s="107" t="e">
        <f>VLOOKUP($A80,'S49'!$C:$BQ,32,0)</f>
        <v>#N/A</v>
      </c>
      <c r="AV80" s="107" t="e">
        <f>VLOOKUP($A80,'S49'!$C:$BQ,39,0)</f>
        <v>#N/A</v>
      </c>
      <c r="AW80" s="107" t="e">
        <f>VLOOKUP($A80,'S49'!$C:$BQ,40,0)</f>
        <v>#N/A</v>
      </c>
      <c r="AX80" s="107" t="e">
        <f>VLOOKUP($A80,'S49'!$C:$BQ,22,0)</f>
        <v>#N/A</v>
      </c>
      <c r="AY80" s="115" t="e">
        <f>VLOOKUP($A80,'S49'!$C:$BQ,29,0)</f>
        <v>#N/A</v>
      </c>
      <c r="AZ80" s="115" t="e">
        <f>VLOOKUP($A80,'S49'!$C:$BQ,30,0)</f>
        <v>#N/A</v>
      </c>
      <c r="BA80" s="115" t="e">
        <f>VLOOKUP($A80,'S49'!$C:$BQ,52,0)</f>
        <v>#N/A</v>
      </c>
      <c r="BB80" s="115" t="e">
        <f>VLOOKUP($A80,'S49'!$C:$BQ,59,0)</f>
        <v>#N/A</v>
      </c>
      <c r="BC80" s="115" t="e">
        <f>VLOOKUP($A80,'S49'!$C:$BQ,60,0)</f>
        <v>#N/A</v>
      </c>
      <c r="BD80" s="107" t="e">
        <f>VLOOKUP($A80,'S50'!$C:$BQ,32,0)</f>
        <v>#N/A</v>
      </c>
      <c r="BE80" s="107" t="e">
        <f>VLOOKUP($A80,'S50'!$C:$BQ,39,0)</f>
        <v>#N/A</v>
      </c>
      <c r="BF80" s="107" t="e">
        <f>VLOOKUP($A80,'S50'!$C:$BQ,40,0)</f>
        <v>#N/A</v>
      </c>
      <c r="BG80" s="107" t="e">
        <f>VLOOKUP($A80,'S50'!$C:$BQ,22,0)</f>
        <v>#N/A</v>
      </c>
      <c r="BH80" s="115" t="e">
        <f>VLOOKUP($A80,'S50'!$C:$BQ,29,0)</f>
        <v>#N/A</v>
      </c>
      <c r="BI80" s="115" t="e">
        <f>VLOOKUP($A80,'S50'!$C:$BQ,30,0)</f>
        <v>#N/A</v>
      </c>
      <c r="BJ80" s="115" t="e">
        <f>VLOOKUP($A80,'S50'!$C:$BQ,52,0)</f>
        <v>#N/A</v>
      </c>
      <c r="BK80" s="115" t="e">
        <f>VLOOKUP($A80,'S50'!$C:$BQ,59,0)</f>
        <v>#N/A</v>
      </c>
      <c r="BL80" s="115" t="e">
        <f>VLOOKUP($A80,'S50'!$C:$BQ,60,0)</f>
        <v>#N/A</v>
      </c>
    </row>
    <row r="81" spans="1:64" x14ac:dyDescent="0.2">
      <c r="A81" s="106" t="s">
        <v>138</v>
      </c>
      <c r="B81" s="107">
        <f>VLOOKUP($A81,'S0 remplacer avec S44'!$C:$BQ,32,0)</f>
        <v>63.05</v>
      </c>
      <c r="C81" s="107">
        <f>VLOOKUP($A81,'S0 remplacer avec S44'!$C:$BQ,39,0)</f>
        <v>143</v>
      </c>
      <c r="D81" s="107">
        <f>VLOOKUP($A81,'S0 remplacer avec S44'!$C:$BQ,40,0)</f>
        <v>184</v>
      </c>
      <c r="E81" s="107">
        <f>VLOOKUP($A81,'S0 remplacer avec S44'!$C:$BQ,22,0)</f>
        <v>1271.31799</v>
      </c>
      <c r="F81" s="115">
        <f>VLOOKUP($A81,'S0 remplacer avec S44'!$C:$BQ,29,0)</f>
        <v>596</v>
      </c>
      <c r="G81" s="115">
        <f>VLOOKUP($A81,'S0 remplacer avec S44'!$C:$BQ,30,0)</f>
        <v>970</v>
      </c>
      <c r="H81" s="115">
        <f>VLOOKUP($A81,'S0 remplacer avec S44'!$C:$BQ,52,0)</f>
        <v>81.2</v>
      </c>
      <c r="I81" s="115">
        <f>VLOOKUP($A81,'S0 remplacer avec S44'!$C:$BQ,59,0)</f>
        <v>24</v>
      </c>
      <c r="J81" s="115">
        <f>VLOOKUP($A81,'S0 remplacer avec S44'!$C:$BQ,60,0)</f>
        <v>44</v>
      </c>
      <c r="K81" s="107" t="e">
        <f>VLOOKUP($A81,'S45'!$C:$BQ,32,0)</f>
        <v>#N/A</v>
      </c>
      <c r="L81" s="107" t="e">
        <f>VLOOKUP($A81,'S45'!$C:$BQ,39,0)</f>
        <v>#N/A</v>
      </c>
      <c r="M81" s="107" t="e">
        <f>VLOOKUP($A81,'S45'!$C:$BQ,40,0)</f>
        <v>#N/A</v>
      </c>
      <c r="N81" s="107" t="e">
        <f>VLOOKUP($A81,'S45'!$C:$BQ,22,0)</f>
        <v>#N/A</v>
      </c>
      <c r="O81" s="115" t="e">
        <f>VLOOKUP($A81,'S45'!$C:$BQ,29,0)</f>
        <v>#N/A</v>
      </c>
      <c r="P81" s="115" t="e">
        <f>VLOOKUP($A81,'S45'!$C:$BQ,30,0)</f>
        <v>#N/A</v>
      </c>
      <c r="Q81" s="115" t="e">
        <f>VLOOKUP($A81,'S45'!$C:$BQ,52,0)</f>
        <v>#N/A</v>
      </c>
      <c r="R81" s="115" t="e">
        <f>VLOOKUP($A81,'S45'!$C:$BQ,59,0)</f>
        <v>#N/A</v>
      </c>
      <c r="S81" s="115" t="e">
        <f>VLOOKUP($A81,'S45'!$C:$BQ,60,0)</f>
        <v>#N/A</v>
      </c>
      <c r="T81" s="107" t="e">
        <f>VLOOKUP($A81,'S46'!$C:$BQ,32,0)</f>
        <v>#N/A</v>
      </c>
      <c r="U81" s="107" t="e">
        <f>VLOOKUP($A81,'S46'!$C:$BQ,39,0)</f>
        <v>#N/A</v>
      </c>
      <c r="V81" s="107" t="e">
        <f>VLOOKUP($A81,'S46'!$C:$BQ,40,0)</f>
        <v>#N/A</v>
      </c>
      <c r="W81" s="107" t="e">
        <f>VLOOKUP($A81,'S46'!$C:$BQ,22,0)</f>
        <v>#N/A</v>
      </c>
      <c r="X81" s="115" t="e">
        <f>VLOOKUP($A81,'S46'!$C:$BQ,29,0)</f>
        <v>#N/A</v>
      </c>
      <c r="Y81" s="115" t="e">
        <f>VLOOKUP($A81,'S46'!$C:$BQ,30,0)</f>
        <v>#N/A</v>
      </c>
      <c r="Z81" s="115" t="e">
        <f>VLOOKUP($A81,'S46'!$C:$BQ,52,0)</f>
        <v>#N/A</v>
      </c>
      <c r="AA81" s="115" t="e">
        <f>VLOOKUP($A81,'S46'!$C:$BQ,59,0)</f>
        <v>#N/A</v>
      </c>
      <c r="AB81" s="115" t="e">
        <f>VLOOKUP($A81,'S46'!$C:$BQ,60,0)</f>
        <v>#N/A</v>
      </c>
      <c r="AC81" s="107" t="e">
        <f>VLOOKUP($A81,'S47'!$C:$BQ,32,0)</f>
        <v>#N/A</v>
      </c>
      <c r="AD81" s="107" t="e">
        <f>VLOOKUP($A81,'S47'!$C:$BQ,39,0)</f>
        <v>#N/A</v>
      </c>
      <c r="AE81" s="107" t="e">
        <f>VLOOKUP($A81,'S47'!$C:$BQ,40,0)</f>
        <v>#N/A</v>
      </c>
      <c r="AF81" s="107" t="e">
        <f>VLOOKUP($A81,'S47'!$C:$BQ,22,0)</f>
        <v>#N/A</v>
      </c>
      <c r="AG81" s="115" t="e">
        <f>VLOOKUP($A81,'S47'!$C:$BQ,29,0)</f>
        <v>#N/A</v>
      </c>
      <c r="AH81" s="115" t="e">
        <f>VLOOKUP($A81,'S47'!$C:$BQ,30,0)</f>
        <v>#N/A</v>
      </c>
      <c r="AI81" s="115" t="e">
        <f>VLOOKUP($A81,'S47'!$C:$BQ,52,0)</f>
        <v>#N/A</v>
      </c>
      <c r="AJ81" s="115" t="e">
        <f>VLOOKUP($A81,'S47'!$C:$BQ,59,0)</f>
        <v>#N/A</v>
      </c>
      <c r="AK81" s="115" t="e">
        <f>VLOOKUP($A81,'S47'!$C:$BQ,60,0)</f>
        <v>#N/A</v>
      </c>
      <c r="AL81" s="107" t="e">
        <f>VLOOKUP($A81,'S48'!$C:$BQ,32,0)</f>
        <v>#N/A</v>
      </c>
      <c r="AM81" s="107" t="e">
        <f>VLOOKUP($A81,'S48'!$C:$BQ,39,0)</f>
        <v>#N/A</v>
      </c>
      <c r="AN81" s="107" t="e">
        <f>VLOOKUP($A81,'S48'!$C:$BQ,40,0)</f>
        <v>#N/A</v>
      </c>
      <c r="AO81" s="107" t="e">
        <f>VLOOKUP($A81,'S48'!$C:$BQ,22,0)</f>
        <v>#N/A</v>
      </c>
      <c r="AP81" s="115" t="e">
        <f>VLOOKUP($A81,'S48'!$C:$BQ,29,0)</f>
        <v>#N/A</v>
      </c>
      <c r="AQ81" s="115" t="e">
        <f>VLOOKUP($A81,'S48'!$C:$BQ,30,0)</f>
        <v>#N/A</v>
      </c>
      <c r="AR81" s="115" t="e">
        <f>VLOOKUP($A81,'S48'!$C:$BQ,52,0)</f>
        <v>#N/A</v>
      </c>
      <c r="AS81" s="115" t="e">
        <f>VLOOKUP($A81,'S48'!$C:$BQ,59,0)</f>
        <v>#N/A</v>
      </c>
      <c r="AT81" s="115" t="e">
        <f>VLOOKUP($A81,'S48'!$C:$BQ,60,0)</f>
        <v>#N/A</v>
      </c>
      <c r="AU81" s="107" t="e">
        <f>VLOOKUP($A81,'S49'!$C:$BQ,32,0)</f>
        <v>#N/A</v>
      </c>
      <c r="AV81" s="107" t="e">
        <f>VLOOKUP($A81,'S49'!$C:$BQ,39,0)</f>
        <v>#N/A</v>
      </c>
      <c r="AW81" s="107" t="e">
        <f>VLOOKUP($A81,'S49'!$C:$BQ,40,0)</f>
        <v>#N/A</v>
      </c>
      <c r="AX81" s="107" t="e">
        <f>VLOOKUP($A81,'S49'!$C:$BQ,22,0)</f>
        <v>#N/A</v>
      </c>
      <c r="AY81" s="115" t="e">
        <f>VLOOKUP($A81,'S49'!$C:$BQ,29,0)</f>
        <v>#N/A</v>
      </c>
      <c r="AZ81" s="115" t="e">
        <f>VLOOKUP($A81,'S49'!$C:$BQ,30,0)</f>
        <v>#N/A</v>
      </c>
      <c r="BA81" s="115" t="e">
        <f>VLOOKUP($A81,'S49'!$C:$BQ,52,0)</f>
        <v>#N/A</v>
      </c>
      <c r="BB81" s="115" t="e">
        <f>VLOOKUP($A81,'S49'!$C:$BQ,59,0)</f>
        <v>#N/A</v>
      </c>
      <c r="BC81" s="115" t="e">
        <f>VLOOKUP($A81,'S49'!$C:$BQ,60,0)</f>
        <v>#N/A</v>
      </c>
      <c r="BD81" s="107" t="e">
        <f>VLOOKUP($A81,'S50'!$C:$BQ,32,0)</f>
        <v>#N/A</v>
      </c>
      <c r="BE81" s="107" t="e">
        <f>VLOOKUP($A81,'S50'!$C:$BQ,39,0)</f>
        <v>#N/A</v>
      </c>
      <c r="BF81" s="107" t="e">
        <f>VLOOKUP($A81,'S50'!$C:$BQ,40,0)</f>
        <v>#N/A</v>
      </c>
      <c r="BG81" s="107" t="e">
        <f>VLOOKUP($A81,'S50'!$C:$BQ,22,0)</f>
        <v>#N/A</v>
      </c>
      <c r="BH81" s="115" t="e">
        <f>VLOOKUP($A81,'S50'!$C:$BQ,29,0)</f>
        <v>#N/A</v>
      </c>
      <c r="BI81" s="115" t="e">
        <f>VLOOKUP($A81,'S50'!$C:$BQ,30,0)</f>
        <v>#N/A</v>
      </c>
      <c r="BJ81" s="115" t="e">
        <f>VLOOKUP($A81,'S50'!$C:$BQ,52,0)</f>
        <v>#N/A</v>
      </c>
      <c r="BK81" s="115" t="e">
        <f>VLOOKUP($A81,'S50'!$C:$BQ,59,0)</f>
        <v>#N/A</v>
      </c>
      <c r="BL81" s="115" t="e">
        <f>VLOOKUP($A81,'S50'!$C:$BQ,60,0)</f>
        <v>#N/A</v>
      </c>
    </row>
    <row r="82" spans="1:64" x14ac:dyDescent="0.2">
      <c r="A82" s="106" t="s">
        <v>141</v>
      </c>
      <c r="B82" s="107">
        <f>VLOOKUP($A82,'S0 remplacer avec S44'!$C:$BQ,32,0)</f>
        <v>161.4</v>
      </c>
      <c r="C82" s="107">
        <f>VLOOKUP($A82,'S0 remplacer avec S44'!$C:$BQ,39,0)</f>
        <v>73</v>
      </c>
      <c r="D82" s="107">
        <f>VLOOKUP($A82,'S0 remplacer avec S44'!$C:$BQ,40,0)</f>
        <v>120</v>
      </c>
      <c r="E82" s="107">
        <f>VLOOKUP($A82,'S0 remplacer avec S44'!$C:$BQ,22,0)</f>
        <v>2262.3280650000002</v>
      </c>
      <c r="F82" s="115">
        <f>VLOOKUP($A82,'S0 remplacer avec S44'!$C:$BQ,29,0)</f>
        <v>0</v>
      </c>
      <c r="G82" s="115">
        <f>VLOOKUP($A82,'S0 remplacer avec S44'!$C:$BQ,30,0)</f>
        <v>295</v>
      </c>
      <c r="H82" s="115">
        <f>VLOOKUP($A82,'S0 remplacer avec S44'!$C:$BQ,52,0)</f>
        <v>110.4</v>
      </c>
      <c r="I82" s="115">
        <f>VLOOKUP($A82,'S0 remplacer avec S44'!$C:$BQ,59,0)</f>
        <v>9</v>
      </c>
      <c r="J82" s="115">
        <f>VLOOKUP($A82,'S0 remplacer avec S44'!$C:$BQ,60,0)</f>
        <v>33</v>
      </c>
      <c r="K82" s="107" t="e">
        <f>VLOOKUP($A82,'S45'!$C:$BQ,32,0)</f>
        <v>#N/A</v>
      </c>
      <c r="L82" s="107" t="e">
        <f>VLOOKUP($A82,'S45'!$C:$BQ,39,0)</f>
        <v>#N/A</v>
      </c>
      <c r="M82" s="107" t="e">
        <f>VLOOKUP($A82,'S45'!$C:$BQ,40,0)</f>
        <v>#N/A</v>
      </c>
      <c r="N82" s="107" t="e">
        <f>VLOOKUP($A82,'S45'!$C:$BQ,22,0)</f>
        <v>#N/A</v>
      </c>
      <c r="O82" s="115" t="e">
        <f>VLOOKUP($A82,'S45'!$C:$BQ,29,0)</f>
        <v>#N/A</v>
      </c>
      <c r="P82" s="115" t="e">
        <f>VLOOKUP($A82,'S45'!$C:$BQ,30,0)</f>
        <v>#N/A</v>
      </c>
      <c r="Q82" s="115" t="e">
        <f>VLOOKUP($A82,'S45'!$C:$BQ,52,0)</f>
        <v>#N/A</v>
      </c>
      <c r="R82" s="115" t="e">
        <f>VLOOKUP($A82,'S45'!$C:$BQ,59,0)</f>
        <v>#N/A</v>
      </c>
      <c r="S82" s="115" t="e">
        <f>VLOOKUP($A82,'S45'!$C:$BQ,60,0)</f>
        <v>#N/A</v>
      </c>
      <c r="T82" s="107" t="e">
        <f>VLOOKUP($A82,'S46'!$C:$BQ,32,0)</f>
        <v>#N/A</v>
      </c>
      <c r="U82" s="107" t="e">
        <f>VLOOKUP($A82,'S46'!$C:$BQ,39,0)</f>
        <v>#N/A</v>
      </c>
      <c r="V82" s="107" t="e">
        <f>VLOOKUP($A82,'S46'!$C:$BQ,40,0)</f>
        <v>#N/A</v>
      </c>
      <c r="W82" s="107" t="e">
        <f>VLOOKUP($A82,'S46'!$C:$BQ,22,0)</f>
        <v>#N/A</v>
      </c>
      <c r="X82" s="115" t="e">
        <f>VLOOKUP($A82,'S46'!$C:$BQ,29,0)</f>
        <v>#N/A</v>
      </c>
      <c r="Y82" s="115" t="e">
        <f>VLOOKUP($A82,'S46'!$C:$BQ,30,0)</f>
        <v>#N/A</v>
      </c>
      <c r="Z82" s="115" t="e">
        <f>VLOOKUP($A82,'S46'!$C:$BQ,52,0)</f>
        <v>#N/A</v>
      </c>
      <c r="AA82" s="115" t="e">
        <f>VLOOKUP($A82,'S46'!$C:$BQ,59,0)</f>
        <v>#N/A</v>
      </c>
      <c r="AB82" s="115" t="e">
        <f>VLOOKUP($A82,'S46'!$C:$BQ,60,0)</f>
        <v>#N/A</v>
      </c>
      <c r="AC82" s="107" t="e">
        <f>VLOOKUP($A82,'S47'!$C:$BQ,32,0)</f>
        <v>#N/A</v>
      </c>
      <c r="AD82" s="107" t="e">
        <f>VLOOKUP($A82,'S47'!$C:$BQ,39,0)</f>
        <v>#N/A</v>
      </c>
      <c r="AE82" s="107" t="e">
        <f>VLOOKUP($A82,'S47'!$C:$BQ,40,0)</f>
        <v>#N/A</v>
      </c>
      <c r="AF82" s="107" t="e">
        <f>VLOOKUP($A82,'S47'!$C:$BQ,22,0)</f>
        <v>#N/A</v>
      </c>
      <c r="AG82" s="115" t="e">
        <f>VLOOKUP($A82,'S47'!$C:$BQ,29,0)</f>
        <v>#N/A</v>
      </c>
      <c r="AH82" s="115" t="e">
        <f>VLOOKUP($A82,'S47'!$C:$BQ,30,0)</f>
        <v>#N/A</v>
      </c>
      <c r="AI82" s="115" t="e">
        <f>VLOOKUP($A82,'S47'!$C:$BQ,52,0)</f>
        <v>#N/A</v>
      </c>
      <c r="AJ82" s="115" t="e">
        <f>VLOOKUP($A82,'S47'!$C:$BQ,59,0)</f>
        <v>#N/A</v>
      </c>
      <c r="AK82" s="115" t="e">
        <f>VLOOKUP($A82,'S47'!$C:$BQ,60,0)</f>
        <v>#N/A</v>
      </c>
      <c r="AL82" s="107" t="e">
        <f>VLOOKUP($A82,'S48'!$C:$BQ,32,0)</f>
        <v>#N/A</v>
      </c>
      <c r="AM82" s="107" t="e">
        <f>VLOOKUP($A82,'S48'!$C:$BQ,39,0)</f>
        <v>#N/A</v>
      </c>
      <c r="AN82" s="107" t="e">
        <f>VLOOKUP($A82,'S48'!$C:$BQ,40,0)</f>
        <v>#N/A</v>
      </c>
      <c r="AO82" s="107" t="e">
        <f>VLOOKUP($A82,'S48'!$C:$BQ,22,0)</f>
        <v>#N/A</v>
      </c>
      <c r="AP82" s="115" t="e">
        <f>VLOOKUP($A82,'S48'!$C:$BQ,29,0)</f>
        <v>#N/A</v>
      </c>
      <c r="AQ82" s="115" t="e">
        <f>VLOOKUP($A82,'S48'!$C:$BQ,30,0)</f>
        <v>#N/A</v>
      </c>
      <c r="AR82" s="115" t="e">
        <f>VLOOKUP($A82,'S48'!$C:$BQ,52,0)</f>
        <v>#N/A</v>
      </c>
      <c r="AS82" s="115" t="e">
        <f>VLOOKUP($A82,'S48'!$C:$BQ,59,0)</f>
        <v>#N/A</v>
      </c>
      <c r="AT82" s="115" t="e">
        <f>VLOOKUP($A82,'S48'!$C:$BQ,60,0)</f>
        <v>#N/A</v>
      </c>
      <c r="AU82" s="107" t="e">
        <f>VLOOKUP($A82,'S49'!$C:$BQ,32,0)</f>
        <v>#N/A</v>
      </c>
      <c r="AV82" s="107" t="e">
        <f>VLOOKUP($A82,'S49'!$C:$BQ,39,0)</f>
        <v>#N/A</v>
      </c>
      <c r="AW82" s="107" t="e">
        <f>VLOOKUP($A82,'S49'!$C:$BQ,40,0)</f>
        <v>#N/A</v>
      </c>
      <c r="AX82" s="107" t="e">
        <f>VLOOKUP($A82,'S49'!$C:$BQ,22,0)</f>
        <v>#N/A</v>
      </c>
      <c r="AY82" s="115" t="e">
        <f>VLOOKUP($A82,'S49'!$C:$BQ,29,0)</f>
        <v>#N/A</v>
      </c>
      <c r="AZ82" s="115" t="e">
        <f>VLOOKUP($A82,'S49'!$C:$BQ,30,0)</f>
        <v>#N/A</v>
      </c>
      <c r="BA82" s="115" t="e">
        <f>VLOOKUP($A82,'S49'!$C:$BQ,52,0)</f>
        <v>#N/A</v>
      </c>
      <c r="BB82" s="115" t="e">
        <f>VLOOKUP($A82,'S49'!$C:$BQ,59,0)</f>
        <v>#N/A</v>
      </c>
      <c r="BC82" s="115" t="e">
        <f>VLOOKUP($A82,'S49'!$C:$BQ,60,0)</f>
        <v>#N/A</v>
      </c>
      <c r="BD82" s="107" t="e">
        <f>VLOOKUP($A82,'S50'!$C:$BQ,32,0)</f>
        <v>#N/A</v>
      </c>
      <c r="BE82" s="107" t="e">
        <f>VLOOKUP($A82,'S50'!$C:$BQ,39,0)</f>
        <v>#N/A</v>
      </c>
      <c r="BF82" s="107" t="e">
        <f>VLOOKUP($A82,'S50'!$C:$BQ,40,0)</f>
        <v>#N/A</v>
      </c>
      <c r="BG82" s="107" t="e">
        <f>VLOOKUP($A82,'S50'!$C:$BQ,22,0)</f>
        <v>#N/A</v>
      </c>
      <c r="BH82" s="115" t="e">
        <f>VLOOKUP($A82,'S50'!$C:$BQ,29,0)</f>
        <v>#N/A</v>
      </c>
      <c r="BI82" s="115" t="e">
        <f>VLOOKUP($A82,'S50'!$C:$BQ,30,0)</f>
        <v>#N/A</v>
      </c>
      <c r="BJ82" s="115" t="e">
        <f>VLOOKUP($A82,'S50'!$C:$BQ,52,0)</f>
        <v>#N/A</v>
      </c>
      <c r="BK82" s="115" t="e">
        <f>VLOOKUP($A82,'S50'!$C:$BQ,59,0)</f>
        <v>#N/A</v>
      </c>
      <c r="BL82" s="115" t="e">
        <f>VLOOKUP($A82,'S50'!$C:$BQ,60,0)</f>
        <v>#N/A</v>
      </c>
    </row>
    <row r="83" spans="1:64" x14ac:dyDescent="0.2">
      <c r="A83" s="106" t="s">
        <v>142</v>
      </c>
      <c r="B83" s="107">
        <f>VLOOKUP($A83,'S0 remplacer avec S44'!$C:$BQ,32,0)</f>
        <v>293.39999999999998</v>
      </c>
      <c r="C83" s="107">
        <f>VLOOKUP($A83,'S0 remplacer avec S44'!$C:$BQ,39,0)</f>
        <v>215</v>
      </c>
      <c r="D83" s="107">
        <f>VLOOKUP($A83,'S0 remplacer avec S44'!$C:$BQ,40,0)</f>
        <v>317</v>
      </c>
      <c r="E83" s="107">
        <f>VLOOKUP($A83,'S0 remplacer avec S44'!$C:$BQ,22,0)</f>
        <v>2734.83212</v>
      </c>
      <c r="F83" s="115">
        <f>VLOOKUP($A83,'S0 remplacer avec S44'!$C:$BQ,29,0)</f>
        <v>1885</v>
      </c>
      <c r="G83" s="115">
        <f>VLOOKUP($A83,'S0 remplacer avec S44'!$C:$BQ,30,0)</f>
        <v>2808</v>
      </c>
      <c r="H83" s="115">
        <f>VLOOKUP($A83,'S0 remplacer avec S44'!$C:$BQ,52,0)</f>
        <v>288.39999999999998</v>
      </c>
      <c r="I83" s="115">
        <f>VLOOKUP($A83,'S0 remplacer avec S44'!$C:$BQ,59,0)</f>
        <v>0</v>
      </c>
      <c r="J83" s="115">
        <f>VLOOKUP($A83,'S0 remplacer avec S44'!$C:$BQ,60,0)</f>
        <v>22</v>
      </c>
      <c r="K83" s="107" t="e">
        <f>VLOOKUP($A83,'S45'!$C:$BQ,32,0)</f>
        <v>#N/A</v>
      </c>
      <c r="L83" s="107" t="e">
        <f>VLOOKUP($A83,'S45'!$C:$BQ,39,0)</f>
        <v>#N/A</v>
      </c>
      <c r="M83" s="107" t="e">
        <f>VLOOKUP($A83,'S45'!$C:$BQ,40,0)</f>
        <v>#N/A</v>
      </c>
      <c r="N83" s="107" t="e">
        <f>VLOOKUP($A83,'S45'!$C:$BQ,22,0)</f>
        <v>#N/A</v>
      </c>
      <c r="O83" s="115" t="e">
        <f>VLOOKUP($A83,'S45'!$C:$BQ,29,0)</f>
        <v>#N/A</v>
      </c>
      <c r="P83" s="115" t="e">
        <f>VLOOKUP($A83,'S45'!$C:$BQ,30,0)</f>
        <v>#N/A</v>
      </c>
      <c r="Q83" s="115" t="e">
        <f>VLOOKUP($A83,'S45'!$C:$BQ,52,0)</f>
        <v>#N/A</v>
      </c>
      <c r="R83" s="115" t="e">
        <f>VLOOKUP($A83,'S45'!$C:$BQ,59,0)</f>
        <v>#N/A</v>
      </c>
      <c r="S83" s="115" t="e">
        <f>VLOOKUP($A83,'S45'!$C:$BQ,60,0)</f>
        <v>#N/A</v>
      </c>
      <c r="T83" s="107" t="e">
        <f>VLOOKUP($A83,'S46'!$C:$BQ,32,0)</f>
        <v>#N/A</v>
      </c>
      <c r="U83" s="107" t="e">
        <f>VLOOKUP($A83,'S46'!$C:$BQ,39,0)</f>
        <v>#N/A</v>
      </c>
      <c r="V83" s="107" t="e">
        <f>VLOOKUP($A83,'S46'!$C:$BQ,40,0)</f>
        <v>#N/A</v>
      </c>
      <c r="W83" s="107" t="e">
        <f>VLOOKUP($A83,'S46'!$C:$BQ,22,0)</f>
        <v>#N/A</v>
      </c>
      <c r="X83" s="115" t="e">
        <f>VLOOKUP($A83,'S46'!$C:$BQ,29,0)</f>
        <v>#N/A</v>
      </c>
      <c r="Y83" s="115" t="e">
        <f>VLOOKUP($A83,'S46'!$C:$BQ,30,0)</f>
        <v>#N/A</v>
      </c>
      <c r="Z83" s="115" t="e">
        <f>VLOOKUP($A83,'S46'!$C:$BQ,52,0)</f>
        <v>#N/A</v>
      </c>
      <c r="AA83" s="115" t="e">
        <f>VLOOKUP($A83,'S46'!$C:$BQ,59,0)</f>
        <v>#N/A</v>
      </c>
      <c r="AB83" s="115" t="e">
        <f>VLOOKUP($A83,'S46'!$C:$BQ,60,0)</f>
        <v>#N/A</v>
      </c>
      <c r="AC83" s="107" t="e">
        <f>VLOOKUP($A83,'S47'!$C:$BQ,32,0)</f>
        <v>#N/A</v>
      </c>
      <c r="AD83" s="107" t="e">
        <f>VLOOKUP($A83,'S47'!$C:$BQ,39,0)</f>
        <v>#N/A</v>
      </c>
      <c r="AE83" s="107" t="e">
        <f>VLOOKUP($A83,'S47'!$C:$BQ,40,0)</f>
        <v>#N/A</v>
      </c>
      <c r="AF83" s="107" t="e">
        <f>VLOOKUP($A83,'S47'!$C:$BQ,22,0)</f>
        <v>#N/A</v>
      </c>
      <c r="AG83" s="115" t="e">
        <f>VLOOKUP($A83,'S47'!$C:$BQ,29,0)</f>
        <v>#N/A</v>
      </c>
      <c r="AH83" s="115" t="e">
        <f>VLOOKUP($A83,'S47'!$C:$BQ,30,0)</f>
        <v>#N/A</v>
      </c>
      <c r="AI83" s="115" t="e">
        <f>VLOOKUP($A83,'S47'!$C:$BQ,52,0)</f>
        <v>#N/A</v>
      </c>
      <c r="AJ83" s="115" t="e">
        <f>VLOOKUP($A83,'S47'!$C:$BQ,59,0)</f>
        <v>#N/A</v>
      </c>
      <c r="AK83" s="115" t="e">
        <f>VLOOKUP($A83,'S47'!$C:$BQ,60,0)</f>
        <v>#N/A</v>
      </c>
      <c r="AL83" s="107" t="e">
        <f>VLOOKUP($A83,'S48'!$C:$BQ,32,0)</f>
        <v>#N/A</v>
      </c>
      <c r="AM83" s="107" t="e">
        <f>VLOOKUP($A83,'S48'!$C:$BQ,39,0)</f>
        <v>#N/A</v>
      </c>
      <c r="AN83" s="107" t="e">
        <f>VLOOKUP($A83,'S48'!$C:$BQ,40,0)</f>
        <v>#N/A</v>
      </c>
      <c r="AO83" s="107" t="e">
        <f>VLOOKUP($A83,'S48'!$C:$BQ,22,0)</f>
        <v>#N/A</v>
      </c>
      <c r="AP83" s="115" t="e">
        <f>VLOOKUP($A83,'S48'!$C:$BQ,29,0)</f>
        <v>#N/A</v>
      </c>
      <c r="AQ83" s="115" t="e">
        <f>VLOOKUP($A83,'S48'!$C:$BQ,30,0)</f>
        <v>#N/A</v>
      </c>
      <c r="AR83" s="115" t="e">
        <f>VLOOKUP($A83,'S48'!$C:$BQ,52,0)</f>
        <v>#N/A</v>
      </c>
      <c r="AS83" s="115" t="e">
        <f>VLOOKUP($A83,'S48'!$C:$BQ,59,0)</f>
        <v>#N/A</v>
      </c>
      <c r="AT83" s="115" t="e">
        <f>VLOOKUP($A83,'S48'!$C:$BQ,60,0)</f>
        <v>#N/A</v>
      </c>
      <c r="AU83" s="107" t="e">
        <f>VLOOKUP($A83,'S49'!$C:$BQ,32,0)</f>
        <v>#N/A</v>
      </c>
      <c r="AV83" s="107" t="e">
        <f>VLOOKUP($A83,'S49'!$C:$BQ,39,0)</f>
        <v>#N/A</v>
      </c>
      <c r="AW83" s="107" t="e">
        <f>VLOOKUP($A83,'S49'!$C:$BQ,40,0)</f>
        <v>#N/A</v>
      </c>
      <c r="AX83" s="107" t="e">
        <f>VLOOKUP($A83,'S49'!$C:$BQ,22,0)</f>
        <v>#N/A</v>
      </c>
      <c r="AY83" s="115" t="e">
        <f>VLOOKUP($A83,'S49'!$C:$BQ,29,0)</f>
        <v>#N/A</v>
      </c>
      <c r="AZ83" s="115" t="e">
        <f>VLOOKUP($A83,'S49'!$C:$BQ,30,0)</f>
        <v>#N/A</v>
      </c>
      <c r="BA83" s="115" t="e">
        <f>VLOOKUP($A83,'S49'!$C:$BQ,52,0)</f>
        <v>#N/A</v>
      </c>
      <c r="BB83" s="115" t="e">
        <f>VLOOKUP($A83,'S49'!$C:$BQ,59,0)</f>
        <v>#N/A</v>
      </c>
      <c r="BC83" s="115" t="e">
        <f>VLOOKUP($A83,'S49'!$C:$BQ,60,0)</f>
        <v>#N/A</v>
      </c>
      <c r="BD83" s="107" t="e">
        <f>VLOOKUP($A83,'S50'!$C:$BQ,32,0)</f>
        <v>#N/A</v>
      </c>
      <c r="BE83" s="107" t="e">
        <f>VLOOKUP($A83,'S50'!$C:$BQ,39,0)</f>
        <v>#N/A</v>
      </c>
      <c r="BF83" s="107" t="e">
        <f>VLOOKUP($A83,'S50'!$C:$BQ,40,0)</f>
        <v>#N/A</v>
      </c>
      <c r="BG83" s="107" t="e">
        <f>VLOOKUP($A83,'S50'!$C:$BQ,22,0)</f>
        <v>#N/A</v>
      </c>
      <c r="BH83" s="115" t="e">
        <f>VLOOKUP($A83,'S50'!$C:$BQ,29,0)</f>
        <v>#N/A</v>
      </c>
      <c r="BI83" s="115" t="e">
        <f>VLOOKUP($A83,'S50'!$C:$BQ,30,0)</f>
        <v>#N/A</v>
      </c>
      <c r="BJ83" s="115" t="e">
        <f>VLOOKUP($A83,'S50'!$C:$BQ,52,0)</f>
        <v>#N/A</v>
      </c>
      <c r="BK83" s="115" t="e">
        <f>VLOOKUP($A83,'S50'!$C:$BQ,59,0)</f>
        <v>#N/A</v>
      </c>
      <c r="BL83" s="115" t="e">
        <f>VLOOKUP($A83,'S50'!$C:$BQ,60,0)</f>
        <v>#N/A</v>
      </c>
    </row>
    <row r="84" spans="1:64" x14ac:dyDescent="0.2">
      <c r="A84" s="106" t="s">
        <v>143</v>
      </c>
      <c r="B84" s="107">
        <f>VLOOKUP($A84,'S0 remplacer avec S44'!$C:$BQ,32,0)</f>
        <v>306.8</v>
      </c>
      <c r="C84" s="107">
        <f>VLOOKUP($A84,'S0 remplacer avec S44'!$C:$BQ,39,0)</f>
        <v>109</v>
      </c>
      <c r="D84" s="107">
        <f>VLOOKUP($A84,'S0 remplacer avec S44'!$C:$BQ,40,0)</f>
        <v>192</v>
      </c>
      <c r="E84" s="107">
        <f>VLOOKUP($A84,'S0 remplacer avec S44'!$C:$BQ,22,0)</f>
        <v>3078.0458199999998</v>
      </c>
      <c r="F84" s="115">
        <f>VLOOKUP($A84,'S0 remplacer avec S44'!$C:$BQ,29,0)</f>
        <v>703</v>
      </c>
      <c r="G84" s="115">
        <f>VLOOKUP($A84,'S0 remplacer avec S44'!$C:$BQ,30,0)</f>
        <v>1459</v>
      </c>
      <c r="H84" s="115">
        <f>VLOOKUP($A84,'S0 remplacer avec S44'!$C:$BQ,52,0)</f>
        <v>250.4</v>
      </c>
      <c r="I84" s="115">
        <f>VLOOKUP($A84,'S0 remplacer avec S44'!$C:$BQ,59,0)</f>
        <v>0</v>
      </c>
      <c r="J84" s="115">
        <f>VLOOKUP($A84,'S0 remplacer avec S44'!$C:$BQ,60,0)</f>
        <v>3</v>
      </c>
      <c r="K84" s="107" t="e">
        <f>VLOOKUP($A84,'S45'!$C:$BQ,32,0)</f>
        <v>#N/A</v>
      </c>
      <c r="L84" s="107" t="e">
        <f>VLOOKUP($A84,'S45'!$C:$BQ,39,0)</f>
        <v>#N/A</v>
      </c>
      <c r="M84" s="107" t="e">
        <f>VLOOKUP($A84,'S45'!$C:$BQ,40,0)</f>
        <v>#N/A</v>
      </c>
      <c r="N84" s="107" t="e">
        <f>VLOOKUP($A84,'S45'!$C:$BQ,22,0)</f>
        <v>#N/A</v>
      </c>
      <c r="O84" s="115" t="e">
        <f>VLOOKUP($A84,'S45'!$C:$BQ,29,0)</f>
        <v>#N/A</v>
      </c>
      <c r="P84" s="115" t="e">
        <f>VLOOKUP($A84,'S45'!$C:$BQ,30,0)</f>
        <v>#N/A</v>
      </c>
      <c r="Q84" s="115" t="e">
        <f>VLOOKUP($A84,'S45'!$C:$BQ,52,0)</f>
        <v>#N/A</v>
      </c>
      <c r="R84" s="115" t="e">
        <f>VLOOKUP($A84,'S45'!$C:$BQ,59,0)</f>
        <v>#N/A</v>
      </c>
      <c r="S84" s="115" t="e">
        <f>VLOOKUP($A84,'S45'!$C:$BQ,60,0)</f>
        <v>#N/A</v>
      </c>
      <c r="T84" s="107" t="e">
        <f>VLOOKUP($A84,'S46'!$C:$BQ,32,0)</f>
        <v>#N/A</v>
      </c>
      <c r="U84" s="107" t="e">
        <f>VLOOKUP($A84,'S46'!$C:$BQ,39,0)</f>
        <v>#N/A</v>
      </c>
      <c r="V84" s="107" t="e">
        <f>VLOOKUP($A84,'S46'!$C:$BQ,40,0)</f>
        <v>#N/A</v>
      </c>
      <c r="W84" s="107" t="e">
        <f>VLOOKUP($A84,'S46'!$C:$BQ,22,0)</f>
        <v>#N/A</v>
      </c>
      <c r="X84" s="115" t="e">
        <f>VLOOKUP($A84,'S46'!$C:$BQ,29,0)</f>
        <v>#N/A</v>
      </c>
      <c r="Y84" s="115" t="e">
        <f>VLOOKUP($A84,'S46'!$C:$BQ,30,0)</f>
        <v>#N/A</v>
      </c>
      <c r="Z84" s="115" t="e">
        <f>VLOOKUP($A84,'S46'!$C:$BQ,52,0)</f>
        <v>#N/A</v>
      </c>
      <c r="AA84" s="115" t="e">
        <f>VLOOKUP($A84,'S46'!$C:$BQ,59,0)</f>
        <v>#N/A</v>
      </c>
      <c r="AB84" s="115" t="e">
        <f>VLOOKUP($A84,'S46'!$C:$BQ,60,0)</f>
        <v>#N/A</v>
      </c>
      <c r="AC84" s="107" t="e">
        <f>VLOOKUP($A84,'S47'!$C:$BQ,32,0)</f>
        <v>#N/A</v>
      </c>
      <c r="AD84" s="107" t="e">
        <f>VLOOKUP($A84,'S47'!$C:$BQ,39,0)</f>
        <v>#N/A</v>
      </c>
      <c r="AE84" s="107" t="e">
        <f>VLOOKUP($A84,'S47'!$C:$BQ,40,0)</f>
        <v>#N/A</v>
      </c>
      <c r="AF84" s="107" t="e">
        <f>VLOOKUP($A84,'S47'!$C:$BQ,22,0)</f>
        <v>#N/A</v>
      </c>
      <c r="AG84" s="115" t="e">
        <f>VLOOKUP($A84,'S47'!$C:$BQ,29,0)</f>
        <v>#N/A</v>
      </c>
      <c r="AH84" s="115" t="e">
        <f>VLOOKUP($A84,'S47'!$C:$BQ,30,0)</f>
        <v>#N/A</v>
      </c>
      <c r="AI84" s="115" t="e">
        <f>VLOOKUP($A84,'S47'!$C:$BQ,52,0)</f>
        <v>#N/A</v>
      </c>
      <c r="AJ84" s="115" t="e">
        <f>VLOOKUP($A84,'S47'!$C:$BQ,59,0)</f>
        <v>#N/A</v>
      </c>
      <c r="AK84" s="115" t="e">
        <f>VLOOKUP($A84,'S47'!$C:$BQ,60,0)</f>
        <v>#N/A</v>
      </c>
      <c r="AL84" s="107" t="e">
        <f>VLOOKUP($A84,'S48'!$C:$BQ,32,0)</f>
        <v>#N/A</v>
      </c>
      <c r="AM84" s="107" t="e">
        <f>VLOOKUP($A84,'S48'!$C:$BQ,39,0)</f>
        <v>#N/A</v>
      </c>
      <c r="AN84" s="107" t="e">
        <f>VLOOKUP($A84,'S48'!$C:$BQ,40,0)</f>
        <v>#N/A</v>
      </c>
      <c r="AO84" s="107" t="e">
        <f>VLOOKUP($A84,'S48'!$C:$BQ,22,0)</f>
        <v>#N/A</v>
      </c>
      <c r="AP84" s="115" t="e">
        <f>VLOOKUP($A84,'S48'!$C:$BQ,29,0)</f>
        <v>#N/A</v>
      </c>
      <c r="AQ84" s="115" t="e">
        <f>VLOOKUP($A84,'S48'!$C:$BQ,30,0)</f>
        <v>#N/A</v>
      </c>
      <c r="AR84" s="115" t="e">
        <f>VLOOKUP($A84,'S48'!$C:$BQ,52,0)</f>
        <v>#N/A</v>
      </c>
      <c r="AS84" s="115" t="e">
        <f>VLOOKUP($A84,'S48'!$C:$BQ,59,0)</f>
        <v>#N/A</v>
      </c>
      <c r="AT84" s="115" t="e">
        <f>VLOOKUP($A84,'S48'!$C:$BQ,60,0)</f>
        <v>#N/A</v>
      </c>
      <c r="AU84" s="107" t="e">
        <f>VLOOKUP($A84,'S49'!$C:$BQ,32,0)</f>
        <v>#N/A</v>
      </c>
      <c r="AV84" s="107" t="e">
        <f>VLOOKUP($A84,'S49'!$C:$BQ,39,0)</f>
        <v>#N/A</v>
      </c>
      <c r="AW84" s="107" t="e">
        <f>VLOOKUP($A84,'S49'!$C:$BQ,40,0)</f>
        <v>#N/A</v>
      </c>
      <c r="AX84" s="107" t="e">
        <f>VLOOKUP($A84,'S49'!$C:$BQ,22,0)</f>
        <v>#N/A</v>
      </c>
      <c r="AY84" s="115" t="e">
        <f>VLOOKUP($A84,'S49'!$C:$BQ,29,0)</f>
        <v>#N/A</v>
      </c>
      <c r="AZ84" s="115" t="e">
        <f>VLOOKUP($A84,'S49'!$C:$BQ,30,0)</f>
        <v>#N/A</v>
      </c>
      <c r="BA84" s="115" t="e">
        <f>VLOOKUP($A84,'S49'!$C:$BQ,52,0)</f>
        <v>#N/A</v>
      </c>
      <c r="BB84" s="115" t="e">
        <f>VLOOKUP($A84,'S49'!$C:$BQ,59,0)</f>
        <v>#N/A</v>
      </c>
      <c r="BC84" s="115" t="e">
        <f>VLOOKUP($A84,'S49'!$C:$BQ,60,0)</f>
        <v>#N/A</v>
      </c>
      <c r="BD84" s="107" t="e">
        <f>VLOOKUP($A84,'S50'!$C:$BQ,32,0)</f>
        <v>#N/A</v>
      </c>
      <c r="BE84" s="107" t="e">
        <f>VLOOKUP($A84,'S50'!$C:$BQ,39,0)</f>
        <v>#N/A</v>
      </c>
      <c r="BF84" s="107" t="e">
        <f>VLOOKUP($A84,'S50'!$C:$BQ,40,0)</f>
        <v>#N/A</v>
      </c>
      <c r="BG84" s="107" t="e">
        <f>VLOOKUP($A84,'S50'!$C:$BQ,22,0)</f>
        <v>#N/A</v>
      </c>
      <c r="BH84" s="115" t="e">
        <f>VLOOKUP($A84,'S50'!$C:$BQ,29,0)</f>
        <v>#N/A</v>
      </c>
      <c r="BI84" s="115" t="e">
        <f>VLOOKUP($A84,'S50'!$C:$BQ,30,0)</f>
        <v>#N/A</v>
      </c>
      <c r="BJ84" s="115" t="e">
        <f>VLOOKUP($A84,'S50'!$C:$BQ,52,0)</f>
        <v>#N/A</v>
      </c>
      <c r="BK84" s="115" t="e">
        <f>VLOOKUP($A84,'S50'!$C:$BQ,59,0)</f>
        <v>#N/A</v>
      </c>
      <c r="BL84" s="115" t="e">
        <f>VLOOKUP($A84,'S50'!$C:$BQ,60,0)</f>
        <v>#N/A</v>
      </c>
    </row>
    <row r="85" spans="1:64" x14ac:dyDescent="0.2">
      <c r="A85" s="106" t="s">
        <v>144</v>
      </c>
      <c r="B85" s="107">
        <f>VLOOKUP($A85,'S0 remplacer avec S44'!$C:$BQ,32,0)</f>
        <v>23.6</v>
      </c>
      <c r="C85" s="107">
        <f>VLOOKUP($A85,'S0 remplacer avec S44'!$C:$BQ,39,0)</f>
        <v>40</v>
      </c>
      <c r="D85" s="107">
        <f>VLOOKUP($A85,'S0 remplacer avec S44'!$C:$BQ,40,0)</f>
        <v>53</v>
      </c>
      <c r="E85" s="107">
        <f>VLOOKUP($A85,'S0 remplacer avec S44'!$C:$BQ,22,0)</f>
        <v>354.96262000000002</v>
      </c>
      <c r="F85" s="115">
        <f>VLOOKUP($A85,'S0 remplacer avec S44'!$C:$BQ,29,0)</f>
        <v>224</v>
      </c>
      <c r="G85" s="115">
        <f>VLOOKUP($A85,'S0 remplacer avec S44'!$C:$BQ,30,0)</f>
        <v>339</v>
      </c>
      <c r="H85" s="115">
        <f>VLOOKUP($A85,'S0 remplacer avec S44'!$C:$BQ,52,0)</f>
        <v>60.4</v>
      </c>
      <c r="I85" s="115">
        <f>VLOOKUP($A85,'S0 remplacer avec S44'!$C:$BQ,59,0)</f>
        <v>0</v>
      </c>
      <c r="J85" s="115">
        <f>VLOOKUP($A85,'S0 remplacer avec S44'!$C:$BQ,60,0)</f>
        <v>0</v>
      </c>
      <c r="K85" s="107" t="e">
        <f>VLOOKUP($A85,'S45'!$C:$BQ,32,0)</f>
        <v>#N/A</v>
      </c>
      <c r="L85" s="107" t="e">
        <f>VLOOKUP($A85,'S45'!$C:$BQ,39,0)</f>
        <v>#N/A</v>
      </c>
      <c r="M85" s="107" t="e">
        <f>VLOOKUP($A85,'S45'!$C:$BQ,40,0)</f>
        <v>#N/A</v>
      </c>
      <c r="N85" s="107" t="e">
        <f>VLOOKUP($A85,'S45'!$C:$BQ,22,0)</f>
        <v>#N/A</v>
      </c>
      <c r="O85" s="115" t="e">
        <f>VLOOKUP($A85,'S45'!$C:$BQ,29,0)</f>
        <v>#N/A</v>
      </c>
      <c r="P85" s="115" t="e">
        <f>VLOOKUP($A85,'S45'!$C:$BQ,30,0)</f>
        <v>#N/A</v>
      </c>
      <c r="Q85" s="115" t="e">
        <f>VLOOKUP($A85,'S45'!$C:$BQ,52,0)</f>
        <v>#N/A</v>
      </c>
      <c r="R85" s="115" t="e">
        <f>VLOOKUP($A85,'S45'!$C:$BQ,59,0)</f>
        <v>#N/A</v>
      </c>
      <c r="S85" s="115" t="e">
        <f>VLOOKUP($A85,'S45'!$C:$BQ,60,0)</f>
        <v>#N/A</v>
      </c>
      <c r="T85" s="107" t="e">
        <f>VLOOKUP($A85,'S46'!$C:$BQ,32,0)</f>
        <v>#N/A</v>
      </c>
      <c r="U85" s="107" t="e">
        <f>VLOOKUP($A85,'S46'!$C:$BQ,39,0)</f>
        <v>#N/A</v>
      </c>
      <c r="V85" s="107" t="e">
        <f>VLOOKUP($A85,'S46'!$C:$BQ,40,0)</f>
        <v>#N/A</v>
      </c>
      <c r="W85" s="107" t="e">
        <f>VLOOKUP($A85,'S46'!$C:$BQ,22,0)</f>
        <v>#N/A</v>
      </c>
      <c r="X85" s="115" t="e">
        <f>VLOOKUP($A85,'S46'!$C:$BQ,29,0)</f>
        <v>#N/A</v>
      </c>
      <c r="Y85" s="115" t="e">
        <f>VLOOKUP($A85,'S46'!$C:$BQ,30,0)</f>
        <v>#N/A</v>
      </c>
      <c r="Z85" s="115" t="e">
        <f>VLOOKUP($A85,'S46'!$C:$BQ,52,0)</f>
        <v>#N/A</v>
      </c>
      <c r="AA85" s="115" t="e">
        <f>VLOOKUP($A85,'S46'!$C:$BQ,59,0)</f>
        <v>#N/A</v>
      </c>
      <c r="AB85" s="115" t="e">
        <f>VLOOKUP($A85,'S46'!$C:$BQ,60,0)</f>
        <v>#N/A</v>
      </c>
      <c r="AC85" s="107" t="e">
        <f>VLOOKUP($A85,'S47'!$C:$BQ,32,0)</f>
        <v>#N/A</v>
      </c>
      <c r="AD85" s="107" t="e">
        <f>VLOOKUP($A85,'S47'!$C:$BQ,39,0)</f>
        <v>#N/A</v>
      </c>
      <c r="AE85" s="107" t="e">
        <f>VLOOKUP($A85,'S47'!$C:$BQ,40,0)</f>
        <v>#N/A</v>
      </c>
      <c r="AF85" s="107" t="e">
        <f>VLOOKUP($A85,'S47'!$C:$BQ,22,0)</f>
        <v>#N/A</v>
      </c>
      <c r="AG85" s="115" t="e">
        <f>VLOOKUP($A85,'S47'!$C:$BQ,29,0)</f>
        <v>#N/A</v>
      </c>
      <c r="AH85" s="115" t="e">
        <f>VLOOKUP($A85,'S47'!$C:$BQ,30,0)</f>
        <v>#N/A</v>
      </c>
      <c r="AI85" s="115" t="e">
        <f>VLOOKUP($A85,'S47'!$C:$BQ,52,0)</f>
        <v>#N/A</v>
      </c>
      <c r="AJ85" s="115" t="e">
        <f>VLOOKUP($A85,'S47'!$C:$BQ,59,0)</f>
        <v>#N/A</v>
      </c>
      <c r="AK85" s="115" t="e">
        <f>VLOOKUP($A85,'S47'!$C:$BQ,60,0)</f>
        <v>#N/A</v>
      </c>
      <c r="AL85" s="107" t="e">
        <f>VLOOKUP($A85,'S48'!$C:$BQ,32,0)</f>
        <v>#N/A</v>
      </c>
      <c r="AM85" s="107" t="e">
        <f>VLOOKUP($A85,'S48'!$C:$BQ,39,0)</f>
        <v>#N/A</v>
      </c>
      <c r="AN85" s="107" t="e">
        <f>VLOOKUP($A85,'S48'!$C:$BQ,40,0)</f>
        <v>#N/A</v>
      </c>
      <c r="AO85" s="107" t="e">
        <f>VLOOKUP($A85,'S48'!$C:$BQ,22,0)</f>
        <v>#N/A</v>
      </c>
      <c r="AP85" s="115" t="e">
        <f>VLOOKUP($A85,'S48'!$C:$BQ,29,0)</f>
        <v>#N/A</v>
      </c>
      <c r="AQ85" s="115" t="e">
        <f>VLOOKUP($A85,'S48'!$C:$BQ,30,0)</f>
        <v>#N/A</v>
      </c>
      <c r="AR85" s="115" t="e">
        <f>VLOOKUP($A85,'S48'!$C:$BQ,52,0)</f>
        <v>#N/A</v>
      </c>
      <c r="AS85" s="115" t="e">
        <f>VLOOKUP($A85,'S48'!$C:$BQ,59,0)</f>
        <v>#N/A</v>
      </c>
      <c r="AT85" s="115" t="e">
        <f>VLOOKUP($A85,'S48'!$C:$BQ,60,0)</f>
        <v>#N/A</v>
      </c>
      <c r="AU85" s="107" t="e">
        <f>VLOOKUP($A85,'S49'!$C:$BQ,32,0)</f>
        <v>#N/A</v>
      </c>
      <c r="AV85" s="107" t="e">
        <f>VLOOKUP($A85,'S49'!$C:$BQ,39,0)</f>
        <v>#N/A</v>
      </c>
      <c r="AW85" s="107" t="e">
        <f>VLOOKUP($A85,'S49'!$C:$BQ,40,0)</f>
        <v>#N/A</v>
      </c>
      <c r="AX85" s="107" t="e">
        <f>VLOOKUP($A85,'S49'!$C:$BQ,22,0)</f>
        <v>#N/A</v>
      </c>
      <c r="AY85" s="115" t="e">
        <f>VLOOKUP($A85,'S49'!$C:$BQ,29,0)</f>
        <v>#N/A</v>
      </c>
      <c r="AZ85" s="115" t="e">
        <f>VLOOKUP($A85,'S49'!$C:$BQ,30,0)</f>
        <v>#N/A</v>
      </c>
      <c r="BA85" s="115" t="e">
        <f>VLOOKUP($A85,'S49'!$C:$BQ,52,0)</f>
        <v>#N/A</v>
      </c>
      <c r="BB85" s="115" t="e">
        <f>VLOOKUP($A85,'S49'!$C:$BQ,59,0)</f>
        <v>#N/A</v>
      </c>
      <c r="BC85" s="115" t="e">
        <f>VLOOKUP($A85,'S49'!$C:$BQ,60,0)</f>
        <v>#N/A</v>
      </c>
      <c r="BD85" s="107" t="e">
        <f>VLOOKUP($A85,'S50'!$C:$BQ,32,0)</f>
        <v>#N/A</v>
      </c>
      <c r="BE85" s="107" t="e">
        <f>VLOOKUP($A85,'S50'!$C:$BQ,39,0)</f>
        <v>#N/A</v>
      </c>
      <c r="BF85" s="107" t="e">
        <f>VLOOKUP($A85,'S50'!$C:$BQ,40,0)</f>
        <v>#N/A</v>
      </c>
      <c r="BG85" s="107" t="e">
        <f>VLOOKUP($A85,'S50'!$C:$BQ,22,0)</f>
        <v>#N/A</v>
      </c>
      <c r="BH85" s="115" t="e">
        <f>VLOOKUP($A85,'S50'!$C:$BQ,29,0)</f>
        <v>#N/A</v>
      </c>
      <c r="BI85" s="115" t="e">
        <f>VLOOKUP($A85,'S50'!$C:$BQ,30,0)</f>
        <v>#N/A</v>
      </c>
      <c r="BJ85" s="115" t="e">
        <f>VLOOKUP($A85,'S50'!$C:$BQ,52,0)</f>
        <v>#N/A</v>
      </c>
      <c r="BK85" s="115" t="e">
        <f>VLOOKUP($A85,'S50'!$C:$BQ,59,0)</f>
        <v>#N/A</v>
      </c>
      <c r="BL85" s="115" t="e">
        <f>VLOOKUP($A85,'S50'!$C:$BQ,60,0)</f>
        <v>#N/A</v>
      </c>
    </row>
    <row r="86" spans="1:64" x14ac:dyDescent="0.2">
      <c r="A86" s="106" t="s">
        <v>146</v>
      </c>
      <c r="B86" s="107">
        <f>VLOOKUP($A86,'S0 remplacer avec S44'!$C:$BQ,32,0)</f>
        <v>65.2</v>
      </c>
      <c r="C86" s="107">
        <f>VLOOKUP($A86,'S0 remplacer avec S44'!$C:$BQ,39,0)</f>
        <v>38</v>
      </c>
      <c r="D86" s="107">
        <f>VLOOKUP($A86,'S0 remplacer avec S44'!$C:$BQ,40,0)</f>
        <v>59</v>
      </c>
      <c r="E86" s="107">
        <f>VLOOKUP($A86,'S0 remplacer avec S44'!$C:$BQ,22,0)</f>
        <v>368.50261</v>
      </c>
      <c r="F86" s="115">
        <f>VLOOKUP($A86,'S0 remplacer avec S44'!$C:$BQ,29,0)</f>
        <v>566</v>
      </c>
      <c r="G86" s="115">
        <f>VLOOKUP($A86,'S0 remplacer avec S44'!$C:$BQ,30,0)</f>
        <v>753</v>
      </c>
      <c r="H86" s="115">
        <f>VLOOKUP($A86,'S0 remplacer avec S44'!$C:$BQ,52,0)</f>
        <v>26</v>
      </c>
      <c r="I86" s="115">
        <f>VLOOKUP($A86,'S0 remplacer avec S44'!$C:$BQ,59,0)</f>
        <v>27</v>
      </c>
      <c r="J86" s="115">
        <f>VLOOKUP($A86,'S0 remplacer avec S44'!$C:$BQ,60,0)</f>
        <v>37</v>
      </c>
      <c r="K86" s="107" t="e">
        <f>VLOOKUP($A86,'S45'!$C:$BQ,32,0)</f>
        <v>#N/A</v>
      </c>
      <c r="L86" s="107" t="e">
        <f>VLOOKUP($A86,'S45'!$C:$BQ,39,0)</f>
        <v>#N/A</v>
      </c>
      <c r="M86" s="107" t="e">
        <f>VLOOKUP($A86,'S45'!$C:$BQ,40,0)</f>
        <v>#N/A</v>
      </c>
      <c r="N86" s="107" t="e">
        <f>VLOOKUP($A86,'S45'!$C:$BQ,22,0)</f>
        <v>#N/A</v>
      </c>
      <c r="O86" s="115" t="e">
        <f>VLOOKUP($A86,'S45'!$C:$BQ,29,0)</f>
        <v>#N/A</v>
      </c>
      <c r="P86" s="115" t="e">
        <f>VLOOKUP($A86,'S45'!$C:$BQ,30,0)</f>
        <v>#N/A</v>
      </c>
      <c r="Q86" s="115" t="e">
        <f>VLOOKUP($A86,'S45'!$C:$BQ,52,0)</f>
        <v>#N/A</v>
      </c>
      <c r="R86" s="115" t="e">
        <f>VLOOKUP($A86,'S45'!$C:$BQ,59,0)</f>
        <v>#N/A</v>
      </c>
      <c r="S86" s="115" t="e">
        <f>VLOOKUP($A86,'S45'!$C:$BQ,60,0)</f>
        <v>#N/A</v>
      </c>
      <c r="T86" s="107" t="e">
        <f>VLOOKUP($A86,'S46'!$C:$BQ,32,0)</f>
        <v>#N/A</v>
      </c>
      <c r="U86" s="107" t="e">
        <f>VLOOKUP($A86,'S46'!$C:$BQ,39,0)</f>
        <v>#N/A</v>
      </c>
      <c r="V86" s="107" t="e">
        <f>VLOOKUP($A86,'S46'!$C:$BQ,40,0)</f>
        <v>#N/A</v>
      </c>
      <c r="W86" s="107" t="e">
        <f>VLOOKUP($A86,'S46'!$C:$BQ,22,0)</f>
        <v>#N/A</v>
      </c>
      <c r="X86" s="115" t="e">
        <f>VLOOKUP($A86,'S46'!$C:$BQ,29,0)</f>
        <v>#N/A</v>
      </c>
      <c r="Y86" s="115" t="e">
        <f>VLOOKUP($A86,'S46'!$C:$BQ,30,0)</f>
        <v>#N/A</v>
      </c>
      <c r="Z86" s="115" t="e">
        <f>VLOOKUP($A86,'S46'!$C:$BQ,52,0)</f>
        <v>#N/A</v>
      </c>
      <c r="AA86" s="115" t="e">
        <f>VLOOKUP($A86,'S46'!$C:$BQ,59,0)</f>
        <v>#N/A</v>
      </c>
      <c r="AB86" s="115" t="e">
        <f>VLOOKUP($A86,'S46'!$C:$BQ,60,0)</f>
        <v>#N/A</v>
      </c>
      <c r="AC86" s="107" t="e">
        <f>VLOOKUP($A86,'S47'!$C:$BQ,32,0)</f>
        <v>#N/A</v>
      </c>
      <c r="AD86" s="107" t="e">
        <f>VLOOKUP($A86,'S47'!$C:$BQ,39,0)</f>
        <v>#N/A</v>
      </c>
      <c r="AE86" s="107" t="e">
        <f>VLOOKUP($A86,'S47'!$C:$BQ,40,0)</f>
        <v>#N/A</v>
      </c>
      <c r="AF86" s="107" t="e">
        <f>VLOOKUP($A86,'S47'!$C:$BQ,22,0)</f>
        <v>#N/A</v>
      </c>
      <c r="AG86" s="115" t="e">
        <f>VLOOKUP($A86,'S47'!$C:$BQ,29,0)</f>
        <v>#N/A</v>
      </c>
      <c r="AH86" s="115" t="e">
        <f>VLOOKUP($A86,'S47'!$C:$BQ,30,0)</f>
        <v>#N/A</v>
      </c>
      <c r="AI86" s="115" t="e">
        <f>VLOOKUP($A86,'S47'!$C:$BQ,52,0)</f>
        <v>#N/A</v>
      </c>
      <c r="AJ86" s="115" t="e">
        <f>VLOOKUP($A86,'S47'!$C:$BQ,59,0)</f>
        <v>#N/A</v>
      </c>
      <c r="AK86" s="115" t="e">
        <f>VLOOKUP($A86,'S47'!$C:$BQ,60,0)</f>
        <v>#N/A</v>
      </c>
      <c r="AL86" s="107" t="e">
        <f>VLOOKUP($A86,'S48'!$C:$BQ,32,0)</f>
        <v>#N/A</v>
      </c>
      <c r="AM86" s="107" t="e">
        <f>VLOOKUP($A86,'S48'!$C:$BQ,39,0)</f>
        <v>#N/A</v>
      </c>
      <c r="AN86" s="107" t="e">
        <f>VLOOKUP($A86,'S48'!$C:$BQ,40,0)</f>
        <v>#N/A</v>
      </c>
      <c r="AO86" s="107" t="e">
        <f>VLOOKUP($A86,'S48'!$C:$BQ,22,0)</f>
        <v>#N/A</v>
      </c>
      <c r="AP86" s="115" t="e">
        <f>VLOOKUP($A86,'S48'!$C:$BQ,29,0)</f>
        <v>#N/A</v>
      </c>
      <c r="AQ86" s="115" t="e">
        <f>VLOOKUP($A86,'S48'!$C:$BQ,30,0)</f>
        <v>#N/A</v>
      </c>
      <c r="AR86" s="115" t="e">
        <f>VLOOKUP($A86,'S48'!$C:$BQ,52,0)</f>
        <v>#N/A</v>
      </c>
      <c r="AS86" s="115" t="e">
        <f>VLOOKUP($A86,'S48'!$C:$BQ,59,0)</f>
        <v>#N/A</v>
      </c>
      <c r="AT86" s="115" t="e">
        <f>VLOOKUP($A86,'S48'!$C:$BQ,60,0)</f>
        <v>#N/A</v>
      </c>
      <c r="AU86" s="107" t="e">
        <f>VLOOKUP($A86,'S49'!$C:$BQ,32,0)</f>
        <v>#N/A</v>
      </c>
      <c r="AV86" s="107" t="e">
        <f>VLOOKUP($A86,'S49'!$C:$BQ,39,0)</f>
        <v>#N/A</v>
      </c>
      <c r="AW86" s="107" t="e">
        <f>VLOOKUP($A86,'S49'!$C:$BQ,40,0)</f>
        <v>#N/A</v>
      </c>
      <c r="AX86" s="107" t="e">
        <f>VLOOKUP($A86,'S49'!$C:$BQ,22,0)</f>
        <v>#N/A</v>
      </c>
      <c r="AY86" s="115" t="e">
        <f>VLOOKUP($A86,'S49'!$C:$BQ,29,0)</f>
        <v>#N/A</v>
      </c>
      <c r="AZ86" s="115" t="e">
        <f>VLOOKUP($A86,'S49'!$C:$BQ,30,0)</f>
        <v>#N/A</v>
      </c>
      <c r="BA86" s="115" t="e">
        <f>VLOOKUP($A86,'S49'!$C:$BQ,52,0)</f>
        <v>#N/A</v>
      </c>
      <c r="BB86" s="115" t="e">
        <f>VLOOKUP($A86,'S49'!$C:$BQ,59,0)</f>
        <v>#N/A</v>
      </c>
      <c r="BC86" s="115" t="e">
        <f>VLOOKUP($A86,'S49'!$C:$BQ,60,0)</f>
        <v>#N/A</v>
      </c>
      <c r="BD86" s="107" t="e">
        <f>VLOOKUP($A86,'S50'!$C:$BQ,32,0)</f>
        <v>#N/A</v>
      </c>
      <c r="BE86" s="107" t="e">
        <f>VLOOKUP($A86,'S50'!$C:$BQ,39,0)</f>
        <v>#N/A</v>
      </c>
      <c r="BF86" s="107" t="e">
        <f>VLOOKUP($A86,'S50'!$C:$BQ,40,0)</f>
        <v>#N/A</v>
      </c>
      <c r="BG86" s="107" t="e">
        <f>VLOOKUP($A86,'S50'!$C:$BQ,22,0)</f>
        <v>#N/A</v>
      </c>
      <c r="BH86" s="115" t="e">
        <f>VLOOKUP($A86,'S50'!$C:$BQ,29,0)</f>
        <v>#N/A</v>
      </c>
      <c r="BI86" s="115" t="e">
        <f>VLOOKUP($A86,'S50'!$C:$BQ,30,0)</f>
        <v>#N/A</v>
      </c>
      <c r="BJ86" s="115" t="e">
        <f>VLOOKUP($A86,'S50'!$C:$BQ,52,0)</f>
        <v>#N/A</v>
      </c>
      <c r="BK86" s="115" t="e">
        <f>VLOOKUP($A86,'S50'!$C:$BQ,59,0)</f>
        <v>#N/A</v>
      </c>
      <c r="BL86" s="115" t="e">
        <f>VLOOKUP($A86,'S50'!$C:$BQ,60,0)</f>
        <v>#N/A</v>
      </c>
    </row>
    <row r="87" spans="1:64" x14ac:dyDescent="0.2">
      <c r="A87" s="106" t="s">
        <v>147</v>
      </c>
      <c r="B87" s="107">
        <f>VLOOKUP($A87,'S0 remplacer avec S44'!$C:$BQ,32,0)</f>
        <v>264.39999999999998</v>
      </c>
      <c r="C87" s="107">
        <f>VLOOKUP($A87,'S0 remplacer avec S44'!$C:$BQ,39,0)</f>
        <v>26</v>
      </c>
      <c r="D87" s="107">
        <f>VLOOKUP($A87,'S0 remplacer avec S44'!$C:$BQ,40,0)</f>
        <v>84</v>
      </c>
      <c r="E87" s="107">
        <f>VLOOKUP($A87,'S0 remplacer avec S44'!$C:$BQ,22,0)</f>
        <v>2314.3428950000002</v>
      </c>
      <c r="F87" s="115">
        <f>VLOOKUP($A87,'S0 remplacer avec S44'!$C:$BQ,29,0)</f>
        <v>321</v>
      </c>
      <c r="G87" s="115">
        <f>VLOOKUP($A87,'S0 remplacer avec S44'!$C:$BQ,30,0)</f>
        <v>849</v>
      </c>
      <c r="H87" s="115">
        <f>VLOOKUP($A87,'S0 remplacer avec S44'!$C:$BQ,52,0)</f>
        <v>168.4</v>
      </c>
      <c r="I87" s="115">
        <f>VLOOKUP($A87,'S0 remplacer avec S44'!$C:$BQ,59,0)</f>
        <v>0</v>
      </c>
      <c r="J87" s="115">
        <f>VLOOKUP($A87,'S0 remplacer avec S44'!$C:$BQ,60,0)</f>
        <v>9</v>
      </c>
      <c r="K87" s="107" t="e">
        <f>VLOOKUP($A87,'S45'!$C:$BQ,32,0)</f>
        <v>#N/A</v>
      </c>
      <c r="L87" s="107" t="e">
        <f>VLOOKUP($A87,'S45'!$C:$BQ,39,0)</f>
        <v>#N/A</v>
      </c>
      <c r="M87" s="107" t="e">
        <f>VLOOKUP($A87,'S45'!$C:$BQ,40,0)</f>
        <v>#N/A</v>
      </c>
      <c r="N87" s="107" t="e">
        <f>VLOOKUP($A87,'S45'!$C:$BQ,22,0)</f>
        <v>#N/A</v>
      </c>
      <c r="O87" s="115" t="e">
        <f>VLOOKUP($A87,'S45'!$C:$BQ,29,0)</f>
        <v>#N/A</v>
      </c>
      <c r="P87" s="115" t="e">
        <f>VLOOKUP($A87,'S45'!$C:$BQ,30,0)</f>
        <v>#N/A</v>
      </c>
      <c r="Q87" s="115" t="e">
        <f>VLOOKUP($A87,'S45'!$C:$BQ,52,0)</f>
        <v>#N/A</v>
      </c>
      <c r="R87" s="115" t="e">
        <f>VLOOKUP($A87,'S45'!$C:$BQ,59,0)</f>
        <v>#N/A</v>
      </c>
      <c r="S87" s="115" t="e">
        <f>VLOOKUP($A87,'S45'!$C:$BQ,60,0)</f>
        <v>#N/A</v>
      </c>
      <c r="T87" s="107" t="e">
        <f>VLOOKUP($A87,'S46'!$C:$BQ,32,0)</f>
        <v>#N/A</v>
      </c>
      <c r="U87" s="107" t="e">
        <f>VLOOKUP($A87,'S46'!$C:$BQ,39,0)</f>
        <v>#N/A</v>
      </c>
      <c r="V87" s="107" t="e">
        <f>VLOOKUP($A87,'S46'!$C:$BQ,40,0)</f>
        <v>#N/A</v>
      </c>
      <c r="W87" s="107" t="e">
        <f>VLOOKUP($A87,'S46'!$C:$BQ,22,0)</f>
        <v>#N/A</v>
      </c>
      <c r="X87" s="115" t="e">
        <f>VLOOKUP($A87,'S46'!$C:$BQ,29,0)</f>
        <v>#N/A</v>
      </c>
      <c r="Y87" s="115" t="e">
        <f>VLOOKUP($A87,'S46'!$C:$BQ,30,0)</f>
        <v>#N/A</v>
      </c>
      <c r="Z87" s="115" t="e">
        <f>VLOOKUP($A87,'S46'!$C:$BQ,52,0)</f>
        <v>#N/A</v>
      </c>
      <c r="AA87" s="115" t="e">
        <f>VLOOKUP($A87,'S46'!$C:$BQ,59,0)</f>
        <v>#N/A</v>
      </c>
      <c r="AB87" s="115" t="e">
        <f>VLOOKUP($A87,'S46'!$C:$BQ,60,0)</f>
        <v>#N/A</v>
      </c>
      <c r="AC87" s="107" t="e">
        <f>VLOOKUP($A87,'S47'!$C:$BQ,32,0)</f>
        <v>#N/A</v>
      </c>
      <c r="AD87" s="107" t="e">
        <f>VLOOKUP($A87,'S47'!$C:$BQ,39,0)</f>
        <v>#N/A</v>
      </c>
      <c r="AE87" s="107" t="e">
        <f>VLOOKUP($A87,'S47'!$C:$BQ,40,0)</f>
        <v>#N/A</v>
      </c>
      <c r="AF87" s="107" t="e">
        <f>VLOOKUP($A87,'S47'!$C:$BQ,22,0)</f>
        <v>#N/A</v>
      </c>
      <c r="AG87" s="115" t="e">
        <f>VLOOKUP($A87,'S47'!$C:$BQ,29,0)</f>
        <v>#N/A</v>
      </c>
      <c r="AH87" s="115" t="e">
        <f>VLOOKUP($A87,'S47'!$C:$BQ,30,0)</f>
        <v>#N/A</v>
      </c>
      <c r="AI87" s="115" t="e">
        <f>VLOOKUP($A87,'S47'!$C:$BQ,52,0)</f>
        <v>#N/A</v>
      </c>
      <c r="AJ87" s="115" t="e">
        <f>VLOOKUP($A87,'S47'!$C:$BQ,59,0)</f>
        <v>#N/A</v>
      </c>
      <c r="AK87" s="115" t="e">
        <f>VLOOKUP($A87,'S47'!$C:$BQ,60,0)</f>
        <v>#N/A</v>
      </c>
      <c r="AL87" s="107" t="e">
        <f>VLOOKUP($A87,'S48'!$C:$BQ,32,0)</f>
        <v>#N/A</v>
      </c>
      <c r="AM87" s="107" t="e">
        <f>VLOOKUP($A87,'S48'!$C:$BQ,39,0)</f>
        <v>#N/A</v>
      </c>
      <c r="AN87" s="107" t="e">
        <f>VLOOKUP($A87,'S48'!$C:$BQ,40,0)</f>
        <v>#N/A</v>
      </c>
      <c r="AO87" s="107" t="e">
        <f>VLOOKUP($A87,'S48'!$C:$BQ,22,0)</f>
        <v>#N/A</v>
      </c>
      <c r="AP87" s="115" t="e">
        <f>VLOOKUP($A87,'S48'!$C:$BQ,29,0)</f>
        <v>#N/A</v>
      </c>
      <c r="AQ87" s="115" t="e">
        <f>VLOOKUP($A87,'S48'!$C:$BQ,30,0)</f>
        <v>#N/A</v>
      </c>
      <c r="AR87" s="115" t="e">
        <f>VLOOKUP($A87,'S48'!$C:$BQ,52,0)</f>
        <v>#N/A</v>
      </c>
      <c r="AS87" s="115" t="e">
        <f>VLOOKUP($A87,'S48'!$C:$BQ,59,0)</f>
        <v>#N/A</v>
      </c>
      <c r="AT87" s="115" t="e">
        <f>VLOOKUP($A87,'S48'!$C:$BQ,60,0)</f>
        <v>#N/A</v>
      </c>
      <c r="AU87" s="107" t="e">
        <f>VLOOKUP($A87,'S49'!$C:$BQ,32,0)</f>
        <v>#N/A</v>
      </c>
      <c r="AV87" s="107" t="e">
        <f>VLOOKUP($A87,'S49'!$C:$BQ,39,0)</f>
        <v>#N/A</v>
      </c>
      <c r="AW87" s="107" t="e">
        <f>VLOOKUP($A87,'S49'!$C:$BQ,40,0)</f>
        <v>#N/A</v>
      </c>
      <c r="AX87" s="107" t="e">
        <f>VLOOKUP($A87,'S49'!$C:$BQ,22,0)</f>
        <v>#N/A</v>
      </c>
      <c r="AY87" s="115" t="e">
        <f>VLOOKUP($A87,'S49'!$C:$BQ,29,0)</f>
        <v>#N/A</v>
      </c>
      <c r="AZ87" s="115" t="e">
        <f>VLOOKUP($A87,'S49'!$C:$BQ,30,0)</f>
        <v>#N/A</v>
      </c>
      <c r="BA87" s="115" t="e">
        <f>VLOOKUP($A87,'S49'!$C:$BQ,52,0)</f>
        <v>#N/A</v>
      </c>
      <c r="BB87" s="115" t="e">
        <f>VLOOKUP($A87,'S49'!$C:$BQ,59,0)</f>
        <v>#N/A</v>
      </c>
      <c r="BC87" s="115" t="e">
        <f>VLOOKUP($A87,'S49'!$C:$BQ,60,0)</f>
        <v>#N/A</v>
      </c>
      <c r="BD87" s="107" t="e">
        <f>VLOOKUP($A87,'S50'!$C:$BQ,32,0)</f>
        <v>#N/A</v>
      </c>
      <c r="BE87" s="107" t="e">
        <f>VLOOKUP($A87,'S50'!$C:$BQ,39,0)</f>
        <v>#N/A</v>
      </c>
      <c r="BF87" s="107" t="e">
        <f>VLOOKUP($A87,'S50'!$C:$BQ,40,0)</f>
        <v>#N/A</v>
      </c>
      <c r="BG87" s="107" t="e">
        <f>VLOOKUP($A87,'S50'!$C:$BQ,22,0)</f>
        <v>#N/A</v>
      </c>
      <c r="BH87" s="115" t="e">
        <f>VLOOKUP($A87,'S50'!$C:$BQ,29,0)</f>
        <v>#N/A</v>
      </c>
      <c r="BI87" s="115" t="e">
        <f>VLOOKUP($A87,'S50'!$C:$BQ,30,0)</f>
        <v>#N/A</v>
      </c>
      <c r="BJ87" s="115" t="e">
        <f>VLOOKUP($A87,'S50'!$C:$BQ,52,0)</f>
        <v>#N/A</v>
      </c>
      <c r="BK87" s="115" t="e">
        <f>VLOOKUP($A87,'S50'!$C:$BQ,59,0)</f>
        <v>#N/A</v>
      </c>
      <c r="BL87" s="115" t="e">
        <f>VLOOKUP($A87,'S50'!$C:$BQ,60,0)</f>
        <v>#N/A</v>
      </c>
    </row>
    <row r="88" spans="1:64" x14ac:dyDescent="0.2">
      <c r="A88" s="106" t="s">
        <v>148</v>
      </c>
      <c r="B88" s="107">
        <f>VLOOKUP($A88,'S0 remplacer avec S44'!$C:$BQ,32,0)</f>
        <v>290.7</v>
      </c>
      <c r="C88" s="107">
        <f>VLOOKUP($A88,'S0 remplacer avec S44'!$C:$BQ,39,0)</f>
        <v>79</v>
      </c>
      <c r="D88" s="107">
        <f>VLOOKUP($A88,'S0 remplacer avec S44'!$C:$BQ,40,0)</f>
        <v>153</v>
      </c>
      <c r="E88" s="107">
        <f>VLOOKUP($A88,'S0 remplacer avec S44'!$C:$BQ,22,0)</f>
        <v>2473.6033050000001</v>
      </c>
      <c r="F88" s="115">
        <f>VLOOKUP($A88,'S0 remplacer avec S44'!$C:$BQ,29,0)</f>
        <v>884</v>
      </c>
      <c r="G88" s="115">
        <f>VLOOKUP($A88,'S0 remplacer avec S44'!$C:$BQ,30,0)</f>
        <v>1555</v>
      </c>
      <c r="H88" s="115">
        <f>VLOOKUP($A88,'S0 remplacer avec S44'!$C:$BQ,52,0)</f>
        <v>229</v>
      </c>
      <c r="I88" s="115">
        <f>VLOOKUP($A88,'S0 remplacer avec S44'!$C:$BQ,59,0)</f>
        <v>0</v>
      </c>
      <c r="J88" s="115">
        <f>VLOOKUP($A88,'S0 remplacer avec S44'!$C:$BQ,60,0)</f>
        <v>0</v>
      </c>
      <c r="K88" s="107" t="e">
        <f>VLOOKUP($A88,'S45'!$C:$BQ,32,0)</f>
        <v>#N/A</v>
      </c>
      <c r="L88" s="107" t="e">
        <f>VLOOKUP($A88,'S45'!$C:$BQ,39,0)</f>
        <v>#N/A</v>
      </c>
      <c r="M88" s="107" t="e">
        <f>VLOOKUP($A88,'S45'!$C:$BQ,40,0)</f>
        <v>#N/A</v>
      </c>
      <c r="N88" s="107" t="e">
        <f>VLOOKUP($A88,'S45'!$C:$BQ,22,0)</f>
        <v>#N/A</v>
      </c>
      <c r="O88" s="115" t="e">
        <f>VLOOKUP($A88,'S45'!$C:$BQ,29,0)</f>
        <v>#N/A</v>
      </c>
      <c r="P88" s="115" t="e">
        <f>VLOOKUP($A88,'S45'!$C:$BQ,30,0)</f>
        <v>#N/A</v>
      </c>
      <c r="Q88" s="115" t="e">
        <f>VLOOKUP($A88,'S45'!$C:$BQ,52,0)</f>
        <v>#N/A</v>
      </c>
      <c r="R88" s="115" t="e">
        <f>VLOOKUP($A88,'S45'!$C:$BQ,59,0)</f>
        <v>#N/A</v>
      </c>
      <c r="S88" s="115" t="e">
        <f>VLOOKUP($A88,'S45'!$C:$BQ,60,0)</f>
        <v>#N/A</v>
      </c>
      <c r="T88" s="107" t="e">
        <f>VLOOKUP($A88,'S46'!$C:$BQ,32,0)</f>
        <v>#N/A</v>
      </c>
      <c r="U88" s="107" t="e">
        <f>VLOOKUP($A88,'S46'!$C:$BQ,39,0)</f>
        <v>#N/A</v>
      </c>
      <c r="V88" s="107" t="e">
        <f>VLOOKUP($A88,'S46'!$C:$BQ,40,0)</f>
        <v>#N/A</v>
      </c>
      <c r="W88" s="107" t="e">
        <f>VLOOKUP($A88,'S46'!$C:$BQ,22,0)</f>
        <v>#N/A</v>
      </c>
      <c r="X88" s="115" t="e">
        <f>VLOOKUP($A88,'S46'!$C:$BQ,29,0)</f>
        <v>#N/A</v>
      </c>
      <c r="Y88" s="115" t="e">
        <f>VLOOKUP($A88,'S46'!$C:$BQ,30,0)</f>
        <v>#N/A</v>
      </c>
      <c r="Z88" s="115" t="e">
        <f>VLOOKUP($A88,'S46'!$C:$BQ,52,0)</f>
        <v>#N/A</v>
      </c>
      <c r="AA88" s="115" t="e">
        <f>VLOOKUP($A88,'S46'!$C:$BQ,59,0)</f>
        <v>#N/A</v>
      </c>
      <c r="AB88" s="115" t="e">
        <f>VLOOKUP($A88,'S46'!$C:$BQ,60,0)</f>
        <v>#N/A</v>
      </c>
      <c r="AC88" s="107" t="e">
        <f>VLOOKUP($A88,'S47'!$C:$BQ,32,0)</f>
        <v>#N/A</v>
      </c>
      <c r="AD88" s="107" t="e">
        <f>VLOOKUP($A88,'S47'!$C:$BQ,39,0)</f>
        <v>#N/A</v>
      </c>
      <c r="AE88" s="107" t="e">
        <f>VLOOKUP($A88,'S47'!$C:$BQ,40,0)</f>
        <v>#N/A</v>
      </c>
      <c r="AF88" s="107" t="e">
        <f>VLOOKUP($A88,'S47'!$C:$BQ,22,0)</f>
        <v>#N/A</v>
      </c>
      <c r="AG88" s="115" t="e">
        <f>VLOOKUP($A88,'S47'!$C:$BQ,29,0)</f>
        <v>#N/A</v>
      </c>
      <c r="AH88" s="115" t="e">
        <f>VLOOKUP($A88,'S47'!$C:$BQ,30,0)</f>
        <v>#N/A</v>
      </c>
      <c r="AI88" s="115" t="e">
        <f>VLOOKUP($A88,'S47'!$C:$BQ,52,0)</f>
        <v>#N/A</v>
      </c>
      <c r="AJ88" s="115" t="e">
        <f>VLOOKUP($A88,'S47'!$C:$BQ,59,0)</f>
        <v>#N/A</v>
      </c>
      <c r="AK88" s="115" t="e">
        <f>VLOOKUP($A88,'S47'!$C:$BQ,60,0)</f>
        <v>#N/A</v>
      </c>
      <c r="AL88" s="107" t="e">
        <f>VLOOKUP($A88,'S48'!$C:$BQ,32,0)</f>
        <v>#N/A</v>
      </c>
      <c r="AM88" s="107" t="e">
        <f>VLOOKUP($A88,'S48'!$C:$BQ,39,0)</f>
        <v>#N/A</v>
      </c>
      <c r="AN88" s="107" t="e">
        <f>VLOOKUP($A88,'S48'!$C:$BQ,40,0)</f>
        <v>#N/A</v>
      </c>
      <c r="AO88" s="107" t="e">
        <f>VLOOKUP($A88,'S48'!$C:$BQ,22,0)</f>
        <v>#N/A</v>
      </c>
      <c r="AP88" s="115" t="e">
        <f>VLOOKUP($A88,'S48'!$C:$BQ,29,0)</f>
        <v>#N/A</v>
      </c>
      <c r="AQ88" s="115" t="e">
        <f>VLOOKUP($A88,'S48'!$C:$BQ,30,0)</f>
        <v>#N/A</v>
      </c>
      <c r="AR88" s="115" t="e">
        <f>VLOOKUP($A88,'S48'!$C:$BQ,52,0)</f>
        <v>#N/A</v>
      </c>
      <c r="AS88" s="115" t="e">
        <f>VLOOKUP($A88,'S48'!$C:$BQ,59,0)</f>
        <v>#N/A</v>
      </c>
      <c r="AT88" s="115" t="e">
        <f>VLOOKUP($A88,'S48'!$C:$BQ,60,0)</f>
        <v>#N/A</v>
      </c>
      <c r="AU88" s="107" t="e">
        <f>VLOOKUP($A88,'S49'!$C:$BQ,32,0)</f>
        <v>#N/A</v>
      </c>
      <c r="AV88" s="107" t="e">
        <f>VLOOKUP($A88,'S49'!$C:$BQ,39,0)</f>
        <v>#N/A</v>
      </c>
      <c r="AW88" s="107" t="e">
        <f>VLOOKUP($A88,'S49'!$C:$BQ,40,0)</f>
        <v>#N/A</v>
      </c>
      <c r="AX88" s="107" t="e">
        <f>VLOOKUP($A88,'S49'!$C:$BQ,22,0)</f>
        <v>#N/A</v>
      </c>
      <c r="AY88" s="115" t="e">
        <f>VLOOKUP($A88,'S49'!$C:$BQ,29,0)</f>
        <v>#N/A</v>
      </c>
      <c r="AZ88" s="115" t="e">
        <f>VLOOKUP($A88,'S49'!$C:$BQ,30,0)</f>
        <v>#N/A</v>
      </c>
      <c r="BA88" s="115" t="e">
        <f>VLOOKUP($A88,'S49'!$C:$BQ,52,0)</f>
        <v>#N/A</v>
      </c>
      <c r="BB88" s="115" t="e">
        <f>VLOOKUP($A88,'S49'!$C:$BQ,59,0)</f>
        <v>#N/A</v>
      </c>
      <c r="BC88" s="115" t="e">
        <f>VLOOKUP($A88,'S49'!$C:$BQ,60,0)</f>
        <v>#N/A</v>
      </c>
      <c r="BD88" s="107" t="e">
        <f>VLOOKUP($A88,'S50'!$C:$BQ,32,0)</f>
        <v>#N/A</v>
      </c>
      <c r="BE88" s="107" t="e">
        <f>VLOOKUP($A88,'S50'!$C:$BQ,39,0)</f>
        <v>#N/A</v>
      </c>
      <c r="BF88" s="107" t="e">
        <f>VLOOKUP($A88,'S50'!$C:$BQ,40,0)</f>
        <v>#N/A</v>
      </c>
      <c r="BG88" s="107" t="e">
        <f>VLOOKUP($A88,'S50'!$C:$BQ,22,0)</f>
        <v>#N/A</v>
      </c>
      <c r="BH88" s="115" t="e">
        <f>VLOOKUP($A88,'S50'!$C:$BQ,29,0)</f>
        <v>#N/A</v>
      </c>
      <c r="BI88" s="115" t="e">
        <f>VLOOKUP($A88,'S50'!$C:$BQ,30,0)</f>
        <v>#N/A</v>
      </c>
      <c r="BJ88" s="115" t="e">
        <f>VLOOKUP($A88,'S50'!$C:$BQ,52,0)</f>
        <v>#N/A</v>
      </c>
      <c r="BK88" s="115" t="e">
        <f>VLOOKUP($A88,'S50'!$C:$BQ,59,0)</f>
        <v>#N/A</v>
      </c>
      <c r="BL88" s="115" t="e">
        <f>VLOOKUP($A88,'S50'!$C:$BQ,60,0)</f>
        <v>#N/A</v>
      </c>
    </row>
    <row r="89" spans="1:64" x14ac:dyDescent="0.2">
      <c r="A89" s="106" t="s">
        <v>149</v>
      </c>
      <c r="B89" s="107">
        <f>VLOOKUP($A89,'S0 remplacer avec S44'!$C:$BQ,32,0)</f>
        <v>195.8</v>
      </c>
      <c r="C89" s="107">
        <f>VLOOKUP($A89,'S0 remplacer avec S44'!$C:$BQ,39,0)</f>
        <v>9</v>
      </c>
      <c r="D89" s="107">
        <f>VLOOKUP($A89,'S0 remplacer avec S44'!$C:$BQ,40,0)</f>
        <v>50</v>
      </c>
      <c r="E89" s="107">
        <f>VLOOKUP($A89,'S0 remplacer avec S44'!$C:$BQ,22,0)</f>
        <v>1780.5033900000001</v>
      </c>
      <c r="F89" s="115">
        <f>VLOOKUP($A89,'S0 remplacer avec S44'!$C:$BQ,29,0)</f>
        <v>80</v>
      </c>
      <c r="G89" s="115">
        <f>VLOOKUP($A89,'S0 remplacer avec S44'!$C:$BQ,30,0)</f>
        <v>452</v>
      </c>
      <c r="H89" s="115">
        <f>VLOOKUP($A89,'S0 remplacer avec S44'!$C:$BQ,52,0)</f>
        <v>142.6</v>
      </c>
      <c r="I89" s="115">
        <f>VLOOKUP($A89,'S0 remplacer avec S44'!$C:$BQ,59,0)</f>
        <v>0</v>
      </c>
      <c r="J89" s="115">
        <f>VLOOKUP($A89,'S0 remplacer avec S44'!$C:$BQ,60,0)</f>
        <v>0</v>
      </c>
      <c r="K89" s="107" t="e">
        <f>VLOOKUP($A89,'S45'!$C:$BQ,32,0)</f>
        <v>#N/A</v>
      </c>
      <c r="L89" s="107" t="e">
        <f>VLOOKUP($A89,'S45'!$C:$BQ,39,0)</f>
        <v>#N/A</v>
      </c>
      <c r="M89" s="107" t="e">
        <f>VLOOKUP($A89,'S45'!$C:$BQ,40,0)</f>
        <v>#N/A</v>
      </c>
      <c r="N89" s="107" t="e">
        <f>VLOOKUP($A89,'S45'!$C:$BQ,22,0)</f>
        <v>#N/A</v>
      </c>
      <c r="O89" s="115" t="e">
        <f>VLOOKUP($A89,'S45'!$C:$BQ,29,0)</f>
        <v>#N/A</v>
      </c>
      <c r="P89" s="115" t="e">
        <f>VLOOKUP($A89,'S45'!$C:$BQ,30,0)</f>
        <v>#N/A</v>
      </c>
      <c r="Q89" s="115" t="e">
        <f>VLOOKUP($A89,'S45'!$C:$BQ,52,0)</f>
        <v>#N/A</v>
      </c>
      <c r="R89" s="115" t="e">
        <f>VLOOKUP($A89,'S45'!$C:$BQ,59,0)</f>
        <v>#N/A</v>
      </c>
      <c r="S89" s="115" t="e">
        <f>VLOOKUP($A89,'S45'!$C:$BQ,60,0)</f>
        <v>#N/A</v>
      </c>
      <c r="T89" s="107" t="e">
        <f>VLOOKUP($A89,'S46'!$C:$BQ,32,0)</f>
        <v>#N/A</v>
      </c>
      <c r="U89" s="107" t="e">
        <f>VLOOKUP($A89,'S46'!$C:$BQ,39,0)</f>
        <v>#N/A</v>
      </c>
      <c r="V89" s="107" t="e">
        <f>VLOOKUP($A89,'S46'!$C:$BQ,40,0)</f>
        <v>#N/A</v>
      </c>
      <c r="W89" s="107" t="e">
        <f>VLOOKUP($A89,'S46'!$C:$BQ,22,0)</f>
        <v>#N/A</v>
      </c>
      <c r="X89" s="115" t="e">
        <f>VLOOKUP($A89,'S46'!$C:$BQ,29,0)</f>
        <v>#N/A</v>
      </c>
      <c r="Y89" s="115" t="e">
        <f>VLOOKUP($A89,'S46'!$C:$BQ,30,0)</f>
        <v>#N/A</v>
      </c>
      <c r="Z89" s="115" t="e">
        <f>VLOOKUP($A89,'S46'!$C:$BQ,52,0)</f>
        <v>#N/A</v>
      </c>
      <c r="AA89" s="115" t="e">
        <f>VLOOKUP($A89,'S46'!$C:$BQ,59,0)</f>
        <v>#N/A</v>
      </c>
      <c r="AB89" s="115" t="e">
        <f>VLOOKUP($A89,'S46'!$C:$BQ,60,0)</f>
        <v>#N/A</v>
      </c>
      <c r="AC89" s="107" t="e">
        <f>VLOOKUP($A89,'S47'!$C:$BQ,32,0)</f>
        <v>#N/A</v>
      </c>
      <c r="AD89" s="107" t="e">
        <f>VLOOKUP($A89,'S47'!$C:$BQ,39,0)</f>
        <v>#N/A</v>
      </c>
      <c r="AE89" s="107" t="e">
        <f>VLOOKUP($A89,'S47'!$C:$BQ,40,0)</f>
        <v>#N/A</v>
      </c>
      <c r="AF89" s="107" t="e">
        <f>VLOOKUP($A89,'S47'!$C:$BQ,22,0)</f>
        <v>#N/A</v>
      </c>
      <c r="AG89" s="115" t="e">
        <f>VLOOKUP($A89,'S47'!$C:$BQ,29,0)</f>
        <v>#N/A</v>
      </c>
      <c r="AH89" s="115" t="e">
        <f>VLOOKUP($A89,'S47'!$C:$BQ,30,0)</f>
        <v>#N/A</v>
      </c>
      <c r="AI89" s="115" t="e">
        <f>VLOOKUP($A89,'S47'!$C:$BQ,52,0)</f>
        <v>#N/A</v>
      </c>
      <c r="AJ89" s="115" t="e">
        <f>VLOOKUP($A89,'S47'!$C:$BQ,59,0)</f>
        <v>#N/A</v>
      </c>
      <c r="AK89" s="115" t="e">
        <f>VLOOKUP($A89,'S47'!$C:$BQ,60,0)</f>
        <v>#N/A</v>
      </c>
      <c r="AL89" s="107" t="e">
        <f>VLOOKUP($A89,'S48'!$C:$BQ,32,0)</f>
        <v>#N/A</v>
      </c>
      <c r="AM89" s="107" t="e">
        <f>VLOOKUP($A89,'S48'!$C:$BQ,39,0)</f>
        <v>#N/A</v>
      </c>
      <c r="AN89" s="107" t="e">
        <f>VLOOKUP($A89,'S48'!$C:$BQ,40,0)</f>
        <v>#N/A</v>
      </c>
      <c r="AO89" s="107" t="e">
        <f>VLOOKUP($A89,'S48'!$C:$BQ,22,0)</f>
        <v>#N/A</v>
      </c>
      <c r="AP89" s="115" t="e">
        <f>VLOOKUP($A89,'S48'!$C:$BQ,29,0)</f>
        <v>#N/A</v>
      </c>
      <c r="AQ89" s="115" t="e">
        <f>VLOOKUP($A89,'S48'!$C:$BQ,30,0)</f>
        <v>#N/A</v>
      </c>
      <c r="AR89" s="115" t="e">
        <f>VLOOKUP($A89,'S48'!$C:$BQ,52,0)</f>
        <v>#N/A</v>
      </c>
      <c r="AS89" s="115" t="e">
        <f>VLOOKUP($A89,'S48'!$C:$BQ,59,0)</f>
        <v>#N/A</v>
      </c>
      <c r="AT89" s="115" t="e">
        <f>VLOOKUP($A89,'S48'!$C:$BQ,60,0)</f>
        <v>#N/A</v>
      </c>
      <c r="AU89" s="107" t="e">
        <f>VLOOKUP($A89,'S49'!$C:$BQ,32,0)</f>
        <v>#N/A</v>
      </c>
      <c r="AV89" s="107" t="e">
        <f>VLOOKUP($A89,'S49'!$C:$BQ,39,0)</f>
        <v>#N/A</v>
      </c>
      <c r="AW89" s="107" t="e">
        <f>VLOOKUP($A89,'S49'!$C:$BQ,40,0)</f>
        <v>#N/A</v>
      </c>
      <c r="AX89" s="107" t="e">
        <f>VLOOKUP($A89,'S49'!$C:$BQ,22,0)</f>
        <v>#N/A</v>
      </c>
      <c r="AY89" s="115" t="e">
        <f>VLOOKUP($A89,'S49'!$C:$BQ,29,0)</f>
        <v>#N/A</v>
      </c>
      <c r="AZ89" s="115" t="e">
        <f>VLOOKUP($A89,'S49'!$C:$BQ,30,0)</f>
        <v>#N/A</v>
      </c>
      <c r="BA89" s="115" t="e">
        <f>VLOOKUP($A89,'S49'!$C:$BQ,52,0)</f>
        <v>#N/A</v>
      </c>
      <c r="BB89" s="115" t="e">
        <f>VLOOKUP($A89,'S49'!$C:$BQ,59,0)</f>
        <v>#N/A</v>
      </c>
      <c r="BC89" s="115" t="e">
        <f>VLOOKUP($A89,'S49'!$C:$BQ,60,0)</f>
        <v>#N/A</v>
      </c>
      <c r="BD89" s="107" t="e">
        <f>VLOOKUP($A89,'S50'!$C:$BQ,32,0)</f>
        <v>#N/A</v>
      </c>
      <c r="BE89" s="107" t="e">
        <f>VLOOKUP($A89,'S50'!$C:$BQ,39,0)</f>
        <v>#N/A</v>
      </c>
      <c r="BF89" s="107" t="e">
        <f>VLOOKUP($A89,'S50'!$C:$BQ,40,0)</f>
        <v>#N/A</v>
      </c>
      <c r="BG89" s="107" t="e">
        <f>VLOOKUP($A89,'S50'!$C:$BQ,22,0)</f>
        <v>#N/A</v>
      </c>
      <c r="BH89" s="115" t="e">
        <f>VLOOKUP($A89,'S50'!$C:$BQ,29,0)</f>
        <v>#N/A</v>
      </c>
      <c r="BI89" s="115" t="e">
        <f>VLOOKUP($A89,'S50'!$C:$BQ,30,0)</f>
        <v>#N/A</v>
      </c>
      <c r="BJ89" s="115" t="e">
        <f>VLOOKUP($A89,'S50'!$C:$BQ,52,0)</f>
        <v>#N/A</v>
      </c>
      <c r="BK89" s="115" t="e">
        <f>VLOOKUP($A89,'S50'!$C:$BQ,59,0)</f>
        <v>#N/A</v>
      </c>
      <c r="BL89" s="115" t="e">
        <f>VLOOKUP($A89,'S50'!$C:$BQ,60,0)</f>
        <v>#N/A</v>
      </c>
    </row>
    <row r="90" spans="1:64" x14ac:dyDescent="0.2">
      <c r="A90" s="106" t="s">
        <v>150</v>
      </c>
      <c r="B90" s="107">
        <f>VLOOKUP($A90,'S0 remplacer avec S44'!$C:$BQ,32,0)</f>
        <v>320.60000000000002</v>
      </c>
      <c r="C90" s="107">
        <f>VLOOKUP($A90,'S0 remplacer avec S44'!$C:$BQ,39,0)</f>
        <v>56</v>
      </c>
      <c r="D90" s="107">
        <f>VLOOKUP($A90,'S0 remplacer avec S44'!$C:$BQ,40,0)</f>
        <v>132</v>
      </c>
      <c r="E90" s="107">
        <f>VLOOKUP($A90,'S0 remplacer avec S44'!$C:$BQ,22,0)</f>
        <v>2211.465655</v>
      </c>
      <c r="F90" s="115">
        <f>VLOOKUP($A90,'S0 remplacer avec S44'!$C:$BQ,29,0)</f>
        <v>1212</v>
      </c>
      <c r="G90" s="115">
        <f>VLOOKUP($A90,'S0 remplacer avec S44'!$C:$BQ,30,0)</f>
        <v>1896</v>
      </c>
      <c r="H90" s="115">
        <f>VLOOKUP($A90,'S0 remplacer avec S44'!$C:$BQ,52,0)</f>
        <v>143.19999999999999</v>
      </c>
      <c r="I90" s="115">
        <f>VLOOKUP($A90,'S0 remplacer avec S44'!$C:$BQ,59,0)</f>
        <v>48</v>
      </c>
      <c r="J90" s="115">
        <f>VLOOKUP($A90,'S0 remplacer avec S44'!$C:$BQ,60,0)</f>
        <v>87</v>
      </c>
      <c r="K90" s="107" t="e">
        <f>VLOOKUP($A90,'S45'!$C:$BQ,32,0)</f>
        <v>#N/A</v>
      </c>
      <c r="L90" s="107" t="e">
        <f>VLOOKUP($A90,'S45'!$C:$BQ,39,0)</f>
        <v>#N/A</v>
      </c>
      <c r="M90" s="107" t="e">
        <f>VLOOKUP($A90,'S45'!$C:$BQ,40,0)</f>
        <v>#N/A</v>
      </c>
      <c r="N90" s="107" t="e">
        <f>VLOOKUP($A90,'S45'!$C:$BQ,22,0)</f>
        <v>#N/A</v>
      </c>
      <c r="O90" s="115" t="e">
        <f>VLOOKUP($A90,'S45'!$C:$BQ,29,0)</f>
        <v>#N/A</v>
      </c>
      <c r="P90" s="115" t="e">
        <f>VLOOKUP($A90,'S45'!$C:$BQ,30,0)</f>
        <v>#N/A</v>
      </c>
      <c r="Q90" s="115" t="e">
        <f>VLOOKUP($A90,'S45'!$C:$BQ,52,0)</f>
        <v>#N/A</v>
      </c>
      <c r="R90" s="115" t="e">
        <f>VLOOKUP($A90,'S45'!$C:$BQ,59,0)</f>
        <v>#N/A</v>
      </c>
      <c r="S90" s="115" t="e">
        <f>VLOOKUP($A90,'S45'!$C:$BQ,60,0)</f>
        <v>#N/A</v>
      </c>
      <c r="T90" s="107" t="e">
        <f>VLOOKUP($A90,'S46'!$C:$BQ,32,0)</f>
        <v>#N/A</v>
      </c>
      <c r="U90" s="107" t="e">
        <f>VLOOKUP($A90,'S46'!$C:$BQ,39,0)</f>
        <v>#N/A</v>
      </c>
      <c r="V90" s="107" t="e">
        <f>VLOOKUP($A90,'S46'!$C:$BQ,40,0)</f>
        <v>#N/A</v>
      </c>
      <c r="W90" s="107" t="e">
        <f>VLOOKUP($A90,'S46'!$C:$BQ,22,0)</f>
        <v>#N/A</v>
      </c>
      <c r="X90" s="115" t="e">
        <f>VLOOKUP($A90,'S46'!$C:$BQ,29,0)</f>
        <v>#N/A</v>
      </c>
      <c r="Y90" s="115" t="e">
        <f>VLOOKUP($A90,'S46'!$C:$BQ,30,0)</f>
        <v>#N/A</v>
      </c>
      <c r="Z90" s="115" t="e">
        <f>VLOOKUP($A90,'S46'!$C:$BQ,52,0)</f>
        <v>#N/A</v>
      </c>
      <c r="AA90" s="115" t="e">
        <f>VLOOKUP($A90,'S46'!$C:$BQ,59,0)</f>
        <v>#N/A</v>
      </c>
      <c r="AB90" s="115" t="e">
        <f>VLOOKUP($A90,'S46'!$C:$BQ,60,0)</f>
        <v>#N/A</v>
      </c>
      <c r="AC90" s="107" t="e">
        <f>VLOOKUP($A90,'S47'!$C:$BQ,32,0)</f>
        <v>#N/A</v>
      </c>
      <c r="AD90" s="107" t="e">
        <f>VLOOKUP($A90,'S47'!$C:$BQ,39,0)</f>
        <v>#N/A</v>
      </c>
      <c r="AE90" s="107" t="e">
        <f>VLOOKUP($A90,'S47'!$C:$BQ,40,0)</f>
        <v>#N/A</v>
      </c>
      <c r="AF90" s="107" t="e">
        <f>VLOOKUP($A90,'S47'!$C:$BQ,22,0)</f>
        <v>#N/A</v>
      </c>
      <c r="AG90" s="115" t="e">
        <f>VLOOKUP($A90,'S47'!$C:$BQ,29,0)</f>
        <v>#N/A</v>
      </c>
      <c r="AH90" s="115" t="e">
        <f>VLOOKUP($A90,'S47'!$C:$BQ,30,0)</f>
        <v>#N/A</v>
      </c>
      <c r="AI90" s="115" t="e">
        <f>VLOOKUP($A90,'S47'!$C:$BQ,52,0)</f>
        <v>#N/A</v>
      </c>
      <c r="AJ90" s="115" t="e">
        <f>VLOOKUP($A90,'S47'!$C:$BQ,59,0)</f>
        <v>#N/A</v>
      </c>
      <c r="AK90" s="115" t="e">
        <f>VLOOKUP($A90,'S47'!$C:$BQ,60,0)</f>
        <v>#N/A</v>
      </c>
      <c r="AL90" s="107" t="e">
        <f>VLOOKUP($A90,'S48'!$C:$BQ,32,0)</f>
        <v>#N/A</v>
      </c>
      <c r="AM90" s="107" t="e">
        <f>VLOOKUP($A90,'S48'!$C:$BQ,39,0)</f>
        <v>#N/A</v>
      </c>
      <c r="AN90" s="107" t="e">
        <f>VLOOKUP($A90,'S48'!$C:$BQ,40,0)</f>
        <v>#N/A</v>
      </c>
      <c r="AO90" s="107" t="e">
        <f>VLOOKUP($A90,'S48'!$C:$BQ,22,0)</f>
        <v>#N/A</v>
      </c>
      <c r="AP90" s="115" t="e">
        <f>VLOOKUP($A90,'S48'!$C:$BQ,29,0)</f>
        <v>#N/A</v>
      </c>
      <c r="AQ90" s="115" t="e">
        <f>VLOOKUP($A90,'S48'!$C:$BQ,30,0)</f>
        <v>#N/A</v>
      </c>
      <c r="AR90" s="115" t="e">
        <f>VLOOKUP($A90,'S48'!$C:$BQ,52,0)</f>
        <v>#N/A</v>
      </c>
      <c r="AS90" s="115" t="e">
        <f>VLOOKUP($A90,'S48'!$C:$BQ,59,0)</f>
        <v>#N/A</v>
      </c>
      <c r="AT90" s="115" t="e">
        <f>VLOOKUP($A90,'S48'!$C:$BQ,60,0)</f>
        <v>#N/A</v>
      </c>
      <c r="AU90" s="107" t="e">
        <f>VLOOKUP($A90,'S49'!$C:$BQ,32,0)</f>
        <v>#N/A</v>
      </c>
      <c r="AV90" s="107" t="e">
        <f>VLOOKUP($A90,'S49'!$C:$BQ,39,0)</f>
        <v>#N/A</v>
      </c>
      <c r="AW90" s="107" t="e">
        <f>VLOOKUP($A90,'S49'!$C:$BQ,40,0)</f>
        <v>#N/A</v>
      </c>
      <c r="AX90" s="107" t="e">
        <f>VLOOKUP($A90,'S49'!$C:$BQ,22,0)</f>
        <v>#N/A</v>
      </c>
      <c r="AY90" s="115" t="e">
        <f>VLOOKUP($A90,'S49'!$C:$BQ,29,0)</f>
        <v>#N/A</v>
      </c>
      <c r="AZ90" s="115" t="e">
        <f>VLOOKUP($A90,'S49'!$C:$BQ,30,0)</f>
        <v>#N/A</v>
      </c>
      <c r="BA90" s="115" t="e">
        <f>VLOOKUP($A90,'S49'!$C:$BQ,52,0)</f>
        <v>#N/A</v>
      </c>
      <c r="BB90" s="115" t="e">
        <f>VLOOKUP($A90,'S49'!$C:$BQ,59,0)</f>
        <v>#N/A</v>
      </c>
      <c r="BC90" s="115" t="e">
        <f>VLOOKUP($A90,'S49'!$C:$BQ,60,0)</f>
        <v>#N/A</v>
      </c>
      <c r="BD90" s="107" t="e">
        <f>VLOOKUP($A90,'S50'!$C:$BQ,32,0)</f>
        <v>#N/A</v>
      </c>
      <c r="BE90" s="107" t="e">
        <f>VLOOKUP($A90,'S50'!$C:$BQ,39,0)</f>
        <v>#N/A</v>
      </c>
      <c r="BF90" s="107" t="e">
        <f>VLOOKUP($A90,'S50'!$C:$BQ,40,0)</f>
        <v>#N/A</v>
      </c>
      <c r="BG90" s="107" t="e">
        <f>VLOOKUP($A90,'S50'!$C:$BQ,22,0)</f>
        <v>#N/A</v>
      </c>
      <c r="BH90" s="115" t="e">
        <f>VLOOKUP($A90,'S50'!$C:$BQ,29,0)</f>
        <v>#N/A</v>
      </c>
      <c r="BI90" s="115" t="e">
        <f>VLOOKUP($A90,'S50'!$C:$BQ,30,0)</f>
        <v>#N/A</v>
      </c>
      <c r="BJ90" s="115" t="e">
        <f>VLOOKUP($A90,'S50'!$C:$BQ,52,0)</f>
        <v>#N/A</v>
      </c>
      <c r="BK90" s="115" t="e">
        <f>VLOOKUP($A90,'S50'!$C:$BQ,59,0)</f>
        <v>#N/A</v>
      </c>
      <c r="BL90" s="115" t="e">
        <f>VLOOKUP($A90,'S50'!$C:$BQ,60,0)</f>
        <v>#N/A</v>
      </c>
    </row>
    <row r="91" spans="1:64" x14ac:dyDescent="0.2">
      <c r="A91" s="106" t="s">
        <v>151</v>
      </c>
      <c r="B91" s="107">
        <f>VLOOKUP($A91,'S0 remplacer avec S44'!$C:$BQ,32,0)</f>
        <v>302.45</v>
      </c>
      <c r="C91" s="107">
        <f>VLOOKUP($A91,'S0 remplacer avec S44'!$C:$BQ,39,0)</f>
        <v>35</v>
      </c>
      <c r="D91" s="107">
        <f>VLOOKUP($A91,'S0 remplacer avec S44'!$C:$BQ,40,0)</f>
        <v>102</v>
      </c>
      <c r="E91" s="107">
        <f>VLOOKUP($A91,'S0 remplacer avec S44'!$C:$BQ,22,0)</f>
        <v>2406.7459749999998</v>
      </c>
      <c r="F91" s="115">
        <f>VLOOKUP($A91,'S0 remplacer avec S44'!$C:$BQ,29,0)</f>
        <v>658</v>
      </c>
      <c r="G91" s="115">
        <f>VLOOKUP($A91,'S0 remplacer avec S44'!$C:$BQ,30,0)</f>
        <v>1271</v>
      </c>
      <c r="H91" s="115">
        <f>VLOOKUP($A91,'S0 remplacer avec S44'!$C:$BQ,52,0)</f>
        <v>142</v>
      </c>
      <c r="I91" s="115">
        <f>VLOOKUP($A91,'S0 remplacer avec S44'!$C:$BQ,59,0)</f>
        <v>30</v>
      </c>
      <c r="J91" s="115">
        <f>VLOOKUP($A91,'S0 remplacer avec S44'!$C:$BQ,60,0)</f>
        <v>64</v>
      </c>
      <c r="K91" s="107" t="e">
        <f>VLOOKUP($A91,'S45'!$C:$BQ,32,0)</f>
        <v>#N/A</v>
      </c>
      <c r="L91" s="107" t="e">
        <f>VLOOKUP($A91,'S45'!$C:$BQ,39,0)</f>
        <v>#N/A</v>
      </c>
      <c r="M91" s="107" t="e">
        <f>VLOOKUP($A91,'S45'!$C:$BQ,40,0)</f>
        <v>#N/A</v>
      </c>
      <c r="N91" s="107" t="e">
        <f>VLOOKUP($A91,'S45'!$C:$BQ,22,0)</f>
        <v>#N/A</v>
      </c>
      <c r="O91" s="115" t="e">
        <f>VLOOKUP($A91,'S45'!$C:$BQ,29,0)</f>
        <v>#N/A</v>
      </c>
      <c r="P91" s="115" t="e">
        <f>VLOOKUP($A91,'S45'!$C:$BQ,30,0)</f>
        <v>#N/A</v>
      </c>
      <c r="Q91" s="115" t="e">
        <f>VLOOKUP($A91,'S45'!$C:$BQ,52,0)</f>
        <v>#N/A</v>
      </c>
      <c r="R91" s="115" t="e">
        <f>VLOOKUP($A91,'S45'!$C:$BQ,59,0)</f>
        <v>#N/A</v>
      </c>
      <c r="S91" s="115" t="e">
        <f>VLOOKUP($A91,'S45'!$C:$BQ,60,0)</f>
        <v>#N/A</v>
      </c>
      <c r="T91" s="107" t="e">
        <f>VLOOKUP($A91,'S46'!$C:$BQ,32,0)</f>
        <v>#N/A</v>
      </c>
      <c r="U91" s="107" t="e">
        <f>VLOOKUP($A91,'S46'!$C:$BQ,39,0)</f>
        <v>#N/A</v>
      </c>
      <c r="V91" s="107" t="e">
        <f>VLOOKUP($A91,'S46'!$C:$BQ,40,0)</f>
        <v>#N/A</v>
      </c>
      <c r="W91" s="107" t="e">
        <f>VLOOKUP($A91,'S46'!$C:$BQ,22,0)</f>
        <v>#N/A</v>
      </c>
      <c r="X91" s="115" t="e">
        <f>VLOOKUP($A91,'S46'!$C:$BQ,29,0)</f>
        <v>#N/A</v>
      </c>
      <c r="Y91" s="115" t="e">
        <f>VLOOKUP($A91,'S46'!$C:$BQ,30,0)</f>
        <v>#N/A</v>
      </c>
      <c r="Z91" s="115" t="e">
        <f>VLOOKUP($A91,'S46'!$C:$BQ,52,0)</f>
        <v>#N/A</v>
      </c>
      <c r="AA91" s="115" t="e">
        <f>VLOOKUP($A91,'S46'!$C:$BQ,59,0)</f>
        <v>#N/A</v>
      </c>
      <c r="AB91" s="115" t="e">
        <f>VLOOKUP($A91,'S46'!$C:$BQ,60,0)</f>
        <v>#N/A</v>
      </c>
      <c r="AC91" s="107" t="e">
        <f>VLOOKUP($A91,'S47'!$C:$BQ,32,0)</f>
        <v>#N/A</v>
      </c>
      <c r="AD91" s="107" t="e">
        <f>VLOOKUP($A91,'S47'!$C:$BQ,39,0)</f>
        <v>#N/A</v>
      </c>
      <c r="AE91" s="107" t="e">
        <f>VLOOKUP($A91,'S47'!$C:$BQ,40,0)</f>
        <v>#N/A</v>
      </c>
      <c r="AF91" s="107" t="e">
        <f>VLOOKUP($A91,'S47'!$C:$BQ,22,0)</f>
        <v>#N/A</v>
      </c>
      <c r="AG91" s="115" t="e">
        <f>VLOOKUP($A91,'S47'!$C:$BQ,29,0)</f>
        <v>#N/A</v>
      </c>
      <c r="AH91" s="115" t="e">
        <f>VLOOKUP($A91,'S47'!$C:$BQ,30,0)</f>
        <v>#N/A</v>
      </c>
      <c r="AI91" s="115" t="e">
        <f>VLOOKUP($A91,'S47'!$C:$BQ,52,0)</f>
        <v>#N/A</v>
      </c>
      <c r="AJ91" s="115" t="e">
        <f>VLOOKUP($A91,'S47'!$C:$BQ,59,0)</f>
        <v>#N/A</v>
      </c>
      <c r="AK91" s="115" t="e">
        <f>VLOOKUP($A91,'S47'!$C:$BQ,60,0)</f>
        <v>#N/A</v>
      </c>
      <c r="AL91" s="107" t="e">
        <f>VLOOKUP($A91,'S48'!$C:$BQ,32,0)</f>
        <v>#N/A</v>
      </c>
      <c r="AM91" s="107" t="e">
        <f>VLOOKUP($A91,'S48'!$C:$BQ,39,0)</f>
        <v>#N/A</v>
      </c>
      <c r="AN91" s="107" t="e">
        <f>VLOOKUP($A91,'S48'!$C:$BQ,40,0)</f>
        <v>#N/A</v>
      </c>
      <c r="AO91" s="107" t="e">
        <f>VLOOKUP($A91,'S48'!$C:$BQ,22,0)</f>
        <v>#N/A</v>
      </c>
      <c r="AP91" s="115" t="e">
        <f>VLOOKUP($A91,'S48'!$C:$BQ,29,0)</f>
        <v>#N/A</v>
      </c>
      <c r="AQ91" s="115" t="e">
        <f>VLOOKUP($A91,'S48'!$C:$BQ,30,0)</f>
        <v>#N/A</v>
      </c>
      <c r="AR91" s="115" t="e">
        <f>VLOOKUP($A91,'S48'!$C:$BQ,52,0)</f>
        <v>#N/A</v>
      </c>
      <c r="AS91" s="115" t="e">
        <f>VLOOKUP($A91,'S48'!$C:$BQ,59,0)</f>
        <v>#N/A</v>
      </c>
      <c r="AT91" s="115" t="e">
        <f>VLOOKUP($A91,'S48'!$C:$BQ,60,0)</f>
        <v>#N/A</v>
      </c>
      <c r="AU91" s="107" t="e">
        <f>VLOOKUP($A91,'S49'!$C:$BQ,32,0)</f>
        <v>#N/A</v>
      </c>
      <c r="AV91" s="107" t="e">
        <f>VLOOKUP($A91,'S49'!$C:$BQ,39,0)</f>
        <v>#N/A</v>
      </c>
      <c r="AW91" s="107" t="e">
        <f>VLOOKUP($A91,'S49'!$C:$BQ,40,0)</f>
        <v>#N/A</v>
      </c>
      <c r="AX91" s="107" t="e">
        <f>VLOOKUP($A91,'S49'!$C:$BQ,22,0)</f>
        <v>#N/A</v>
      </c>
      <c r="AY91" s="115" t="e">
        <f>VLOOKUP($A91,'S49'!$C:$BQ,29,0)</f>
        <v>#N/A</v>
      </c>
      <c r="AZ91" s="115" t="e">
        <f>VLOOKUP($A91,'S49'!$C:$BQ,30,0)</f>
        <v>#N/A</v>
      </c>
      <c r="BA91" s="115" t="e">
        <f>VLOOKUP($A91,'S49'!$C:$BQ,52,0)</f>
        <v>#N/A</v>
      </c>
      <c r="BB91" s="115" t="e">
        <f>VLOOKUP($A91,'S49'!$C:$BQ,59,0)</f>
        <v>#N/A</v>
      </c>
      <c r="BC91" s="115" t="e">
        <f>VLOOKUP($A91,'S49'!$C:$BQ,60,0)</f>
        <v>#N/A</v>
      </c>
      <c r="BD91" s="107" t="e">
        <f>VLOOKUP($A91,'S50'!$C:$BQ,32,0)</f>
        <v>#N/A</v>
      </c>
      <c r="BE91" s="107" t="e">
        <f>VLOOKUP($A91,'S50'!$C:$BQ,39,0)</f>
        <v>#N/A</v>
      </c>
      <c r="BF91" s="107" t="e">
        <f>VLOOKUP($A91,'S50'!$C:$BQ,40,0)</f>
        <v>#N/A</v>
      </c>
      <c r="BG91" s="107" t="e">
        <f>VLOOKUP($A91,'S50'!$C:$BQ,22,0)</f>
        <v>#N/A</v>
      </c>
      <c r="BH91" s="115" t="e">
        <f>VLOOKUP($A91,'S50'!$C:$BQ,29,0)</f>
        <v>#N/A</v>
      </c>
      <c r="BI91" s="115" t="e">
        <f>VLOOKUP($A91,'S50'!$C:$BQ,30,0)</f>
        <v>#N/A</v>
      </c>
      <c r="BJ91" s="115" t="e">
        <f>VLOOKUP($A91,'S50'!$C:$BQ,52,0)</f>
        <v>#N/A</v>
      </c>
      <c r="BK91" s="115" t="e">
        <f>VLOOKUP($A91,'S50'!$C:$BQ,59,0)</f>
        <v>#N/A</v>
      </c>
      <c r="BL91" s="115" t="e">
        <f>VLOOKUP($A91,'S50'!$C:$BQ,60,0)</f>
        <v>#N/A</v>
      </c>
    </row>
    <row r="92" spans="1:64" x14ac:dyDescent="0.2">
      <c r="A92" s="106" t="s">
        <v>152</v>
      </c>
      <c r="B92" s="107">
        <f>VLOOKUP($A92,'S0 remplacer avec S44'!$C:$BQ,32,0)</f>
        <v>100.7</v>
      </c>
      <c r="C92" s="107">
        <f>VLOOKUP($A92,'S0 remplacer avec S44'!$C:$BQ,39,0)</f>
        <v>17</v>
      </c>
      <c r="D92" s="107">
        <f>VLOOKUP($A92,'S0 remplacer avec S44'!$C:$BQ,40,0)</f>
        <v>40</v>
      </c>
      <c r="E92" s="107">
        <f>VLOOKUP($A92,'S0 remplacer avec S44'!$C:$BQ,22,0)</f>
        <v>1074.056</v>
      </c>
      <c r="F92" s="115">
        <f>VLOOKUP($A92,'S0 remplacer avec S44'!$C:$BQ,29,0)</f>
        <v>0</v>
      </c>
      <c r="G92" s="115">
        <f>VLOOKUP($A92,'S0 remplacer avec S44'!$C:$BQ,30,0)</f>
        <v>204</v>
      </c>
      <c r="H92" s="115">
        <f>VLOOKUP($A92,'S0 remplacer avec S44'!$C:$BQ,52,0)</f>
        <v>93</v>
      </c>
      <c r="I92" s="115">
        <f>VLOOKUP($A92,'S0 remplacer avec S44'!$C:$BQ,59,0)</f>
        <v>0</v>
      </c>
      <c r="J92" s="115">
        <f>VLOOKUP($A92,'S0 remplacer avec S44'!$C:$BQ,60,0)</f>
        <v>0</v>
      </c>
      <c r="K92" s="107" t="e">
        <f>VLOOKUP($A92,'S45'!$C:$BQ,32,0)</f>
        <v>#N/A</v>
      </c>
      <c r="L92" s="107" t="e">
        <f>VLOOKUP($A92,'S45'!$C:$BQ,39,0)</f>
        <v>#N/A</v>
      </c>
      <c r="M92" s="107" t="e">
        <f>VLOOKUP($A92,'S45'!$C:$BQ,40,0)</f>
        <v>#N/A</v>
      </c>
      <c r="N92" s="107" t="e">
        <f>VLOOKUP($A92,'S45'!$C:$BQ,22,0)</f>
        <v>#N/A</v>
      </c>
      <c r="O92" s="115" t="e">
        <f>VLOOKUP($A92,'S45'!$C:$BQ,29,0)</f>
        <v>#N/A</v>
      </c>
      <c r="P92" s="115" t="e">
        <f>VLOOKUP($A92,'S45'!$C:$BQ,30,0)</f>
        <v>#N/A</v>
      </c>
      <c r="Q92" s="115" t="e">
        <f>VLOOKUP($A92,'S45'!$C:$BQ,52,0)</f>
        <v>#N/A</v>
      </c>
      <c r="R92" s="115" t="e">
        <f>VLOOKUP($A92,'S45'!$C:$BQ,59,0)</f>
        <v>#N/A</v>
      </c>
      <c r="S92" s="115" t="e">
        <f>VLOOKUP($A92,'S45'!$C:$BQ,60,0)</f>
        <v>#N/A</v>
      </c>
      <c r="T92" s="107" t="e">
        <f>VLOOKUP($A92,'S46'!$C:$BQ,32,0)</f>
        <v>#N/A</v>
      </c>
      <c r="U92" s="107" t="e">
        <f>VLOOKUP($A92,'S46'!$C:$BQ,39,0)</f>
        <v>#N/A</v>
      </c>
      <c r="V92" s="107" t="e">
        <f>VLOOKUP($A92,'S46'!$C:$BQ,40,0)</f>
        <v>#N/A</v>
      </c>
      <c r="W92" s="107" t="e">
        <f>VLOOKUP($A92,'S46'!$C:$BQ,22,0)</f>
        <v>#N/A</v>
      </c>
      <c r="X92" s="115" t="e">
        <f>VLOOKUP($A92,'S46'!$C:$BQ,29,0)</f>
        <v>#N/A</v>
      </c>
      <c r="Y92" s="115" t="e">
        <f>VLOOKUP($A92,'S46'!$C:$BQ,30,0)</f>
        <v>#N/A</v>
      </c>
      <c r="Z92" s="115" t="e">
        <f>VLOOKUP($A92,'S46'!$C:$BQ,52,0)</f>
        <v>#N/A</v>
      </c>
      <c r="AA92" s="115" t="e">
        <f>VLOOKUP($A92,'S46'!$C:$BQ,59,0)</f>
        <v>#N/A</v>
      </c>
      <c r="AB92" s="115" t="e">
        <f>VLOOKUP($A92,'S46'!$C:$BQ,60,0)</f>
        <v>#N/A</v>
      </c>
      <c r="AC92" s="107" t="e">
        <f>VLOOKUP($A92,'S47'!$C:$BQ,32,0)</f>
        <v>#N/A</v>
      </c>
      <c r="AD92" s="107" t="e">
        <f>VLOOKUP($A92,'S47'!$C:$BQ,39,0)</f>
        <v>#N/A</v>
      </c>
      <c r="AE92" s="107" t="e">
        <f>VLOOKUP($A92,'S47'!$C:$BQ,40,0)</f>
        <v>#N/A</v>
      </c>
      <c r="AF92" s="107" t="e">
        <f>VLOOKUP($A92,'S47'!$C:$BQ,22,0)</f>
        <v>#N/A</v>
      </c>
      <c r="AG92" s="115" t="e">
        <f>VLOOKUP($A92,'S47'!$C:$BQ,29,0)</f>
        <v>#N/A</v>
      </c>
      <c r="AH92" s="115" t="e">
        <f>VLOOKUP($A92,'S47'!$C:$BQ,30,0)</f>
        <v>#N/A</v>
      </c>
      <c r="AI92" s="115" t="e">
        <f>VLOOKUP($A92,'S47'!$C:$BQ,52,0)</f>
        <v>#N/A</v>
      </c>
      <c r="AJ92" s="115" t="e">
        <f>VLOOKUP($A92,'S47'!$C:$BQ,59,0)</f>
        <v>#N/A</v>
      </c>
      <c r="AK92" s="115" t="e">
        <f>VLOOKUP($A92,'S47'!$C:$BQ,60,0)</f>
        <v>#N/A</v>
      </c>
      <c r="AL92" s="107" t="e">
        <f>VLOOKUP($A92,'S48'!$C:$BQ,32,0)</f>
        <v>#N/A</v>
      </c>
      <c r="AM92" s="107" t="e">
        <f>VLOOKUP($A92,'S48'!$C:$BQ,39,0)</f>
        <v>#N/A</v>
      </c>
      <c r="AN92" s="107" t="e">
        <f>VLOOKUP($A92,'S48'!$C:$BQ,40,0)</f>
        <v>#N/A</v>
      </c>
      <c r="AO92" s="107" t="e">
        <f>VLOOKUP($A92,'S48'!$C:$BQ,22,0)</f>
        <v>#N/A</v>
      </c>
      <c r="AP92" s="115" t="e">
        <f>VLOOKUP($A92,'S48'!$C:$BQ,29,0)</f>
        <v>#N/A</v>
      </c>
      <c r="AQ92" s="115" t="e">
        <f>VLOOKUP($A92,'S48'!$C:$BQ,30,0)</f>
        <v>#N/A</v>
      </c>
      <c r="AR92" s="115" t="e">
        <f>VLOOKUP($A92,'S48'!$C:$BQ,52,0)</f>
        <v>#N/A</v>
      </c>
      <c r="AS92" s="115" t="e">
        <f>VLOOKUP($A92,'S48'!$C:$BQ,59,0)</f>
        <v>#N/A</v>
      </c>
      <c r="AT92" s="115" t="e">
        <f>VLOOKUP($A92,'S48'!$C:$BQ,60,0)</f>
        <v>#N/A</v>
      </c>
      <c r="AU92" s="107" t="e">
        <f>VLOOKUP($A92,'S49'!$C:$BQ,32,0)</f>
        <v>#N/A</v>
      </c>
      <c r="AV92" s="107" t="e">
        <f>VLOOKUP($A92,'S49'!$C:$BQ,39,0)</f>
        <v>#N/A</v>
      </c>
      <c r="AW92" s="107" t="e">
        <f>VLOOKUP($A92,'S49'!$C:$BQ,40,0)</f>
        <v>#N/A</v>
      </c>
      <c r="AX92" s="107" t="e">
        <f>VLOOKUP($A92,'S49'!$C:$BQ,22,0)</f>
        <v>#N/A</v>
      </c>
      <c r="AY92" s="115" t="e">
        <f>VLOOKUP($A92,'S49'!$C:$BQ,29,0)</f>
        <v>#N/A</v>
      </c>
      <c r="AZ92" s="115" t="e">
        <f>VLOOKUP($A92,'S49'!$C:$BQ,30,0)</f>
        <v>#N/A</v>
      </c>
      <c r="BA92" s="115" t="e">
        <f>VLOOKUP($A92,'S49'!$C:$BQ,52,0)</f>
        <v>#N/A</v>
      </c>
      <c r="BB92" s="115" t="e">
        <f>VLOOKUP($A92,'S49'!$C:$BQ,59,0)</f>
        <v>#N/A</v>
      </c>
      <c r="BC92" s="115" t="e">
        <f>VLOOKUP($A92,'S49'!$C:$BQ,60,0)</f>
        <v>#N/A</v>
      </c>
      <c r="BD92" s="107" t="e">
        <f>VLOOKUP($A92,'S50'!$C:$BQ,32,0)</f>
        <v>#N/A</v>
      </c>
      <c r="BE92" s="107" t="e">
        <f>VLOOKUP($A92,'S50'!$C:$BQ,39,0)</f>
        <v>#N/A</v>
      </c>
      <c r="BF92" s="107" t="e">
        <f>VLOOKUP($A92,'S50'!$C:$BQ,40,0)</f>
        <v>#N/A</v>
      </c>
      <c r="BG92" s="107" t="e">
        <f>VLOOKUP($A92,'S50'!$C:$BQ,22,0)</f>
        <v>#N/A</v>
      </c>
      <c r="BH92" s="115" t="e">
        <f>VLOOKUP($A92,'S50'!$C:$BQ,29,0)</f>
        <v>#N/A</v>
      </c>
      <c r="BI92" s="115" t="e">
        <f>VLOOKUP($A92,'S50'!$C:$BQ,30,0)</f>
        <v>#N/A</v>
      </c>
      <c r="BJ92" s="115" t="e">
        <f>VLOOKUP($A92,'S50'!$C:$BQ,52,0)</f>
        <v>#N/A</v>
      </c>
      <c r="BK92" s="115" t="e">
        <f>VLOOKUP($A92,'S50'!$C:$BQ,59,0)</f>
        <v>#N/A</v>
      </c>
      <c r="BL92" s="115" t="e">
        <f>VLOOKUP($A92,'S50'!$C:$BQ,60,0)</f>
        <v>#N/A</v>
      </c>
    </row>
    <row r="93" spans="1:64" x14ac:dyDescent="0.2">
      <c r="A93" s="106" t="s">
        <v>153</v>
      </c>
      <c r="B93" s="107">
        <f>VLOOKUP($A93,'S0 remplacer avec S44'!$C:$BQ,32,0)</f>
        <v>212.75</v>
      </c>
      <c r="C93" s="107">
        <f>VLOOKUP($A93,'S0 remplacer avec S44'!$C:$BQ,39,0)</f>
        <v>0</v>
      </c>
      <c r="D93" s="107">
        <f>VLOOKUP($A93,'S0 remplacer avec S44'!$C:$BQ,40,0)</f>
        <v>38</v>
      </c>
      <c r="E93" s="107">
        <f>VLOOKUP($A93,'S0 remplacer avec S44'!$C:$BQ,22,0)</f>
        <v>2022.3403000000001</v>
      </c>
      <c r="F93" s="115">
        <f>VLOOKUP($A93,'S0 remplacer avec S44'!$C:$BQ,29,0)</f>
        <v>0</v>
      </c>
      <c r="G93" s="115">
        <f>VLOOKUP($A93,'S0 remplacer avec S44'!$C:$BQ,30,0)</f>
        <v>252</v>
      </c>
      <c r="H93" s="115">
        <f>VLOOKUP($A93,'S0 remplacer avec S44'!$C:$BQ,52,0)</f>
        <v>129.6</v>
      </c>
      <c r="I93" s="115">
        <f>VLOOKUP($A93,'S0 remplacer avec S44'!$C:$BQ,59,0)</f>
        <v>0</v>
      </c>
      <c r="J93" s="115">
        <f>VLOOKUP($A93,'S0 remplacer avec S44'!$C:$BQ,60,0)</f>
        <v>0</v>
      </c>
      <c r="K93" s="107" t="e">
        <f>VLOOKUP($A93,'S45'!$C:$BQ,32,0)</f>
        <v>#N/A</v>
      </c>
      <c r="L93" s="107" t="e">
        <f>VLOOKUP($A93,'S45'!$C:$BQ,39,0)</f>
        <v>#N/A</v>
      </c>
      <c r="M93" s="107" t="e">
        <f>VLOOKUP($A93,'S45'!$C:$BQ,40,0)</f>
        <v>#N/A</v>
      </c>
      <c r="N93" s="107" t="e">
        <f>VLOOKUP($A93,'S45'!$C:$BQ,22,0)</f>
        <v>#N/A</v>
      </c>
      <c r="O93" s="115" t="e">
        <f>VLOOKUP($A93,'S45'!$C:$BQ,29,0)</f>
        <v>#N/A</v>
      </c>
      <c r="P93" s="115" t="e">
        <f>VLOOKUP($A93,'S45'!$C:$BQ,30,0)</f>
        <v>#N/A</v>
      </c>
      <c r="Q93" s="115" t="e">
        <f>VLOOKUP($A93,'S45'!$C:$BQ,52,0)</f>
        <v>#N/A</v>
      </c>
      <c r="R93" s="115" t="e">
        <f>VLOOKUP($A93,'S45'!$C:$BQ,59,0)</f>
        <v>#N/A</v>
      </c>
      <c r="S93" s="115" t="e">
        <f>VLOOKUP($A93,'S45'!$C:$BQ,60,0)</f>
        <v>#N/A</v>
      </c>
      <c r="T93" s="107" t="e">
        <f>VLOOKUP($A93,'S46'!$C:$BQ,32,0)</f>
        <v>#N/A</v>
      </c>
      <c r="U93" s="107" t="e">
        <f>VLOOKUP($A93,'S46'!$C:$BQ,39,0)</f>
        <v>#N/A</v>
      </c>
      <c r="V93" s="107" t="e">
        <f>VLOOKUP($A93,'S46'!$C:$BQ,40,0)</f>
        <v>#N/A</v>
      </c>
      <c r="W93" s="107" t="e">
        <f>VLOOKUP($A93,'S46'!$C:$BQ,22,0)</f>
        <v>#N/A</v>
      </c>
      <c r="X93" s="115" t="e">
        <f>VLOOKUP($A93,'S46'!$C:$BQ,29,0)</f>
        <v>#N/A</v>
      </c>
      <c r="Y93" s="115" t="e">
        <f>VLOOKUP($A93,'S46'!$C:$BQ,30,0)</f>
        <v>#N/A</v>
      </c>
      <c r="Z93" s="115" t="e">
        <f>VLOOKUP($A93,'S46'!$C:$BQ,52,0)</f>
        <v>#N/A</v>
      </c>
      <c r="AA93" s="115" t="e">
        <f>VLOOKUP($A93,'S46'!$C:$BQ,59,0)</f>
        <v>#N/A</v>
      </c>
      <c r="AB93" s="115" t="e">
        <f>VLOOKUP($A93,'S46'!$C:$BQ,60,0)</f>
        <v>#N/A</v>
      </c>
      <c r="AC93" s="107" t="e">
        <f>VLOOKUP($A93,'S47'!$C:$BQ,32,0)</f>
        <v>#N/A</v>
      </c>
      <c r="AD93" s="107" t="e">
        <f>VLOOKUP($A93,'S47'!$C:$BQ,39,0)</f>
        <v>#N/A</v>
      </c>
      <c r="AE93" s="107" t="e">
        <f>VLOOKUP($A93,'S47'!$C:$BQ,40,0)</f>
        <v>#N/A</v>
      </c>
      <c r="AF93" s="107" t="e">
        <f>VLOOKUP($A93,'S47'!$C:$BQ,22,0)</f>
        <v>#N/A</v>
      </c>
      <c r="AG93" s="115" t="e">
        <f>VLOOKUP($A93,'S47'!$C:$BQ,29,0)</f>
        <v>#N/A</v>
      </c>
      <c r="AH93" s="115" t="e">
        <f>VLOOKUP($A93,'S47'!$C:$BQ,30,0)</f>
        <v>#N/A</v>
      </c>
      <c r="AI93" s="115" t="e">
        <f>VLOOKUP($A93,'S47'!$C:$BQ,52,0)</f>
        <v>#N/A</v>
      </c>
      <c r="AJ93" s="115" t="e">
        <f>VLOOKUP($A93,'S47'!$C:$BQ,59,0)</f>
        <v>#N/A</v>
      </c>
      <c r="AK93" s="115" t="e">
        <f>VLOOKUP($A93,'S47'!$C:$BQ,60,0)</f>
        <v>#N/A</v>
      </c>
      <c r="AL93" s="107" t="e">
        <f>VLOOKUP($A93,'S48'!$C:$BQ,32,0)</f>
        <v>#N/A</v>
      </c>
      <c r="AM93" s="107" t="e">
        <f>VLOOKUP($A93,'S48'!$C:$BQ,39,0)</f>
        <v>#N/A</v>
      </c>
      <c r="AN93" s="107" t="e">
        <f>VLOOKUP($A93,'S48'!$C:$BQ,40,0)</f>
        <v>#N/A</v>
      </c>
      <c r="AO93" s="107" t="e">
        <f>VLOOKUP($A93,'S48'!$C:$BQ,22,0)</f>
        <v>#N/A</v>
      </c>
      <c r="AP93" s="115" t="e">
        <f>VLOOKUP($A93,'S48'!$C:$BQ,29,0)</f>
        <v>#N/A</v>
      </c>
      <c r="AQ93" s="115" t="e">
        <f>VLOOKUP($A93,'S48'!$C:$BQ,30,0)</f>
        <v>#N/A</v>
      </c>
      <c r="AR93" s="115" t="e">
        <f>VLOOKUP($A93,'S48'!$C:$BQ,52,0)</f>
        <v>#N/A</v>
      </c>
      <c r="AS93" s="115" t="e">
        <f>VLOOKUP($A93,'S48'!$C:$BQ,59,0)</f>
        <v>#N/A</v>
      </c>
      <c r="AT93" s="115" t="e">
        <f>VLOOKUP($A93,'S48'!$C:$BQ,60,0)</f>
        <v>#N/A</v>
      </c>
      <c r="AU93" s="107" t="e">
        <f>VLOOKUP($A93,'S49'!$C:$BQ,32,0)</f>
        <v>#N/A</v>
      </c>
      <c r="AV93" s="107" t="e">
        <f>VLOOKUP($A93,'S49'!$C:$BQ,39,0)</f>
        <v>#N/A</v>
      </c>
      <c r="AW93" s="107" t="e">
        <f>VLOOKUP($A93,'S49'!$C:$BQ,40,0)</f>
        <v>#N/A</v>
      </c>
      <c r="AX93" s="107" t="e">
        <f>VLOOKUP($A93,'S49'!$C:$BQ,22,0)</f>
        <v>#N/A</v>
      </c>
      <c r="AY93" s="115" t="e">
        <f>VLOOKUP($A93,'S49'!$C:$BQ,29,0)</f>
        <v>#N/A</v>
      </c>
      <c r="AZ93" s="115" t="e">
        <f>VLOOKUP($A93,'S49'!$C:$BQ,30,0)</f>
        <v>#N/A</v>
      </c>
      <c r="BA93" s="115" t="e">
        <f>VLOOKUP($A93,'S49'!$C:$BQ,52,0)</f>
        <v>#N/A</v>
      </c>
      <c r="BB93" s="115" t="e">
        <f>VLOOKUP($A93,'S49'!$C:$BQ,59,0)</f>
        <v>#N/A</v>
      </c>
      <c r="BC93" s="115" t="e">
        <f>VLOOKUP($A93,'S49'!$C:$BQ,60,0)</f>
        <v>#N/A</v>
      </c>
      <c r="BD93" s="107" t="e">
        <f>VLOOKUP($A93,'S50'!$C:$BQ,32,0)</f>
        <v>#N/A</v>
      </c>
      <c r="BE93" s="107" t="e">
        <f>VLOOKUP($A93,'S50'!$C:$BQ,39,0)</f>
        <v>#N/A</v>
      </c>
      <c r="BF93" s="107" t="e">
        <f>VLOOKUP($A93,'S50'!$C:$BQ,40,0)</f>
        <v>#N/A</v>
      </c>
      <c r="BG93" s="107" t="e">
        <f>VLOOKUP($A93,'S50'!$C:$BQ,22,0)</f>
        <v>#N/A</v>
      </c>
      <c r="BH93" s="115" t="e">
        <f>VLOOKUP($A93,'S50'!$C:$BQ,29,0)</f>
        <v>#N/A</v>
      </c>
      <c r="BI93" s="115" t="e">
        <f>VLOOKUP($A93,'S50'!$C:$BQ,30,0)</f>
        <v>#N/A</v>
      </c>
      <c r="BJ93" s="115" t="e">
        <f>VLOOKUP($A93,'S50'!$C:$BQ,52,0)</f>
        <v>#N/A</v>
      </c>
      <c r="BK93" s="115" t="e">
        <f>VLOOKUP($A93,'S50'!$C:$BQ,59,0)</f>
        <v>#N/A</v>
      </c>
      <c r="BL93" s="115" t="e">
        <f>VLOOKUP($A93,'S50'!$C:$BQ,60,0)</f>
        <v>#N/A</v>
      </c>
    </row>
    <row r="94" spans="1:64" x14ac:dyDescent="0.2">
      <c r="A94" s="106" t="s">
        <v>154</v>
      </c>
      <c r="B94" s="107">
        <f>VLOOKUP($A94,'S0 remplacer avec S44'!$C:$BQ,32,0)</f>
        <v>141.5</v>
      </c>
      <c r="C94" s="107">
        <f>VLOOKUP($A94,'S0 remplacer avec S44'!$C:$BQ,39,0)</f>
        <v>51</v>
      </c>
      <c r="D94" s="107">
        <f>VLOOKUP($A94,'S0 remplacer avec S44'!$C:$BQ,40,0)</f>
        <v>90</v>
      </c>
      <c r="E94" s="107">
        <f>VLOOKUP($A94,'S0 remplacer avec S44'!$C:$BQ,22,0)</f>
        <v>1066.3833299999999</v>
      </c>
      <c r="F94" s="115">
        <f>VLOOKUP($A94,'S0 remplacer avec S44'!$C:$BQ,29,0)</f>
        <v>685</v>
      </c>
      <c r="G94" s="115">
        <f>VLOOKUP($A94,'S0 remplacer avec S44'!$C:$BQ,30,0)</f>
        <v>1035</v>
      </c>
      <c r="H94" s="115">
        <f>VLOOKUP($A94,'S0 remplacer avec S44'!$C:$BQ,52,0)</f>
        <v>91.6</v>
      </c>
      <c r="I94" s="115">
        <f>VLOOKUP($A94,'S0 remplacer avec S44'!$C:$BQ,59,0)</f>
        <v>7</v>
      </c>
      <c r="J94" s="115">
        <f>VLOOKUP($A94,'S0 remplacer avec S44'!$C:$BQ,60,0)</f>
        <v>26</v>
      </c>
      <c r="K94" s="107" t="e">
        <f>VLOOKUP($A94,'S45'!$C:$BQ,32,0)</f>
        <v>#N/A</v>
      </c>
      <c r="L94" s="107" t="e">
        <f>VLOOKUP($A94,'S45'!$C:$BQ,39,0)</f>
        <v>#N/A</v>
      </c>
      <c r="M94" s="107" t="e">
        <f>VLOOKUP($A94,'S45'!$C:$BQ,40,0)</f>
        <v>#N/A</v>
      </c>
      <c r="N94" s="107" t="e">
        <f>VLOOKUP($A94,'S45'!$C:$BQ,22,0)</f>
        <v>#N/A</v>
      </c>
      <c r="O94" s="115" t="e">
        <f>VLOOKUP($A94,'S45'!$C:$BQ,29,0)</f>
        <v>#N/A</v>
      </c>
      <c r="P94" s="115" t="e">
        <f>VLOOKUP($A94,'S45'!$C:$BQ,30,0)</f>
        <v>#N/A</v>
      </c>
      <c r="Q94" s="115" t="e">
        <f>VLOOKUP($A94,'S45'!$C:$BQ,52,0)</f>
        <v>#N/A</v>
      </c>
      <c r="R94" s="115" t="e">
        <f>VLOOKUP($A94,'S45'!$C:$BQ,59,0)</f>
        <v>#N/A</v>
      </c>
      <c r="S94" s="115" t="e">
        <f>VLOOKUP($A94,'S45'!$C:$BQ,60,0)</f>
        <v>#N/A</v>
      </c>
      <c r="T94" s="107" t="e">
        <f>VLOOKUP($A94,'S46'!$C:$BQ,32,0)</f>
        <v>#N/A</v>
      </c>
      <c r="U94" s="107" t="e">
        <f>VLOOKUP($A94,'S46'!$C:$BQ,39,0)</f>
        <v>#N/A</v>
      </c>
      <c r="V94" s="107" t="e">
        <f>VLOOKUP($A94,'S46'!$C:$BQ,40,0)</f>
        <v>#N/A</v>
      </c>
      <c r="W94" s="107" t="e">
        <f>VLOOKUP($A94,'S46'!$C:$BQ,22,0)</f>
        <v>#N/A</v>
      </c>
      <c r="X94" s="115" t="e">
        <f>VLOOKUP($A94,'S46'!$C:$BQ,29,0)</f>
        <v>#N/A</v>
      </c>
      <c r="Y94" s="115" t="e">
        <f>VLOOKUP($A94,'S46'!$C:$BQ,30,0)</f>
        <v>#N/A</v>
      </c>
      <c r="Z94" s="115" t="e">
        <f>VLOOKUP($A94,'S46'!$C:$BQ,52,0)</f>
        <v>#N/A</v>
      </c>
      <c r="AA94" s="115" t="e">
        <f>VLOOKUP($A94,'S46'!$C:$BQ,59,0)</f>
        <v>#N/A</v>
      </c>
      <c r="AB94" s="115" t="e">
        <f>VLOOKUP($A94,'S46'!$C:$BQ,60,0)</f>
        <v>#N/A</v>
      </c>
      <c r="AC94" s="107" t="e">
        <f>VLOOKUP($A94,'S47'!$C:$BQ,32,0)</f>
        <v>#N/A</v>
      </c>
      <c r="AD94" s="107" t="e">
        <f>VLOOKUP($A94,'S47'!$C:$BQ,39,0)</f>
        <v>#N/A</v>
      </c>
      <c r="AE94" s="107" t="e">
        <f>VLOOKUP($A94,'S47'!$C:$BQ,40,0)</f>
        <v>#N/A</v>
      </c>
      <c r="AF94" s="107" t="e">
        <f>VLOOKUP($A94,'S47'!$C:$BQ,22,0)</f>
        <v>#N/A</v>
      </c>
      <c r="AG94" s="115" t="e">
        <f>VLOOKUP($A94,'S47'!$C:$BQ,29,0)</f>
        <v>#N/A</v>
      </c>
      <c r="AH94" s="115" t="e">
        <f>VLOOKUP($A94,'S47'!$C:$BQ,30,0)</f>
        <v>#N/A</v>
      </c>
      <c r="AI94" s="115" t="e">
        <f>VLOOKUP($A94,'S47'!$C:$BQ,52,0)</f>
        <v>#N/A</v>
      </c>
      <c r="AJ94" s="115" t="e">
        <f>VLOOKUP($A94,'S47'!$C:$BQ,59,0)</f>
        <v>#N/A</v>
      </c>
      <c r="AK94" s="115" t="e">
        <f>VLOOKUP($A94,'S47'!$C:$BQ,60,0)</f>
        <v>#N/A</v>
      </c>
      <c r="AL94" s="107" t="e">
        <f>VLOOKUP($A94,'S48'!$C:$BQ,32,0)</f>
        <v>#N/A</v>
      </c>
      <c r="AM94" s="107" t="e">
        <f>VLOOKUP($A94,'S48'!$C:$BQ,39,0)</f>
        <v>#N/A</v>
      </c>
      <c r="AN94" s="107" t="e">
        <f>VLOOKUP($A94,'S48'!$C:$BQ,40,0)</f>
        <v>#N/A</v>
      </c>
      <c r="AO94" s="107" t="e">
        <f>VLOOKUP($A94,'S48'!$C:$BQ,22,0)</f>
        <v>#N/A</v>
      </c>
      <c r="AP94" s="115" t="e">
        <f>VLOOKUP($A94,'S48'!$C:$BQ,29,0)</f>
        <v>#N/A</v>
      </c>
      <c r="AQ94" s="115" t="e">
        <f>VLOOKUP($A94,'S48'!$C:$BQ,30,0)</f>
        <v>#N/A</v>
      </c>
      <c r="AR94" s="115" t="e">
        <f>VLOOKUP($A94,'S48'!$C:$BQ,52,0)</f>
        <v>#N/A</v>
      </c>
      <c r="AS94" s="115" t="e">
        <f>VLOOKUP($A94,'S48'!$C:$BQ,59,0)</f>
        <v>#N/A</v>
      </c>
      <c r="AT94" s="115" t="e">
        <f>VLOOKUP($A94,'S48'!$C:$BQ,60,0)</f>
        <v>#N/A</v>
      </c>
      <c r="AU94" s="107" t="e">
        <f>VLOOKUP($A94,'S49'!$C:$BQ,32,0)</f>
        <v>#N/A</v>
      </c>
      <c r="AV94" s="107" t="e">
        <f>VLOOKUP($A94,'S49'!$C:$BQ,39,0)</f>
        <v>#N/A</v>
      </c>
      <c r="AW94" s="107" t="e">
        <f>VLOOKUP($A94,'S49'!$C:$BQ,40,0)</f>
        <v>#N/A</v>
      </c>
      <c r="AX94" s="107" t="e">
        <f>VLOOKUP($A94,'S49'!$C:$BQ,22,0)</f>
        <v>#N/A</v>
      </c>
      <c r="AY94" s="115" t="e">
        <f>VLOOKUP($A94,'S49'!$C:$BQ,29,0)</f>
        <v>#N/A</v>
      </c>
      <c r="AZ94" s="115" t="e">
        <f>VLOOKUP($A94,'S49'!$C:$BQ,30,0)</f>
        <v>#N/A</v>
      </c>
      <c r="BA94" s="115" t="e">
        <f>VLOOKUP($A94,'S49'!$C:$BQ,52,0)</f>
        <v>#N/A</v>
      </c>
      <c r="BB94" s="115" t="e">
        <f>VLOOKUP($A94,'S49'!$C:$BQ,59,0)</f>
        <v>#N/A</v>
      </c>
      <c r="BC94" s="115" t="e">
        <f>VLOOKUP($A94,'S49'!$C:$BQ,60,0)</f>
        <v>#N/A</v>
      </c>
      <c r="BD94" s="107" t="e">
        <f>VLOOKUP($A94,'S50'!$C:$BQ,32,0)</f>
        <v>#N/A</v>
      </c>
      <c r="BE94" s="107" t="e">
        <f>VLOOKUP($A94,'S50'!$C:$BQ,39,0)</f>
        <v>#N/A</v>
      </c>
      <c r="BF94" s="107" t="e">
        <f>VLOOKUP($A94,'S50'!$C:$BQ,40,0)</f>
        <v>#N/A</v>
      </c>
      <c r="BG94" s="107" t="e">
        <f>VLOOKUP($A94,'S50'!$C:$BQ,22,0)</f>
        <v>#N/A</v>
      </c>
      <c r="BH94" s="115" t="e">
        <f>VLOOKUP($A94,'S50'!$C:$BQ,29,0)</f>
        <v>#N/A</v>
      </c>
      <c r="BI94" s="115" t="e">
        <f>VLOOKUP($A94,'S50'!$C:$BQ,30,0)</f>
        <v>#N/A</v>
      </c>
      <c r="BJ94" s="115" t="e">
        <f>VLOOKUP($A94,'S50'!$C:$BQ,52,0)</f>
        <v>#N/A</v>
      </c>
      <c r="BK94" s="115" t="e">
        <f>VLOOKUP($A94,'S50'!$C:$BQ,59,0)</f>
        <v>#N/A</v>
      </c>
      <c r="BL94" s="115" t="e">
        <f>VLOOKUP($A94,'S50'!$C:$BQ,60,0)</f>
        <v>#N/A</v>
      </c>
    </row>
    <row r="95" spans="1:64" x14ac:dyDescent="0.2">
      <c r="A95" s="106" t="s">
        <v>155</v>
      </c>
      <c r="B95" s="107">
        <f>VLOOKUP($A95,'S0 remplacer avec S44'!$C:$BQ,32,0)</f>
        <v>169.4</v>
      </c>
      <c r="C95" s="107">
        <f>VLOOKUP($A95,'S0 remplacer avec S44'!$C:$BQ,39,0)</f>
        <v>4</v>
      </c>
      <c r="D95" s="107">
        <f>VLOOKUP($A95,'S0 remplacer avec S44'!$C:$BQ,40,0)</f>
        <v>39</v>
      </c>
      <c r="E95" s="107">
        <f>VLOOKUP($A95,'S0 remplacer avec S44'!$C:$BQ,22,0)</f>
        <v>699.65944000000002</v>
      </c>
      <c r="F95" s="115">
        <f>VLOOKUP($A95,'S0 remplacer avec S44'!$C:$BQ,29,0)</f>
        <v>874</v>
      </c>
      <c r="G95" s="115">
        <f>VLOOKUP($A95,'S0 remplacer avec S44'!$C:$BQ,30,0)</f>
        <v>1188</v>
      </c>
      <c r="H95" s="115">
        <f>VLOOKUP($A95,'S0 remplacer avec S44'!$C:$BQ,52,0)</f>
        <v>104.4</v>
      </c>
      <c r="I95" s="115">
        <f>VLOOKUP($A95,'S0 remplacer avec S44'!$C:$BQ,59,0)</f>
        <v>0</v>
      </c>
      <c r="J95" s="115">
        <f>VLOOKUP($A95,'S0 remplacer avec S44'!$C:$BQ,60,0)</f>
        <v>2</v>
      </c>
      <c r="K95" s="107" t="e">
        <f>VLOOKUP($A95,'S45'!$C:$BQ,32,0)</f>
        <v>#N/A</v>
      </c>
      <c r="L95" s="107" t="e">
        <f>VLOOKUP($A95,'S45'!$C:$BQ,39,0)</f>
        <v>#N/A</v>
      </c>
      <c r="M95" s="107" t="e">
        <f>VLOOKUP($A95,'S45'!$C:$BQ,40,0)</f>
        <v>#N/A</v>
      </c>
      <c r="N95" s="107" t="e">
        <f>VLOOKUP($A95,'S45'!$C:$BQ,22,0)</f>
        <v>#N/A</v>
      </c>
      <c r="O95" s="115" t="e">
        <f>VLOOKUP($A95,'S45'!$C:$BQ,29,0)</f>
        <v>#N/A</v>
      </c>
      <c r="P95" s="115" t="e">
        <f>VLOOKUP($A95,'S45'!$C:$BQ,30,0)</f>
        <v>#N/A</v>
      </c>
      <c r="Q95" s="115" t="e">
        <f>VLOOKUP($A95,'S45'!$C:$BQ,52,0)</f>
        <v>#N/A</v>
      </c>
      <c r="R95" s="115" t="e">
        <f>VLOOKUP($A95,'S45'!$C:$BQ,59,0)</f>
        <v>#N/A</v>
      </c>
      <c r="S95" s="115" t="e">
        <f>VLOOKUP($A95,'S45'!$C:$BQ,60,0)</f>
        <v>#N/A</v>
      </c>
      <c r="T95" s="107" t="e">
        <f>VLOOKUP($A95,'S46'!$C:$BQ,32,0)</f>
        <v>#N/A</v>
      </c>
      <c r="U95" s="107" t="e">
        <f>VLOOKUP($A95,'S46'!$C:$BQ,39,0)</f>
        <v>#N/A</v>
      </c>
      <c r="V95" s="107" t="e">
        <f>VLOOKUP($A95,'S46'!$C:$BQ,40,0)</f>
        <v>#N/A</v>
      </c>
      <c r="W95" s="107" t="e">
        <f>VLOOKUP($A95,'S46'!$C:$BQ,22,0)</f>
        <v>#N/A</v>
      </c>
      <c r="X95" s="115" t="e">
        <f>VLOOKUP($A95,'S46'!$C:$BQ,29,0)</f>
        <v>#N/A</v>
      </c>
      <c r="Y95" s="115" t="e">
        <f>VLOOKUP($A95,'S46'!$C:$BQ,30,0)</f>
        <v>#N/A</v>
      </c>
      <c r="Z95" s="115" t="e">
        <f>VLOOKUP($A95,'S46'!$C:$BQ,52,0)</f>
        <v>#N/A</v>
      </c>
      <c r="AA95" s="115" t="e">
        <f>VLOOKUP($A95,'S46'!$C:$BQ,59,0)</f>
        <v>#N/A</v>
      </c>
      <c r="AB95" s="115" t="e">
        <f>VLOOKUP($A95,'S46'!$C:$BQ,60,0)</f>
        <v>#N/A</v>
      </c>
      <c r="AC95" s="107" t="e">
        <f>VLOOKUP($A95,'S47'!$C:$BQ,32,0)</f>
        <v>#N/A</v>
      </c>
      <c r="AD95" s="107" t="e">
        <f>VLOOKUP($A95,'S47'!$C:$BQ,39,0)</f>
        <v>#N/A</v>
      </c>
      <c r="AE95" s="107" t="e">
        <f>VLOOKUP($A95,'S47'!$C:$BQ,40,0)</f>
        <v>#N/A</v>
      </c>
      <c r="AF95" s="107" t="e">
        <f>VLOOKUP($A95,'S47'!$C:$BQ,22,0)</f>
        <v>#N/A</v>
      </c>
      <c r="AG95" s="115" t="e">
        <f>VLOOKUP($A95,'S47'!$C:$BQ,29,0)</f>
        <v>#N/A</v>
      </c>
      <c r="AH95" s="115" t="e">
        <f>VLOOKUP($A95,'S47'!$C:$BQ,30,0)</f>
        <v>#N/A</v>
      </c>
      <c r="AI95" s="115" t="e">
        <f>VLOOKUP($A95,'S47'!$C:$BQ,52,0)</f>
        <v>#N/A</v>
      </c>
      <c r="AJ95" s="115" t="e">
        <f>VLOOKUP($A95,'S47'!$C:$BQ,59,0)</f>
        <v>#N/A</v>
      </c>
      <c r="AK95" s="115" t="e">
        <f>VLOOKUP($A95,'S47'!$C:$BQ,60,0)</f>
        <v>#N/A</v>
      </c>
      <c r="AL95" s="107" t="e">
        <f>VLOOKUP($A95,'S48'!$C:$BQ,32,0)</f>
        <v>#N/A</v>
      </c>
      <c r="AM95" s="107" t="e">
        <f>VLOOKUP($A95,'S48'!$C:$BQ,39,0)</f>
        <v>#N/A</v>
      </c>
      <c r="AN95" s="107" t="e">
        <f>VLOOKUP($A95,'S48'!$C:$BQ,40,0)</f>
        <v>#N/A</v>
      </c>
      <c r="AO95" s="107" t="e">
        <f>VLOOKUP($A95,'S48'!$C:$BQ,22,0)</f>
        <v>#N/A</v>
      </c>
      <c r="AP95" s="115" t="e">
        <f>VLOOKUP($A95,'S48'!$C:$BQ,29,0)</f>
        <v>#N/A</v>
      </c>
      <c r="AQ95" s="115" t="e">
        <f>VLOOKUP($A95,'S48'!$C:$BQ,30,0)</f>
        <v>#N/A</v>
      </c>
      <c r="AR95" s="115" t="e">
        <f>VLOOKUP($A95,'S48'!$C:$BQ,52,0)</f>
        <v>#N/A</v>
      </c>
      <c r="AS95" s="115" t="e">
        <f>VLOOKUP($A95,'S48'!$C:$BQ,59,0)</f>
        <v>#N/A</v>
      </c>
      <c r="AT95" s="115" t="e">
        <f>VLOOKUP($A95,'S48'!$C:$BQ,60,0)</f>
        <v>#N/A</v>
      </c>
      <c r="AU95" s="107" t="e">
        <f>VLOOKUP($A95,'S49'!$C:$BQ,32,0)</f>
        <v>#N/A</v>
      </c>
      <c r="AV95" s="107" t="e">
        <f>VLOOKUP($A95,'S49'!$C:$BQ,39,0)</f>
        <v>#N/A</v>
      </c>
      <c r="AW95" s="107" t="e">
        <f>VLOOKUP($A95,'S49'!$C:$BQ,40,0)</f>
        <v>#N/A</v>
      </c>
      <c r="AX95" s="107" t="e">
        <f>VLOOKUP($A95,'S49'!$C:$BQ,22,0)</f>
        <v>#N/A</v>
      </c>
      <c r="AY95" s="115" t="e">
        <f>VLOOKUP($A95,'S49'!$C:$BQ,29,0)</f>
        <v>#N/A</v>
      </c>
      <c r="AZ95" s="115" t="e">
        <f>VLOOKUP($A95,'S49'!$C:$BQ,30,0)</f>
        <v>#N/A</v>
      </c>
      <c r="BA95" s="115" t="e">
        <f>VLOOKUP($A95,'S49'!$C:$BQ,52,0)</f>
        <v>#N/A</v>
      </c>
      <c r="BB95" s="115" t="e">
        <f>VLOOKUP($A95,'S49'!$C:$BQ,59,0)</f>
        <v>#N/A</v>
      </c>
      <c r="BC95" s="115" t="e">
        <f>VLOOKUP($A95,'S49'!$C:$BQ,60,0)</f>
        <v>#N/A</v>
      </c>
      <c r="BD95" s="107" t="e">
        <f>VLOOKUP($A95,'S50'!$C:$BQ,32,0)</f>
        <v>#N/A</v>
      </c>
      <c r="BE95" s="107" t="e">
        <f>VLOOKUP($A95,'S50'!$C:$BQ,39,0)</f>
        <v>#N/A</v>
      </c>
      <c r="BF95" s="107" t="e">
        <f>VLOOKUP($A95,'S50'!$C:$BQ,40,0)</f>
        <v>#N/A</v>
      </c>
      <c r="BG95" s="107" t="e">
        <f>VLOOKUP($A95,'S50'!$C:$BQ,22,0)</f>
        <v>#N/A</v>
      </c>
      <c r="BH95" s="115" t="e">
        <f>VLOOKUP($A95,'S50'!$C:$BQ,29,0)</f>
        <v>#N/A</v>
      </c>
      <c r="BI95" s="115" t="e">
        <f>VLOOKUP($A95,'S50'!$C:$BQ,30,0)</f>
        <v>#N/A</v>
      </c>
      <c r="BJ95" s="115" t="e">
        <f>VLOOKUP($A95,'S50'!$C:$BQ,52,0)</f>
        <v>#N/A</v>
      </c>
      <c r="BK95" s="115" t="e">
        <f>VLOOKUP($A95,'S50'!$C:$BQ,59,0)</f>
        <v>#N/A</v>
      </c>
      <c r="BL95" s="115" t="e">
        <f>VLOOKUP($A95,'S50'!$C:$BQ,60,0)</f>
        <v>#N/A</v>
      </c>
    </row>
    <row r="96" spans="1:64" x14ac:dyDescent="0.2">
      <c r="A96" s="106" t="s">
        <v>156</v>
      </c>
      <c r="B96" s="107">
        <f>VLOOKUP($A96,'S0 remplacer avec S44'!$C:$BQ,32,0)</f>
        <v>217.85</v>
      </c>
      <c r="C96" s="107">
        <f>VLOOKUP($A96,'S0 remplacer avec S44'!$C:$BQ,39,0)</f>
        <v>19</v>
      </c>
      <c r="D96" s="107">
        <f>VLOOKUP($A96,'S0 remplacer avec S44'!$C:$BQ,40,0)</f>
        <v>67</v>
      </c>
      <c r="E96" s="107">
        <f>VLOOKUP($A96,'S0 remplacer avec S44'!$C:$BQ,22,0)</f>
        <v>2194.4523450000002</v>
      </c>
      <c r="F96" s="115">
        <f>VLOOKUP($A96,'S0 remplacer avec S44'!$C:$BQ,29,0)</f>
        <v>0</v>
      </c>
      <c r="G96" s="115">
        <f>VLOOKUP($A96,'S0 remplacer avec S44'!$C:$BQ,30,0)</f>
        <v>389</v>
      </c>
      <c r="H96" s="115">
        <f>VLOOKUP($A96,'S0 remplacer avec S44'!$C:$BQ,52,0)</f>
        <v>154</v>
      </c>
      <c r="I96" s="115">
        <f>VLOOKUP($A96,'S0 remplacer avec S44'!$C:$BQ,59,0)</f>
        <v>0</v>
      </c>
      <c r="J96" s="115">
        <f>VLOOKUP($A96,'S0 remplacer avec S44'!$C:$BQ,60,0)</f>
        <v>0</v>
      </c>
      <c r="K96" s="107" t="e">
        <f>VLOOKUP($A96,'S45'!$C:$BQ,32,0)</f>
        <v>#N/A</v>
      </c>
      <c r="L96" s="107" t="e">
        <f>VLOOKUP($A96,'S45'!$C:$BQ,39,0)</f>
        <v>#N/A</v>
      </c>
      <c r="M96" s="107" t="e">
        <f>VLOOKUP($A96,'S45'!$C:$BQ,40,0)</f>
        <v>#N/A</v>
      </c>
      <c r="N96" s="107" t="e">
        <f>VLOOKUP($A96,'S45'!$C:$BQ,22,0)</f>
        <v>#N/A</v>
      </c>
      <c r="O96" s="115" t="e">
        <f>VLOOKUP($A96,'S45'!$C:$BQ,29,0)</f>
        <v>#N/A</v>
      </c>
      <c r="P96" s="115" t="e">
        <f>VLOOKUP($A96,'S45'!$C:$BQ,30,0)</f>
        <v>#N/A</v>
      </c>
      <c r="Q96" s="115" t="e">
        <f>VLOOKUP($A96,'S45'!$C:$BQ,52,0)</f>
        <v>#N/A</v>
      </c>
      <c r="R96" s="115" t="e">
        <f>VLOOKUP($A96,'S45'!$C:$BQ,59,0)</f>
        <v>#N/A</v>
      </c>
      <c r="S96" s="115" t="e">
        <f>VLOOKUP($A96,'S45'!$C:$BQ,60,0)</f>
        <v>#N/A</v>
      </c>
      <c r="T96" s="107" t="e">
        <f>VLOOKUP($A96,'S46'!$C:$BQ,32,0)</f>
        <v>#N/A</v>
      </c>
      <c r="U96" s="107" t="e">
        <f>VLOOKUP($A96,'S46'!$C:$BQ,39,0)</f>
        <v>#N/A</v>
      </c>
      <c r="V96" s="107" t="e">
        <f>VLOOKUP($A96,'S46'!$C:$BQ,40,0)</f>
        <v>#N/A</v>
      </c>
      <c r="W96" s="107" t="e">
        <f>VLOOKUP($A96,'S46'!$C:$BQ,22,0)</f>
        <v>#N/A</v>
      </c>
      <c r="X96" s="115" t="e">
        <f>VLOOKUP($A96,'S46'!$C:$BQ,29,0)</f>
        <v>#N/A</v>
      </c>
      <c r="Y96" s="115" t="e">
        <f>VLOOKUP($A96,'S46'!$C:$BQ,30,0)</f>
        <v>#N/A</v>
      </c>
      <c r="Z96" s="115" t="e">
        <f>VLOOKUP($A96,'S46'!$C:$BQ,52,0)</f>
        <v>#N/A</v>
      </c>
      <c r="AA96" s="115" t="e">
        <f>VLOOKUP($A96,'S46'!$C:$BQ,59,0)</f>
        <v>#N/A</v>
      </c>
      <c r="AB96" s="115" t="e">
        <f>VLOOKUP($A96,'S46'!$C:$BQ,60,0)</f>
        <v>#N/A</v>
      </c>
      <c r="AC96" s="107" t="e">
        <f>VLOOKUP($A96,'S47'!$C:$BQ,32,0)</f>
        <v>#N/A</v>
      </c>
      <c r="AD96" s="107" t="e">
        <f>VLOOKUP($A96,'S47'!$C:$BQ,39,0)</f>
        <v>#N/A</v>
      </c>
      <c r="AE96" s="107" t="e">
        <f>VLOOKUP($A96,'S47'!$C:$BQ,40,0)</f>
        <v>#N/A</v>
      </c>
      <c r="AF96" s="107" t="e">
        <f>VLOOKUP($A96,'S47'!$C:$BQ,22,0)</f>
        <v>#N/A</v>
      </c>
      <c r="AG96" s="115" t="e">
        <f>VLOOKUP($A96,'S47'!$C:$BQ,29,0)</f>
        <v>#N/A</v>
      </c>
      <c r="AH96" s="115" t="e">
        <f>VLOOKUP($A96,'S47'!$C:$BQ,30,0)</f>
        <v>#N/A</v>
      </c>
      <c r="AI96" s="115" t="e">
        <f>VLOOKUP($A96,'S47'!$C:$BQ,52,0)</f>
        <v>#N/A</v>
      </c>
      <c r="AJ96" s="115" t="e">
        <f>VLOOKUP($A96,'S47'!$C:$BQ,59,0)</f>
        <v>#N/A</v>
      </c>
      <c r="AK96" s="115" t="e">
        <f>VLOOKUP($A96,'S47'!$C:$BQ,60,0)</f>
        <v>#N/A</v>
      </c>
      <c r="AL96" s="107" t="e">
        <f>VLOOKUP($A96,'S48'!$C:$BQ,32,0)</f>
        <v>#N/A</v>
      </c>
      <c r="AM96" s="107" t="e">
        <f>VLOOKUP($A96,'S48'!$C:$BQ,39,0)</f>
        <v>#N/A</v>
      </c>
      <c r="AN96" s="107" t="e">
        <f>VLOOKUP($A96,'S48'!$C:$BQ,40,0)</f>
        <v>#N/A</v>
      </c>
      <c r="AO96" s="107" t="e">
        <f>VLOOKUP($A96,'S48'!$C:$BQ,22,0)</f>
        <v>#N/A</v>
      </c>
      <c r="AP96" s="115" t="e">
        <f>VLOOKUP($A96,'S48'!$C:$BQ,29,0)</f>
        <v>#N/A</v>
      </c>
      <c r="AQ96" s="115" t="e">
        <f>VLOOKUP($A96,'S48'!$C:$BQ,30,0)</f>
        <v>#N/A</v>
      </c>
      <c r="AR96" s="115" t="e">
        <f>VLOOKUP($A96,'S48'!$C:$BQ,52,0)</f>
        <v>#N/A</v>
      </c>
      <c r="AS96" s="115" t="e">
        <f>VLOOKUP($A96,'S48'!$C:$BQ,59,0)</f>
        <v>#N/A</v>
      </c>
      <c r="AT96" s="115" t="e">
        <f>VLOOKUP($A96,'S48'!$C:$BQ,60,0)</f>
        <v>#N/A</v>
      </c>
      <c r="AU96" s="107" t="e">
        <f>VLOOKUP($A96,'S49'!$C:$BQ,32,0)</f>
        <v>#N/A</v>
      </c>
      <c r="AV96" s="107" t="e">
        <f>VLOOKUP($A96,'S49'!$C:$BQ,39,0)</f>
        <v>#N/A</v>
      </c>
      <c r="AW96" s="107" t="e">
        <f>VLOOKUP($A96,'S49'!$C:$BQ,40,0)</f>
        <v>#N/A</v>
      </c>
      <c r="AX96" s="107" t="e">
        <f>VLOOKUP($A96,'S49'!$C:$BQ,22,0)</f>
        <v>#N/A</v>
      </c>
      <c r="AY96" s="115" t="e">
        <f>VLOOKUP($A96,'S49'!$C:$BQ,29,0)</f>
        <v>#N/A</v>
      </c>
      <c r="AZ96" s="115" t="e">
        <f>VLOOKUP($A96,'S49'!$C:$BQ,30,0)</f>
        <v>#N/A</v>
      </c>
      <c r="BA96" s="115" t="e">
        <f>VLOOKUP($A96,'S49'!$C:$BQ,52,0)</f>
        <v>#N/A</v>
      </c>
      <c r="BB96" s="115" t="e">
        <f>VLOOKUP($A96,'S49'!$C:$BQ,59,0)</f>
        <v>#N/A</v>
      </c>
      <c r="BC96" s="115" t="e">
        <f>VLOOKUP($A96,'S49'!$C:$BQ,60,0)</f>
        <v>#N/A</v>
      </c>
      <c r="BD96" s="107" t="e">
        <f>VLOOKUP($A96,'S50'!$C:$BQ,32,0)</f>
        <v>#N/A</v>
      </c>
      <c r="BE96" s="107" t="e">
        <f>VLOOKUP($A96,'S50'!$C:$BQ,39,0)</f>
        <v>#N/A</v>
      </c>
      <c r="BF96" s="107" t="e">
        <f>VLOOKUP($A96,'S50'!$C:$BQ,40,0)</f>
        <v>#N/A</v>
      </c>
      <c r="BG96" s="107" t="e">
        <f>VLOOKUP($A96,'S50'!$C:$BQ,22,0)</f>
        <v>#N/A</v>
      </c>
      <c r="BH96" s="115" t="e">
        <f>VLOOKUP($A96,'S50'!$C:$BQ,29,0)</f>
        <v>#N/A</v>
      </c>
      <c r="BI96" s="115" t="e">
        <f>VLOOKUP($A96,'S50'!$C:$BQ,30,0)</f>
        <v>#N/A</v>
      </c>
      <c r="BJ96" s="115" t="e">
        <f>VLOOKUP($A96,'S50'!$C:$BQ,52,0)</f>
        <v>#N/A</v>
      </c>
      <c r="BK96" s="115" t="e">
        <f>VLOOKUP($A96,'S50'!$C:$BQ,59,0)</f>
        <v>#N/A</v>
      </c>
      <c r="BL96" s="115" t="e">
        <f>VLOOKUP($A96,'S50'!$C:$BQ,60,0)</f>
        <v>#N/A</v>
      </c>
    </row>
    <row r="97" spans="1:64" x14ac:dyDescent="0.2">
      <c r="A97" s="106" t="s">
        <v>157</v>
      </c>
      <c r="B97" s="107">
        <f>VLOOKUP($A97,'S0 remplacer avec S44'!$C:$BQ,32,0)</f>
        <v>106.3</v>
      </c>
      <c r="C97" s="107">
        <f>VLOOKUP($A97,'S0 remplacer avec S44'!$C:$BQ,39,0)</f>
        <v>73</v>
      </c>
      <c r="D97" s="107">
        <f>VLOOKUP($A97,'S0 remplacer avec S44'!$C:$BQ,40,0)</f>
        <v>109</v>
      </c>
      <c r="E97" s="107">
        <f>VLOOKUP($A97,'S0 remplacer avec S44'!$C:$BQ,22,0)</f>
        <v>952.90559499999995</v>
      </c>
      <c r="F97" s="115">
        <f>VLOOKUP($A97,'S0 remplacer avec S44'!$C:$BQ,29,0)</f>
        <v>678</v>
      </c>
      <c r="G97" s="115">
        <f>VLOOKUP($A97,'S0 remplacer avec S44'!$C:$BQ,30,0)</f>
        <v>1004</v>
      </c>
      <c r="H97" s="115">
        <f>VLOOKUP($A97,'S0 remplacer avec S44'!$C:$BQ,52,0)</f>
        <v>49.4</v>
      </c>
      <c r="I97" s="115">
        <f>VLOOKUP($A97,'S0 remplacer avec S44'!$C:$BQ,59,0)</f>
        <v>42</v>
      </c>
      <c r="J97" s="115">
        <f>VLOOKUP($A97,'S0 remplacer avec S44'!$C:$BQ,60,0)</f>
        <v>60</v>
      </c>
      <c r="K97" s="107" t="e">
        <f>VLOOKUP($A97,'S45'!$C:$BQ,32,0)</f>
        <v>#N/A</v>
      </c>
      <c r="L97" s="107" t="e">
        <f>VLOOKUP($A97,'S45'!$C:$BQ,39,0)</f>
        <v>#N/A</v>
      </c>
      <c r="M97" s="107" t="e">
        <f>VLOOKUP($A97,'S45'!$C:$BQ,40,0)</f>
        <v>#N/A</v>
      </c>
      <c r="N97" s="107" t="e">
        <f>VLOOKUP($A97,'S45'!$C:$BQ,22,0)</f>
        <v>#N/A</v>
      </c>
      <c r="O97" s="115" t="e">
        <f>VLOOKUP($A97,'S45'!$C:$BQ,29,0)</f>
        <v>#N/A</v>
      </c>
      <c r="P97" s="115" t="e">
        <f>VLOOKUP($A97,'S45'!$C:$BQ,30,0)</f>
        <v>#N/A</v>
      </c>
      <c r="Q97" s="115" t="e">
        <f>VLOOKUP($A97,'S45'!$C:$BQ,52,0)</f>
        <v>#N/A</v>
      </c>
      <c r="R97" s="115" t="e">
        <f>VLOOKUP($A97,'S45'!$C:$BQ,59,0)</f>
        <v>#N/A</v>
      </c>
      <c r="S97" s="115" t="e">
        <f>VLOOKUP($A97,'S45'!$C:$BQ,60,0)</f>
        <v>#N/A</v>
      </c>
      <c r="T97" s="107" t="e">
        <f>VLOOKUP($A97,'S46'!$C:$BQ,32,0)</f>
        <v>#N/A</v>
      </c>
      <c r="U97" s="107" t="e">
        <f>VLOOKUP($A97,'S46'!$C:$BQ,39,0)</f>
        <v>#N/A</v>
      </c>
      <c r="V97" s="107" t="e">
        <f>VLOOKUP($A97,'S46'!$C:$BQ,40,0)</f>
        <v>#N/A</v>
      </c>
      <c r="W97" s="107" t="e">
        <f>VLOOKUP($A97,'S46'!$C:$BQ,22,0)</f>
        <v>#N/A</v>
      </c>
      <c r="X97" s="115" t="e">
        <f>VLOOKUP($A97,'S46'!$C:$BQ,29,0)</f>
        <v>#N/A</v>
      </c>
      <c r="Y97" s="115" t="e">
        <f>VLOOKUP($A97,'S46'!$C:$BQ,30,0)</f>
        <v>#N/A</v>
      </c>
      <c r="Z97" s="115" t="e">
        <f>VLOOKUP($A97,'S46'!$C:$BQ,52,0)</f>
        <v>#N/A</v>
      </c>
      <c r="AA97" s="115" t="e">
        <f>VLOOKUP($A97,'S46'!$C:$BQ,59,0)</f>
        <v>#N/A</v>
      </c>
      <c r="AB97" s="115" t="e">
        <f>VLOOKUP($A97,'S46'!$C:$BQ,60,0)</f>
        <v>#N/A</v>
      </c>
      <c r="AC97" s="107" t="e">
        <f>VLOOKUP($A97,'S47'!$C:$BQ,32,0)</f>
        <v>#N/A</v>
      </c>
      <c r="AD97" s="107" t="e">
        <f>VLOOKUP($A97,'S47'!$C:$BQ,39,0)</f>
        <v>#N/A</v>
      </c>
      <c r="AE97" s="107" t="e">
        <f>VLOOKUP($A97,'S47'!$C:$BQ,40,0)</f>
        <v>#N/A</v>
      </c>
      <c r="AF97" s="107" t="e">
        <f>VLOOKUP($A97,'S47'!$C:$BQ,22,0)</f>
        <v>#N/A</v>
      </c>
      <c r="AG97" s="115" t="e">
        <f>VLOOKUP($A97,'S47'!$C:$BQ,29,0)</f>
        <v>#N/A</v>
      </c>
      <c r="AH97" s="115" t="e">
        <f>VLOOKUP($A97,'S47'!$C:$BQ,30,0)</f>
        <v>#N/A</v>
      </c>
      <c r="AI97" s="115" t="e">
        <f>VLOOKUP($A97,'S47'!$C:$BQ,52,0)</f>
        <v>#N/A</v>
      </c>
      <c r="AJ97" s="115" t="e">
        <f>VLOOKUP($A97,'S47'!$C:$BQ,59,0)</f>
        <v>#N/A</v>
      </c>
      <c r="AK97" s="115" t="e">
        <f>VLOOKUP($A97,'S47'!$C:$BQ,60,0)</f>
        <v>#N/A</v>
      </c>
      <c r="AL97" s="107" t="e">
        <f>VLOOKUP($A97,'S48'!$C:$BQ,32,0)</f>
        <v>#N/A</v>
      </c>
      <c r="AM97" s="107" t="e">
        <f>VLOOKUP($A97,'S48'!$C:$BQ,39,0)</f>
        <v>#N/A</v>
      </c>
      <c r="AN97" s="107" t="e">
        <f>VLOOKUP($A97,'S48'!$C:$BQ,40,0)</f>
        <v>#N/A</v>
      </c>
      <c r="AO97" s="107" t="e">
        <f>VLOOKUP($A97,'S48'!$C:$BQ,22,0)</f>
        <v>#N/A</v>
      </c>
      <c r="AP97" s="115" t="e">
        <f>VLOOKUP($A97,'S48'!$C:$BQ,29,0)</f>
        <v>#N/A</v>
      </c>
      <c r="AQ97" s="115" t="e">
        <f>VLOOKUP($A97,'S48'!$C:$BQ,30,0)</f>
        <v>#N/A</v>
      </c>
      <c r="AR97" s="115" t="e">
        <f>VLOOKUP($A97,'S48'!$C:$BQ,52,0)</f>
        <v>#N/A</v>
      </c>
      <c r="AS97" s="115" t="e">
        <f>VLOOKUP($A97,'S48'!$C:$BQ,59,0)</f>
        <v>#N/A</v>
      </c>
      <c r="AT97" s="115" t="e">
        <f>VLOOKUP($A97,'S48'!$C:$BQ,60,0)</f>
        <v>#N/A</v>
      </c>
      <c r="AU97" s="107" t="e">
        <f>VLOOKUP($A97,'S49'!$C:$BQ,32,0)</f>
        <v>#N/A</v>
      </c>
      <c r="AV97" s="107" t="e">
        <f>VLOOKUP($A97,'S49'!$C:$BQ,39,0)</f>
        <v>#N/A</v>
      </c>
      <c r="AW97" s="107" t="e">
        <f>VLOOKUP($A97,'S49'!$C:$BQ,40,0)</f>
        <v>#N/A</v>
      </c>
      <c r="AX97" s="107" t="e">
        <f>VLOOKUP($A97,'S49'!$C:$BQ,22,0)</f>
        <v>#N/A</v>
      </c>
      <c r="AY97" s="115" t="e">
        <f>VLOOKUP($A97,'S49'!$C:$BQ,29,0)</f>
        <v>#N/A</v>
      </c>
      <c r="AZ97" s="115" t="e">
        <f>VLOOKUP($A97,'S49'!$C:$BQ,30,0)</f>
        <v>#N/A</v>
      </c>
      <c r="BA97" s="115" t="e">
        <f>VLOOKUP($A97,'S49'!$C:$BQ,52,0)</f>
        <v>#N/A</v>
      </c>
      <c r="BB97" s="115" t="e">
        <f>VLOOKUP($A97,'S49'!$C:$BQ,59,0)</f>
        <v>#N/A</v>
      </c>
      <c r="BC97" s="115" t="e">
        <f>VLOOKUP($A97,'S49'!$C:$BQ,60,0)</f>
        <v>#N/A</v>
      </c>
      <c r="BD97" s="107" t="e">
        <f>VLOOKUP($A97,'S50'!$C:$BQ,32,0)</f>
        <v>#N/A</v>
      </c>
      <c r="BE97" s="107" t="e">
        <f>VLOOKUP($A97,'S50'!$C:$BQ,39,0)</f>
        <v>#N/A</v>
      </c>
      <c r="BF97" s="107" t="e">
        <f>VLOOKUP($A97,'S50'!$C:$BQ,40,0)</f>
        <v>#N/A</v>
      </c>
      <c r="BG97" s="107" t="e">
        <f>VLOOKUP($A97,'S50'!$C:$BQ,22,0)</f>
        <v>#N/A</v>
      </c>
      <c r="BH97" s="115" t="e">
        <f>VLOOKUP($A97,'S50'!$C:$BQ,29,0)</f>
        <v>#N/A</v>
      </c>
      <c r="BI97" s="115" t="e">
        <f>VLOOKUP($A97,'S50'!$C:$BQ,30,0)</f>
        <v>#N/A</v>
      </c>
      <c r="BJ97" s="115" t="e">
        <f>VLOOKUP($A97,'S50'!$C:$BQ,52,0)</f>
        <v>#N/A</v>
      </c>
      <c r="BK97" s="115" t="e">
        <f>VLOOKUP($A97,'S50'!$C:$BQ,59,0)</f>
        <v>#N/A</v>
      </c>
      <c r="BL97" s="115" t="e">
        <f>VLOOKUP($A97,'S50'!$C:$BQ,60,0)</f>
        <v>#N/A</v>
      </c>
    </row>
    <row r="98" spans="1:64" x14ac:dyDescent="0.2">
      <c r="A98" s="106" t="s">
        <v>158</v>
      </c>
      <c r="B98" s="107">
        <f>VLOOKUP($A98,'S0 remplacer avec S44'!$C:$BQ,32,0)</f>
        <v>87.3</v>
      </c>
      <c r="C98" s="107">
        <f>VLOOKUP($A98,'S0 remplacer avec S44'!$C:$BQ,39,0)</f>
        <v>68</v>
      </c>
      <c r="D98" s="107">
        <f>VLOOKUP($A98,'S0 remplacer avec S44'!$C:$BQ,40,0)</f>
        <v>99</v>
      </c>
      <c r="E98" s="107">
        <f>VLOOKUP($A98,'S0 remplacer avec S44'!$C:$BQ,22,0)</f>
        <v>740.01513499999999</v>
      </c>
      <c r="F98" s="115">
        <f>VLOOKUP($A98,'S0 remplacer avec S44'!$C:$BQ,29,0)</f>
        <v>668</v>
      </c>
      <c r="G98" s="115">
        <f>VLOOKUP($A98,'S0 remplacer avec S44'!$C:$BQ,30,0)</f>
        <v>950</v>
      </c>
      <c r="H98" s="115">
        <f>VLOOKUP($A98,'S0 remplacer avec S44'!$C:$BQ,52,0)</f>
        <v>68.400000000000006</v>
      </c>
      <c r="I98" s="115">
        <f>VLOOKUP($A98,'S0 remplacer avec S44'!$C:$BQ,59,0)</f>
        <v>11</v>
      </c>
      <c r="J98" s="115">
        <f>VLOOKUP($A98,'S0 remplacer avec S44'!$C:$BQ,60,0)</f>
        <v>26</v>
      </c>
      <c r="K98" s="107" t="e">
        <f>VLOOKUP($A98,'S45'!$C:$BQ,32,0)</f>
        <v>#N/A</v>
      </c>
      <c r="L98" s="107" t="e">
        <f>VLOOKUP($A98,'S45'!$C:$BQ,39,0)</f>
        <v>#N/A</v>
      </c>
      <c r="M98" s="107" t="e">
        <f>VLOOKUP($A98,'S45'!$C:$BQ,40,0)</f>
        <v>#N/A</v>
      </c>
      <c r="N98" s="107" t="e">
        <f>VLOOKUP($A98,'S45'!$C:$BQ,22,0)</f>
        <v>#N/A</v>
      </c>
      <c r="O98" s="115" t="e">
        <f>VLOOKUP($A98,'S45'!$C:$BQ,29,0)</f>
        <v>#N/A</v>
      </c>
      <c r="P98" s="115" t="e">
        <f>VLOOKUP($A98,'S45'!$C:$BQ,30,0)</f>
        <v>#N/A</v>
      </c>
      <c r="Q98" s="115" t="e">
        <f>VLOOKUP($A98,'S45'!$C:$BQ,52,0)</f>
        <v>#N/A</v>
      </c>
      <c r="R98" s="115" t="e">
        <f>VLOOKUP($A98,'S45'!$C:$BQ,59,0)</f>
        <v>#N/A</v>
      </c>
      <c r="S98" s="115" t="e">
        <f>VLOOKUP($A98,'S45'!$C:$BQ,60,0)</f>
        <v>#N/A</v>
      </c>
      <c r="T98" s="107" t="e">
        <f>VLOOKUP($A98,'S46'!$C:$BQ,32,0)</f>
        <v>#N/A</v>
      </c>
      <c r="U98" s="107" t="e">
        <f>VLOOKUP($A98,'S46'!$C:$BQ,39,0)</f>
        <v>#N/A</v>
      </c>
      <c r="V98" s="107" t="e">
        <f>VLOOKUP($A98,'S46'!$C:$BQ,40,0)</f>
        <v>#N/A</v>
      </c>
      <c r="W98" s="107" t="e">
        <f>VLOOKUP($A98,'S46'!$C:$BQ,22,0)</f>
        <v>#N/A</v>
      </c>
      <c r="X98" s="115" t="e">
        <f>VLOOKUP($A98,'S46'!$C:$BQ,29,0)</f>
        <v>#N/A</v>
      </c>
      <c r="Y98" s="115" t="e">
        <f>VLOOKUP($A98,'S46'!$C:$BQ,30,0)</f>
        <v>#N/A</v>
      </c>
      <c r="Z98" s="115" t="e">
        <f>VLOOKUP($A98,'S46'!$C:$BQ,52,0)</f>
        <v>#N/A</v>
      </c>
      <c r="AA98" s="115" t="e">
        <f>VLOOKUP($A98,'S46'!$C:$BQ,59,0)</f>
        <v>#N/A</v>
      </c>
      <c r="AB98" s="115" t="e">
        <f>VLOOKUP($A98,'S46'!$C:$BQ,60,0)</f>
        <v>#N/A</v>
      </c>
      <c r="AC98" s="107" t="e">
        <f>VLOOKUP($A98,'S47'!$C:$BQ,32,0)</f>
        <v>#N/A</v>
      </c>
      <c r="AD98" s="107" t="e">
        <f>VLOOKUP($A98,'S47'!$C:$BQ,39,0)</f>
        <v>#N/A</v>
      </c>
      <c r="AE98" s="107" t="e">
        <f>VLOOKUP($A98,'S47'!$C:$BQ,40,0)</f>
        <v>#N/A</v>
      </c>
      <c r="AF98" s="107" t="e">
        <f>VLOOKUP($A98,'S47'!$C:$BQ,22,0)</f>
        <v>#N/A</v>
      </c>
      <c r="AG98" s="115" t="e">
        <f>VLOOKUP($A98,'S47'!$C:$BQ,29,0)</f>
        <v>#N/A</v>
      </c>
      <c r="AH98" s="115" t="e">
        <f>VLOOKUP($A98,'S47'!$C:$BQ,30,0)</f>
        <v>#N/A</v>
      </c>
      <c r="AI98" s="115" t="e">
        <f>VLOOKUP($A98,'S47'!$C:$BQ,52,0)</f>
        <v>#N/A</v>
      </c>
      <c r="AJ98" s="115" t="e">
        <f>VLOOKUP($A98,'S47'!$C:$BQ,59,0)</f>
        <v>#N/A</v>
      </c>
      <c r="AK98" s="115" t="e">
        <f>VLOOKUP($A98,'S47'!$C:$BQ,60,0)</f>
        <v>#N/A</v>
      </c>
      <c r="AL98" s="107" t="e">
        <f>VLOOKUP($A98,'S48'!$C:$BQ,32,0)</f>
        <v>#N/A</v>
      </c>
      <c r="AM98" s="107" t="e">
        <f>VLOOKUP($A98,'S48'!$C:$BQ,39,0)</f>
        <v>#N/A</v>
      </c>
      <c r="AN98" s="107" t="e">
        <f>VLOOKUP($A98,'S48'!$C:$BQ,40,0)</f>
        <v>#N/A</v>
      </c>
      <c r="AO98" s="107" t="e">
        <f>VLOOKUP($A98,'S48'!$C:$BQ,22,0)</f>
        <v>#N/A</v>
      </c>
      <c r="AP98" s="115" t="e">
        <f>VLOOKUP($A98,'S48'!$C:$BQ,29,0)</f>
        <v>#N/A</v>
      </c>
      <c r="AQ98" s="115" t="e">
        <f>VLOOKUP($A98,'S48'!$C:$BQ,30,0)</f>
        <v>#N/A</v>
      </c>
      <c r="AR98" s="115" t="e">
        <f>VLOOKUP($A98,'S48'!$C:$BQ,52,0)</f>
        <v>#N/A</v>
      </c>
      <c r="AS98" s="115" t="e">
        <f>VLOOKUP($A98,'S48'!$C:$BQ,59,0)</f>
        <v>#N/A</v>
      </c>
      <c r="AT98" s="115" t="e">
        <f>VLOOKUP($A98,'S48'!$C:$BQ,60,0)</f>
        <v>#N/A</v>
      </c>
      <c r="AU98" s="107" t="e">
        <f>VLOOKUP($A98,'S49'!$C:$BQ,32,0)</f>
        <v>#N/A</v>
      </c>
      <c r="AV98" s="107" t="e">
        <f>VLOOKUP($A98,'S49'!$C:$BQ,39,0)</f>
        <v>#N/A</v>
      </c>
      <c r="AW98" s="107" t="e">
        <f>VLOOKUP($A98,'S49'!$C:$BQ,40,0)</f>
        <v>#N/A</v>
      </c>
      <c r="AX98" s="107" t="e">
        <f>VLOOKUP($A98,'S49'!$C:$BQ,22,0)</f>
        <v>#N/A</v>
      </c>
      <c r="AY98" s="115" t="e">
        <f>VLOOKUP($A98,'S49'!$C:$BQ,29,0)</f>
        <v>#N/A</v>
      </c>
      <c r="AZ98" s="115" t="e">
        <f>VLOOKUP($A98,'S49'!$C:$BQ,30,0)</f>
        <v>#N/A</v>
      </c>
      <c r="BA98" s="115" t="e">
        <f>VLOOKUP($A98,'S49'!$C:$BQ,52,0)</f>
        <v>#N/A</v>
      </c>
      <c r="BB98" s="115" t="e">
        <f>VLOOKUP($A98,'S49'!$C:$BQ,59,0)</f>
        <v>#N/A</v>
      </c>
      <c r="BC98" s="115" t="e">
        <f>VLOOKUP($A98,'S49'!$C:$BQ,60,0)</f>
        <v>#N/A</v>
      </c>
      <c r="BD98" s="107" t="e">
        <f>VLOOKUP($A98,'S50'!$C:$BQ,32,0)</f>
        <v>#N/A</v>
      </c>
      <c r="BE98" s="107" t="e">
        <f>VLOOKUP($A98,'S50'!$C:$BQ,39,0)</f>
        <v>#N/A</v>
      </c>
      <c r="BF98" s="107" t="e">
        <f>VLOOKUP($A98,'S50'!$C:$BQ,40,0)</f>
        <v>#N/A</v>
      </c>
      <c r="BG98" s="107" t="e">
        <f>VLOOKUP($A98,'S50'!$C:$BQ,22,0)</f>
        <v>#N/A</v>
      </c>
      <c r="BH98" s="115" t="e">
        <f>VLOOKUP($A98,'S50'!$C:$BQ,29,0)</f>
        <v>#N/A</v>
      </c>
      <c r="BI98" s="115" t="e">
        <f>VLOOKUP($A98,'S50'!$C:$BQ,30,0)</f>
        <v>#N/A</v>
      </c>
      <c r="BJ98" s="115" t="e">
        <f>VLOOKUP($A98,'S50'!$C:$BQ,52,0)</f>
        <v>#N/A</v>
      </c>
      <c r="BK98" s="115" t="e">
        <f>VLOOKUP($A98,'S50'!$C:$BQ,59,0)</f>
        <v>#N/A</v>
      </c>
      <c r="BL98" s="115" t="e">
        <f>VLOOKUP($A98,'S50'!$C:$BQ,60,0)</f>
        <v>#N/A</v>
      </c>
    </row>
    <row r="99" spans="1:64" x14ac:dyDescent="0.2">
      <c r="A99" s="106" t="s">
        <v>160</v>
      </c>
      <c r="B99" s="107">
        <f>VLOOKUP($A99,'S0 remplacer avec S44'!$C:$BQ,32,0)</f>
        <v>128.30000000000001</v>
      </c>
      <c r="C99" s="107">
        <f>VLOOKUP($A99,'S0 remplacer avec S44'!$C:$BQ,39,0)</f>
        <v>124</v>
      </c>
      <c r="D99" s="107">
        <f>VLOOKUP($A99,'S0 remplacer avec S44'!$C:$BQ,40,0)</f>
        <v>174</v>
      </c>
      <c r="E99" s="107">
        <f>VLOOKUP($A99,'S0 remplacer avec S44'!$C:$BQ,22,0)</f>
        <v>1696.637375</v>
      </c>
      <c r="F99" s="115">
        <f>VLOOKUP($A99,'S0 remplacer avec S44'!$C:$BQ,29,0)</f>
        <v>594</v>
      </c>
      <c r="G99" s="115">
        <f>VLOOKUP($A99,'S0 remplacer avec S44'!$C:$BQ,30,0)</f>
        <v>1052</v>
      </c>
      <c r="H99" s="115">
        <f>VLOOKUP($A99,'S0 remplacer avec S44'!$C:$BQ,52,0)</f>
        <v>97.2</v>
      </c>
      <c r="I99" s="115">
        <f>VLOOKUP($A99,'S0 remplacer avec S44'!$C:$BQ,59,0)</f>
        <v>31</v>
      </c>
      <c r="J99" s="115">
        <f>VLOOKUP($A99,'S0 remplacer avec S44'!$C:$BQ,60,0)</f>
        <v>57</v>
      </c>
      <c r="K99" s="107" t="e">
        <f>VLOOKUP($A99,'S45'!$C:$BQ,32,0)</f>
        <v>#N/A</v>
      </c>
      <c r="L99" s="107" t="e">
        <f>VLOOKUP($A99,'S45'!$C:$BQ,39,0)</f>
        <v>#N/A</v>
      </c>
      <c r="M99" s="107" t="e">
        <f>VLOOKUP($A99,'S45'!$C:$BQ,40,0)</f>
        <v>#N/A</v>
      </c>
      <c r="N99" s="107" t="e">
        <f>VLOOKUP($A99,'S45'!$C:$BQ,22,0)</f>
        <v>#N/A</v>
      </c>
      <c r="O99" s="115" t="e">
        <f>VLOOKUP($A99,'S45'!$C:$BQ,29,0)</f>
        <v>#N/A</v>
      </c>
      <c r="P99" s="115" t="e">
        <f>VLOOKUP($A99,'S45'!$C:$BQ,30,0)</f>
        <v>#N/A</v>
      </c>
      <c r="Q99" s="115" t="e">
        <f>VLOOKUP($A99,'S45'!$C:$BQ,52,0)</f>
        <v>#N/A</v>
      </c>
      <c r="R99" s="115" t="e">
        <f>VLOOKUP($A99,'S45'!$C:$BQ,59,0)</f>
        <v>#N/A</v>
      </c>
      <c r="S99" s="115" t="e">
        <f>VLOOKUP($A99,'S45'!$C:$BQ,60,0)</f>
        <v>#N/A</v>
      </c>
      <c r="T99" s="107" t="e">
        <f>VLOOKUP($A99,'S46'!$C:$BQ,32,0)</f>
        <v>#N/A</v>
      </c>
      <c r="U99" s="107" t="e">
        <f>VLOOKUP($A99,'S46'!$C:$BQ,39,0)</f>
        <v>#N/A</v>
      </c>
      <c r="V99" s="107" t="e">
        <f>VLOOKUP($A99,'S46'!$C:$BQ,40,0)</f>
        <v>#N/A</v>
      </c>
      <c r="W99" s="107" t="e">
        <f>VLOOKUP($A99,'S46'!$C:$BQ,22,0)</f>
        <v>#N/A</v>
      </c>
      <c r="X99" s="115" t="e">
        <f>VLOOKUP($A99,'S46'!$C:$BQ,29,0)</f>
        <v>#N/A</v>
      </c>
      <c r="Y99" s="115" t="e">
        <f>VLOOKUP($A99,'S46'!$C:$BQ,30,0)</f>
        <v>#N/A</v>
      </c>
      <c r="Z99" s="115" t="e">
        <f>VLOOKUP($A99,'S46'!$C:$BQ,52,0)</f>
        <v>#N/A</v>
      </c>
      <c r="AA99" s="115" t="e">
        <f>VLOOKUP($A99,'S46'!$C:$BQ,59,0)</f>
        <v>#N/A</v>
      </c>
      <c r="AB99" s="115" t="e">
        <f>VLOOKUP($A99,'S46'!$C:$BQ,60,0)</f>
        <v>#N/A</v>
      </c>
      <c r="AC99" s="107" t="e">
        <f>VLOOKUP($A99,'S47'!$C:$BQ,32,0)</f>
        <v>#N/A</v>
      </c>
      <c r="AD99" s="107" t="e">
        <f>VLOOKUP($A99,'S47'!$C:$BQ,39,0)</f>
        <v>#N/A</v>
      </c>
      <c r="AE99" s="107" t="e">
        <f>VLOOKUP($A99,'S47'!$C:$BQ,40,0)</f>
        <v>#N/A</v>
      </c>
      <c r="AF99" s="107" t="e">
        <f>VLOOKUP($A99,'S47'!$C:$BQ,22,0)</f>
        <v>#N/A</v>
      </c>
      <c r="AG99" s="115" t="e">
        <f>VLOOKUP($A99,'S47'!$C:$BQ,29,0)</f>
        <v>#N/A</v>
      </c>
      <c r="AH99" s="115" t="e">
        <f>VLOOKUP($A99,'S47'!$C:$BQ,30,0)</f>
        <v>#N/A</v>
      </c>
      <c r="AI99" s="115" t="e">
        <f>VLOOKUP($A99,'S47'!$C:$BQ,52,0)</f>
        <v>#N/A</v>
      </c>
      <c r="AJ99" s="115" t="e">
        <f>VLOOKUP($A99,'S47'!$C:$BQ,59,0)</f>
        <v>#N/A</v>
      </c>
      <c r="AK99" s="115" t="e">
        <f>VLOOKUP($A99,'S47'!$C:$BQ,60,0)</f>
        <v>#N/A</v>
      </c>
      <c r="AL99" s="107" t="e">
        <f>VLOOKUP($A99,'S48'!$C:$BQ,32,0)</f>
        <v>#N/A</v>
      </c>
      <c r="AM99" s="107" t="e">
        <f>VLOOKUP($A99,'S48'!$C:$BQ,39,0)</f>
        <v>#N/A</v>
      </c>
      <c r="AN99" s="107" t="e">
        <f>VLOOKUP($A99,'S48'!$C:$BQ,40,0)</f>
        <v>#N/A</v>
      </c>
      <c r="AO99" s="107" t="e">
        <f>VLOOKUP($A99,'S48'!$C:$BQ,22,0)</f>
        <v>#N/A</v>
      </c>
      <c r="AP99" s="115" t="e">
        <f>VLOOKUP($A99,'S48'!$C:$BQ,29,0)</f>
        <v>#N/A</v>
      </c>
      <c r="AQ99" s="115" t="e">
        <f>VLOOKUP($A99,'S48'!$C:$BQ,30,0)</f>
        <v>#N/A</v>
      </c>
      <c r="AR99" s="115" t="e">
        <f>VLOOKUP($A99,'S48'!$C:$BQ,52,0)</f>
        <v>#N/A</v>
      </c>
      <c r="AS99" s="115" t="e">
        <f>VLOOKUP($A99,'S48'!$C:$BQ,59,0)</f>
        <v>#N/A</v>
      </c>
      <c r="AT99" s="115" t="e">
        <f>VLOOKUP($A99,'S48'!$C:$BQ,60,0)</f>
        <v>#N/A</v>
      </c>
      <c r="AU99" s="107" t="e">
        <f>VLOOKUP($A99,'S49'!$C:$BQ,32,0)</f>
        <v>#N/A</v>
      </c>
      <c r="AV99" s="107" t="e">
        <f>VLOOKUP($A99,'S49'!$C:$BQ,39,0)</f>
        <v>#N/A</v>
      </c>
      <c r="AW99" s="107" t="e">
        <f>VLOOKUP($A99,'S49'!$C:$BQ,40,0)</f>
        <v>#N/A</v>
      </c>
      <c r="AX99" s="107" t="e">
        <f>VLOOKUP($A99,'S49'!$C:$BQ,22,0)</f>
        <v>#N/A</v>
      </c>
      <c r="AY99" s="115" t="e">
        <f>VLOOKUP($A99,'S49'!$C:$BQ,29,0)</f>
        <v>#N/A</v>
      </c>
      <c r="AZ99" s="115" t="e">
        <f>VLOOKUP($A99,'S49'!$C:$BQ,30,0)</f>
        <v>#N/A</v>
      </c>
      <c r="BA99" s="115" t="e">
        <f>VLOOKUP($A99,'S49'!$C:$BQ,52,0)</f>
        <v>#N/A</v>
      </c>
      <c r="BB99" s="115" t="e">
        <f>VLOOKUP($A99,'S49'!$C:$BQ,59,0)</f>
        <v>#N/A</v>
      </c>
      <c r="BC99" s="115" t="e">
        <f>VLOOKUP($A99,'S49'!$C:$BQ,60,0)</f>
        <v>#N/A</v>
      </c>
      <c r="BD99" s="107" t="e">
        <f>VLOOKUP($A99,'S50'!$C:$BQ,32,0)</f>
        <v>#N/A</v>
      </c>
      <c r="BE99" s="107" t="e">
        <f>VLOOKUP($A99,'S50'!$C:$BQ,39,0)</f>
        <v>#N/A</v>
      </c>
      <c r="BF99" s="107" t="e">
        <f>VLOOKUP($A99,'S50'!$C:$BQ,40,0)</f>
        <v>#N/A</v>
      </c>
      <c r="BG99" s="107" t="e">
        <f>VLOOKUP($A99,'S50'!$C:$BQ,22,0)</f>
        <v>#N/A</v>
      </c>
      <c r="BH99" s="115" t="e">
        <f>VLOOKUP($A99,'S50'!$C:$BQ,29,0)</f>
        <v>#N/A</v>
      </c>
      <c r="BI99" s="115" t="e">
        <f>VLOOKUP($A99,'S50'!$C:$BQ,30,0)</f>
        <v>#N/A</v>
      </c>
      <c r="BJ99" s="115" t="e">
        <f>VLOOKUP($A99,'S50'!$C:$BQ,52,0)</f>
        <v>#N/A</v>
      </c>
      <c r="BK99" s="115" t="e">
        <f>VLOOKUP($A99,'S50'!$C:$BQ,59,0)</f>
        <v>#N/A</v>
      </c>
      <c r="BL99" s="115" t="e">
        <f>VLOOKUP($A99,'S50'!$C:$BQ,60,0)</f>
        <v>#N/A</v>
      </c>
    </row>
    <row r="100" spans="1:64" x14ac:dyDescent="0.2">
      <c r="A100" s="106" t="s">
        <v>161</v>
      </c>
      <c r="B100" s="107">
        <f>VLOOKUP($A100,'S0 remplacer avec S44'!$C:$BQ,32,0)</f>
        <v>99.8</v>
      </c>
      <c r="C100" s="107">
        <f>VLOOKUP($A100,'S0 remplacer avec S44'!$C:$BQ,39,0)</f>
        <v>97</v>
      </c>
      <c r="D100" s="107">
        <f>VLOOKUP($A100,'S0 remplacer avec S44'!$C:$BQ,40,0)</f>
        <v>136</v>
      </c>
      <c r="E100" s="107">
        <f>VLOOKUP($A100,'S0 remplacer avec S44'!$C:$BQ,22,0)</f>
        <v>1388.4493050000001</v>
      </c>
      <c r="F100" s="115">
        <f>VLOOKUP($A100,'S0 remplacer avec S44'!$C:$BQ,29,0)</f>
        <v>398</v>
      </c>
      <c r="G100" s="115">
        <f>VLOOKUP($A100,'S0 remplacer avec S44'!$C:$BQ,30,0)</f>
        <v>755</v>
      </c>
      <c r="H100" s="115">
        <f>VLOOKUP($A100,'S0 remplacer avec S44'!$C:$BQ,52,0)</f>
        <v>100.8</v>
      </c>
      <c r="I100" s="115">
        <f>VLOOKUP($A100,'S0 remplacer avec S44'!$C:$BQ,59,0)</f>
        <v>0</v>
      </c>
      <c r="J100" s="115">
        <f>VLOOKUP($A100,'S0 remplacer avec S44'!$C:$BQ,60,0)</f>
        <v>19</v>
      </c>
      <c r="K100" s="107" t="e">
        <f>VLOOKUP($A100,'S45'!$C:$BQ,32,0)</f>
        <v>#N/A</v>
      </c>
      <c r="L100" s="107" t="e">
        <f>VLOOKUP($A100,'S45'!$C:$BQ,39,0)</f>
        <v>#N/A</v>
      </c>
      <c r="M100" s="107" t="e">
        <f>VLOOKUP($A100,'S45'!$C:$BQ,40,0)</f>
        <v>#N/A</v>
      </c>
      <c r="N100" s="107" t="e">
        <f>VLOOKUP($A100,'S45'!$C:$BQ,22,0)</f>
        <v>#N/A</v>
      </c>
      <c r="O100" s="115" t="e">
        <f>VLOOKUP($A100,'S45'!$C:$BQ,29,0)</f>
        <v>#N/A</v>
      </c>
      <c r="P100" s="115" t="e">
        <f>VLOOKUP($A100,'S45'!$C:$BQ,30,0)</f>
        <v>#N/A</v>
      </c>
      <c r="Q100" s="115" t="e">
        <f>VLOOKUP($A100,'S45'!$C:$BQ,52,0)</f>
        <v>#N/A</v>
      </c>
      <c r="R100" s="115" t="e">
        <f>VLOOKUP($A100,'S45'!$C:$BQ,59,0)</f>
        <v>#N/A</v>
      </c>
      <c r="S100" s="115" t="e">
        <f>VLOOKUP($A100,'S45'!$C:$BQ,60,0)</f>
        <v>#N/A</v>
      </c>
      <c r="T100" s="107" t="e">
        <f>VLOOKUP($A100,'S46'!$C:$BQ,32,0)</f>
        <v>#N/A</v>
      </c>
      <c r="U100" s="107" t="e">
        <f>VLOOKUP($A100,'S46'!$C:$BQ,39,0)</f>
        <v>#N/A</v>
      </c>
      <c r="V100" s="107" t="e">
        <f>VLOOKUP($A100,'S46'!$C:$BQ,40,0)</f>
        <v>#N/A</v>
      </c>
      <c r="W100" s="107" t="e">
        <f>VLOOKUP($A100,'S46'!$C:$BQ,22,0)</f>
        <v>#N/A</v>
      </c>
      <c r="X100" s="115" t="e">
        <f>VLOOKUP($A100,'S46'!$C:$BQ,29,0)</f>
        <v>#N/A</v>
      </c>
      <c r="Y100" s="115" t="e">
        <f>VLOOKUP($A100,'S46'!$C:$BQ,30,0)</f>
        <v>#N/A</v>
      </c>
      <c r="Z100" s="115" t="e">
        <f>VLOOKUP($A100,'S46'!$C:$BQ,52,0)</f>
        <v>#N/A</v>
      </c>
      <c r="AA100" s="115" t="e">
        <f>VLOOKUP($A100,'S46'!$C:$BQ,59,0)</f>
        <v>#N/A</v>
      </c>
      <c r="AB100" s="115" t="e">
        <f>VLOOKUP($A100,'S46'!$C:$BQ,60,0)</f>
        <v>#N/A</v>
      </c>
      <c r="AC100" s="107" t="e">
        <f>VLOOKUP($A100,'S47'!$C:$BQ,32,0)</f>
        <v>#N/A</v>
      </c>
      <c r="AD100" s="107" t="e">
        <f>VLOOKUP($A100,'S47'!$C:$BQ,39,0)</f>
        <v>#N/A</v>
      </c>
      <c r="AE100" s="107" t="e">
        <f>VLOOKUP($A100,'S47'!$C:$BQ,40,0)</f>
        <v>#N/A</v>
      </c>
      <c r="AF100" s="107" t="e">
        <f>VLOOKUP($A100,'S47'!$C:$BQ,22,0)</f>
        <v>#N/A</v>
      </c>
      <c r="AG100" s="115" t="e">
        <f>VLOOKUP($A100,'S47'!$C:$BQ,29,0)</f>
        <v>#N/A</v>
      </c>
      <c r="AH100" s="115" t="e">
        <f>VLOOKUP($A100,'S47'!$C:$BQ,30,0)</f>
        <v>#N/A</v>
      </c>
      <c r="AI100" s="115" t="e">
        <f>VLOOKUP($A100,'S47'!$C:$BQ,52,0)</f>
        <v>#N/A</v>
      </c>
      <c r="AJ100" s="115" t="e">
        <f>VLOOKUP($A100,'S47'!$C:$BQ,59,0)</f>
        <v>#N/A</v>
      </c>
      <c r="AK100" s="115" t="e">
        <f>VLOOKUP($A100,'S47'!$C:$BQ,60,0)</f>
        <v>#N/A</v>
      </c>
      <c r="AL100" s="107" t="e">
        <f>VLOOKUP($A100,'S48'!$C:$BQ,32,0)</f>
        <v>#N/A</v>
      </c>
      <c r="AM100" s="107" t="e">
        <f>VLOOKUP($A100,'S48'!$C:$BQ,39,0)</f>
        <v>#N/A</v>
      </c>
      <c r="AN100" s="107" t="e">
        <f>VLOOKUP($A100,'S48'!$C:$BQ,40,0)</f>
        <v>#N/A</v>
      </c>
      <c r="AO100" s="107" t="e">
        <f>VLOOKUP($A100,'S48'!$C:$BQ,22,0)</f>
        <v>#N/A</v>
      </c>
      <c r="AP100" s="115" t="e">
        <f>VLOOKUP($A100,'S48'!$C:$BQ,29,0)</f>
        <v>#N/A</v>
      </c>
      <c r="AQ100" s="115" t="e">
        <f>VLOOKUP($A100,'S48'!$C:$BQ,30,0)</f>
        <v>#N/A</v>
      </c>
      <c r="AR100" s="115" t="e">
        <f>VLOOKUP($A100,'S48'!$C:$BQ,52,0)</f>
        <v>#N/A</v>
      </c>
      <c r="AS100" s="115" t="e">
        <f>VLOOKUP($A100,'S48'!$C:$BQ,59,0)</f>
        <v>#N/A</v>
      </c>
      <c r="AT100" s="115" t="e">
        <f>VLOOKUP($A100,'S48'!$C:$BQ,60,0)</f>
        <v>#N/A</v>
      </c>
      <c r="AU100" s="107" t="e">
        <f>VLOOKUP($A100,'S49'!$C:$BQ,32,0)</f>
        <v>#N/A</v>
      </c>
      <c r="AV100" s="107" t="e">
        <f>VLOOKUP($A100,'S49'!$C:$BQ,39,0)</f>
        <v>#N/A</v>
      </c>
      <c r="AW100" s="107" t="e">
        <f>VLOOKUP($A100,'S49'!$C:$BQ,40,0)</f>
        <v>#N/A</v>
      </c>
      <c r="AX100" s="107" t="e">
        <f>VLOOKUP($A100,'S49'!$C:$BQ,22,0)</f>
        <v>#N/A</v>
      </c>
      <c r="AY100" s="115" t="e">
        <f>VLOOKUP($A100,'S49'!$C:$BQ,29,0)</f>
        <v>#N/A</v>
      </c>
      <c r="AZ100" s="115" t="e">
        <f>VLOOKUP($A100,'S49'!$C:$BQ,30,0)</f>
        <v>#N/A</v>
      </c>
      <c r="BA100" s="115" t="e">
        <f>VLOOKUP($A100,'S49'!$C:$BQ,52,0)</f>
        <v>#N/A</v>
      </c>
      <c r="BB100" s="115" t="e">
        <f>VLOOKUP($A100,'S49'!$C:$BQ,59,0)</f>
        <v>#N/A</v>
      </c>
      <c r="BC100" s="115" t="e">
        <f>VLOOKUP($A100,'S49'!$C:$BQ,60,0)</f>
        <v>#N/A</v>
      </c>
      <c r="BD100" s="107" t="e">
        <f>VLOOKUP($A100,'S50'!$C:$BQ,32,0)</f>
        <v>#N/A</v>
      </c>
      <c r="BE100" s="107" t="e">
        <f>VLOOKUP($A100,'S50'!$C:$BQ,39,0)</f>
        <v>#N/A</v>
      </c>
      <c r="BF100" s="107" t="e">
        <f>VLOOKUP($A100,'S50'!$C:$BQ,40,0)</f>
        <v>#N/A</v>
      </c>
      <c r="BG100" s="107" t="e">
        <f>VLOOKUP($A100,'S50'!$C:$BQ,22,0)</f>
        <v>#N/A</v>
      </c>
      <c r="BH100" s="115" t="e">
        <f>VLOOKUP($A100,'S50'!$C:$BQ,29,0)</f>
        <v>#N/A</v>
      </c>
      <c r="BI100" s="115" t="e">
        <f>VLOOKUP($A100,'S50'!$C:$BQ,30,0)</f>
        <v>#N/A</v>
      </c>
      <c r="BJ100" s="115" t="e">
        <f>VLOOKUP($A100,'S50'!$C:$BQ,52,0)</f>
        <v>#N/A</v>
      </c>
      <c r="BK100" s="115" t="e">
        <f>VLOOKUP($A100,'S50'!$C:$BQ,59,0)</f>
        <v>#N/A</v>
      </c>
      <c r="BL100" s="115" t="e">
        <f>VLOOKUP($A100,'S50'!$C:$BQ,60,0)</f>
        <v>#N/A</v>
      </c>
    </row>
    <row r="101" spans="1:64" x14ac:dyDescent="0.2">
      <c r="A101" s="106" t="s">
        <v>162</v>
      </c>
      <c r="B101" s="107">
        <f>VLOOKUP($A101,'S0 remplacer avec S44'!$C:$BQ,32,0)</f>
        <v>205.4</v>
      </c>
      <c r="C101" s="107">
        <f>VLOOKUP($A101,'S0 remplacer avec S44'!$C:$BQ,39,0)</f>
        <v>17</v>
      </c>
      <c r="D101" s="107">
        <f>VLOOKUP($A101,'S0 remplacer avec S44'!$C:$BQ,40,0)</f>
        <v>61</v>
      </c>
      <c r="E101" s="107">
        <f>VLOOKUP($A101,'S0 remplacer avec S44'!$C:$BQ,22,0)</f>
        <v>2348.4531550000002</v>
      </c>
      <c r="F101" s="115">
        <f>VLOOKUP($A101,'S0 remplacer avec S44'!$C:$BQ,29,0)</f>
        <v>0</v>
      </c>
      <c r="G101" s="115">
        <f>VLOOKUP($A101,'S0 remplacer avec S44'!$C:$BQ,30,0)</f>
        <v>72</v>
      </c>
      <c r="H101" s="115">
        <f>VLOOKUP($A101,'S0 remplacer avec S44'!$C:$BQ,52,0)</f>
        <v>121.4</v>
      </c>
      <c r="I101" s="115">
        <f>VLOOKUP($A101,'S0 remplacer avec S44'!$C:$BQ,59,0)</f>
        <v>0</v>
      </c>
      <c r="J101" s="115">
        <f>VLOOKUP($A101,'S0 remplacer avec S44'!$C:$BQ,60,0)</f>
        <v>14</v>
      </c>
      <c r="K101" s="107" t="e">
        <f>VLOOKUP($A101,'S45'!$C:$BQ,32,0)</f>
        <v>#N/A</v>
      </c>
      <c r="L101" s="107" t="e">
        <f>VLOOKUP($A101,'S45'!$C:$BQ,39,0)</f>
        <v>#N/A</v>
      </c>
      <c r="M101" s="107" t="e">
        <f>VLOOKUP($A101,'S45'!$C:$BQ,40,0)</f>
        <v>#N/A</v>
      </c>
      <c r="N101" s="107" t="e">
        <f>VLOOKUP($A101,'S45'!$C:$BQ,22,0)</f>
        <v>#N/A</v>
      </c>
      <c r="O101" s="115" t="e">
        <f>VLOOKUP($A101,'S45'!$C:$BQ,29,0)</f>
        <v>#N/A</v>
      </c>
      <c r="P101" s="115" t="e">
        <f>VLOOKUP($A101,'S45'!$C:$BQ,30,0)</f>
        <v>#N/A</v>
      </c>
      <c r="Q101" s="115" t="e">
        <f>VLOOKUP($A101,'S45'!$C:$BQ,52,0)</f>
        <v>#N/A</v>
      </c>
      <c r="R101" s="115" t="e">
        <f>VLOOKUP($A101,'S45'!$C:$BQ,59,0)</f>
        <v>#N/A</v>
      </c>
      <c r="S101" s="115" t="e">
        <f>VLOOKUP($A101,'S45'!$C:$BQ,60,0)</f>
        <v>#N/A</v>
      </c>
      <c r="T101" s="107" t="e">
        <f>VLOOKUP($A101,'S46'!$C:$BQ,32,0)</f>
        <v>#N/A</v>
      </c>
      <c r="U101" s="107" t="e">
        <f>VLOOKUP($A101,'S46'!$C:$BQ,39,0)</f>
        <v>#N/A</v>
      </c>
      <c r="V101" s="107" t="e">
        <f>VLOOKUP($A101,'S46'!$C:$BQ,40,0)</f>
        <v>#N/A</v>
      </c>
      <c r="W101" s="107" t="e">
        <f>VLOOKUP($A101,'S46'!$C:$BQ,22,0)</f>
        <v>#N/A</v>
      </c>
      <c r="X101" s="115" t="e">
        <f>VLOOKUP($A101,'S46'!$C:$BQ,29,0)</f>
        <v>#N/A</v>
      </c>
      <c r="Y101" s="115" t="e">
        <f>VLOOKUP($A101,'S46'!$C:$BQ,30,0)</f>
        <v>#N/A</v>
      </c>
      <c r="Z101" s="115" t="e">
        <f>VLOOKUP($A101,'S46'!$C:$BQ,52,0)</f>
        <v>#N/A</v>
      </c>
      <c r="AA101" s="115" t="e">
        <f>VLOOKUP($A101,'S46'!$C:$BQ,59,0)</f>
        <v>#N/A</v>
      </c>
      <c r="AB101" s="115" t="e">
        <f>VLOOKUP($A101,'S46'!$C:$BQ,60,0)</f>
        <v>#N/A</v>
      </c>
      <c r="AC101" s="107" t="e">
        <f>VLOOKUP($A101,'S47'!$C:$BQ,32,0)</f>
        <v>#N/A</v>
      </c>
      <c r="AD101" s="107" t="e">
        <f>VLOOKUP($A101,'S47'!$C:$BQ,39,0)</f>
        <v>#N/A</v>
      </c>
      <c r="AE101" s="107" t="e">
        <f>VLOOKUP($A101,'S47'!$C:$BQ,40,0)</f>
        <v>#N/A</v>
      </c>
      <c r="AF101" s="107" t="e">
        <f>VLOOKUP($A101,'S47'!$C:$BQ,22,0)</f>
        <v>#N/A</v>
      </c>
      <c r="AG101" s="115" t="e">
        <f>VLOOKUP($A101,'S47'!$C:$BQ,29,0)</f>
        <v>#N/A</v>
      </c>
      <c r="AH101" s="115" t="e">
        <f>VLOOKUP($A101,'S47'!$C:$BQ,30,0)</f>
        <v>#N/A</v>
      </c>
      <c r="AI101" s="115" t="e">
        <f>VLOOKUP($A101,'S47'!$C:$BQ,52,0)</f>
        <v>#N/A</v>
      </c>
      <c r="AJ101" s="115" t="e">
        <f>VLOOKUP($A101,'S47'!$C:$BQ,59,0)</f>
        <v>#N/A</v>
      </c>
      <c r="AK101" s="115" t="e">
        <f>VLOOKUP($A101,'S47'!$C:$BQ,60,0)</f>
        <v>#N/A</v>
      </c>
      <c r="AL101" s="107" t="e">
        <f>VLOOKUP($A101,'S48'!$C:$BQ,32,0)</f>
        <v>#N/A</v>
      </c>
      <c r="AM101" s="107" t="e">
        <f>VLOOKUP($A101,'S48'!$C:$BQ,39,0)</f>
        <v>#N/A</v>
      </c>
      <c r="AN101" s="107" t="e">
        <f>VLOOKUP($A101,'S48'!$C:$BQ,40,0)</f>
        <v>#N/A</v>
      </c>
      <c r="AO101" s="107" t="e">
        <f>VLOOKUP($A101,'S48'!$C:$BQ,22,0)</f>
        <v>#N/A</v>
      </c>
      <c r="AP101" s="115" t="e">
        <f>VLOOKUP($A101,'S48'!$C:$BQ,29,0)</f>
        <v>#N/A</v>
      </c>
      <c r="AQ101" s="115" t="e">
        <f>VLOOKUP($A101,'S48'!$C:$BQ,30,0)</f>
        <v>#N/A</v>
      </c>
      <c r="AR101" s="115" t="e">
        <f>VLOOKUP($A101,'S48'!$C:$BQ,52,0)</f>
        <v>#N/A</v>
      </c>
      <c r="AS101" s="115" t="e">
        <f>VLOOKUP($A101,'S48'!$C:$BQ,59,0)</f>
        <v>#N/A</v>
      </c>
      <c r="AT101" s="115" t="e">
        <f>VLOOKUP($A101,'S48'!$C:$BQ,60,0)</f>
        <v>#N/A</v>
      </c>
      <c r="AU101" s="107" t="e">
        <f>VLOOKUP($A101,'S49'!$C:$BQ,32,0)</f>
        <v>#N/A</v>
      </c>
      <c r="AV101" s="107" t="e">
        <f>VLOOKUP($A101,'S49'!$C:$BQ,39,0)</f>
        <v>#N/A</v>
      </c>
      <c r="AW101" s="107" t="e">
        <f>VLOOKUP($A101,'S49'!$C:$BQ,40,0)</f>
        <v>#N/A</v>
      </c>
      <c r="AX101" s="107" t="e">
        <f>VLOOKUP($A101,'S49'!$C:$BQ,22,0)</f>
        <v>#N/A</v>
      </c>
      <c r="AY101" s="115" t="e">
        <f>VLOOKUP($A101,'S49'!$C:$BQ,29,0)</f>
        <v>#N/A</v>
      </c>
      <c r="AZ101" s="115" t="e">
        <f>VLOOKUP($A101,'S49'!$C:$BQ,30,0)</f>
        <v>#N/A</v>
      </c>
      <c r="BA101" s="115" t="e">
        <f>VLOOKUP($A101,'S49'!$C:$BQ,52,0)</f>
        <v>#N/A</v>
      </c>
      <c r="BB101" s="115" t="e">
        <f>VLOOKUP($A101,'S49'!$C:$BQ,59,0)</f>
        <v>#N/A</v>
      </c>
      <c r="BC101" s="115" t="e">
        <f>VLOOKUP($A101,'S49'!$C:$BQ,60,0)</f>
        <v>#N/A</v>
      </c>
      <c r="BD101" s="107" t="e">
        <f>VLOOKUP($A101,'S50'!$C:$BQ,32,0)</f>
        <v>#N/A</v>
      </c>
      <c r="BE101" s="107" t="e">
        <f>VLOOKUP($A101,'S50'!$C:$BQ,39,0)</f>
        <v>#N/A</v>
      </c>
      <c r="BF101" s="107" t="e">
        <f>VLOOKUP($A101,'S50'!$C:$BQ,40,0)</f>
        <v>#N/A</v>
      </c>
      <c r="BG101" s="107" t="e">
        <f>VLOOKUP($A101,'S50'!$C:$BQ,22,0)</f>
        <v>#N/A</v>
      </c>
      <c r="BH101" s="115" t="e">
        <f>VLOOKUP($A101,'S50'!$C:$BQ,29,0)</f>
        <v>#N/A</v>
      </c>
      <c r="BI101" s="115" t="e">
        <f>VLOOKUP($A101,'S50'!$C:$BQ,30,0)</f>
        <v>#N/A</v>
      </c>
      <c r="BJ101" s="115" t="e">
        <f>VLOOKUP($A101,'S50'!$C:$BQ,52,0)</f>
        <v>#N/A</v>
      </c>
      <c r="BK101" s="115" t="e">
        <f>VLOOKUP($A101,'S50'!$C:$BQ,59,0)</f>
        <v>#N/A</v>
      </c>
      <c r="BL101" s="115" t="e">
        <f>VLOOKUP($A101,'S50'!$C:$BQ,60,0)</f>
        <v>#N/A</v>
      </c>
    </row>
    <row r="102" spans="1:64" x14ac:dyDescent="0.2">
      <c r="A102" s="106" t="s">
        <v>163</v>
      </c>
      <c r="B102" s="107">
        <f>VLOOKUP($A102,'S0 remplacer avec S44'!$C:$BQ,32,0)</f>
        <v>126.8</v>
      </c>
      <c r="C102" s="107">
        <f>VLOOKUP($A102,'S0 remplacer avec S44'!$C:$BQ,39,0)</f>
        <v>80</v>
      </c>
      <c r="D102" s="107">
        <f>VLOOKUP($A102,'S0 remplacer avec S44'!$C:$BQ,40,0)</f>
        <v>121</v>
      </c>
      <c r="E102" s="107">
        <f>VLOOKUP($A102,'S0 remplacer avec S44'!$C:$BQ,22,0)</f>
        <v>1847.4322500000001</v>
      </c>
      <c r="F102" s="115">
        <f>VLOOKUP($A102,'S0 remplacer avec S44'!$C:$BQ,29,0)</f>
        <v>31</v>
      </c>
      <c r="G102" s="115">
        <f>VLOOKUP($A102,'S0 remplacer avec S44'!$C:$BQ,30,0)</f>
        <v>406</v>
      </c>
      <c r="H102" s="115">
        <f>VLOOKUP($A102,'S0 remplacer avec S44'!$C:$BQ,52,0)</f>
        <v>110</v>
      </c>
      <c r="I102" s="115">
        <f>VLOOKUP($A102,'S0 remplacer avec S44'!$C:$BQ,59,0)</f>
        <v>0</v>
      </c>
      <c r="J102" s="115">
        <f>VLOOKUP($A102,'S0 remplacer avec S44'!$C:$BQ,60,0)</f>
        <v>16</v>
      </c>
      <c r="K102" s="107" t="e">
        <f>VLOOKUP($A102,'S45'!$C:$BQ,32,0)</f>
        <v>#N/A</v>
      </c>
      <c r="L102" s="107" t="e">
        <f>VLOOKUP($A102,'S45'!$C:$BQ,39,0)</f>
        <v>#N/A</v>
      </c>
      <c r="M102" s="107" t="e">
        <f>VLOOKUP($A102,'S45'!$C:$BQ,40,0)</f>
        <v>#N/A</v>
      </c>
      <c r="N102" s="107" t="e">
        <f>VLOOKUP($A102,'S45'!$C:$BQ,22,0)</f>
        <v>#N/A</v>
      </c>
      <c r="O102" s="115" t="e">
        <f>VLOOKUP($A102,'S45'!$C:$BQ,29,0)</f>
        <v>#N/A</v>
      </c>
      <c r="P102" s="115" t="e">
        <f>VLOOKUP($A102,'S45'!$C:$BQ,30,0)</f>
        <v>#N/A</v>
      </c>
      <c r="Q102" s="115" t="e">
        <f>VLOOKUP($A102,'S45'!$C:$BQ,52,0)</f>
        <v>#N/A</v>
      </c>
      <c r="R102" s="115" t="e">
        <f>VLOOKUP($A102,'S45'!$C:$BQ,59,0)</f>
        <v>#N/A</v>
      </c>
      <c r="S102" s="115" t="e">
        <f>VLOOKUP($A102,'S45'!$C:$BQ,60,0)</f>
        <v>#N/A</v>
      </c>
      <c r="T102" s="107" t="e">
        <f>VLOOKUP($A102,'S46'!$C:$BQ,32,0)</f>
        <v>#N/A</v>
      </c>
      <c r="U102" s="107" t="e">
        <f>VLOOKUP($A102,'S46'!$C:$BQ,39,0)</f>
        <v>#N/A</v>
      </c>
      <c r="V102" s="107" t="e">
        <f>VLOOKUP($A102,'S46'!$C:$BQ,40,0)</f>
        <v>#N/A</v>
      </c>
      <c r="W102" s="107" t="e">
        <f>VLOOKUP($A102,'S46'!$C:$BQ,22,0)</f>
        <v>#N/A</v>
      </c>
      <c r="X102" s="115" t="e">
        <f>VLOOKUP($A102,'S46'!$C:$BQ,29,0)</f>
        <v>#N/A</v>
      </c>
      <c r="Y102" s="115" t="e">
        <f>VLOOKUP($A102,'S46'!$C:$BQ,30,0)</f>
        <v>#N/A</v>
      </c>
      <c r="Z102" s="115" t="e">
        <f>VLOOKUP($A102,'S46'!$C:$BQ,52,0)</f>
        <v>#N/A</v>
      </c>
      <c r="AA102" s="115" t="e">
        <f>VLOOKUP($A102,'S46'!$C:$BQ,59,0)</f>
        <v>#N/A</v>
      </c>
      <c r="AB102" s="115" t="e">
        <f>VLOOKUP($A102,'S46'!$C:$BQ,60,0)</f>
        <v>#N/A</v>
      </c>
      <c r="AC102" s="107" t="e">
        <f>VLOOKUP($A102,'S47'!$C:$BQ,32,0)</f>
        <v>#N/A</v>
      </c>
      <c r="AD102" s="107" t="e">
        <f>VLOOKUP($A102,'S47'!$C:$BQ,39,0)</f>
        <v>#N/A</v>
      </c>
      <c r="AE102" s="107" t="e">
        <f>VLOOKUP($A102,'S47'!$C:$BQ,40,0)</f>
        <v>#N/A</v>
      </c>
      <c r="AF102" s="107" t="e">
        <f>VLOOKUP($A102,'S47'!$C:$BQ,22,0)</f>
        <v>#N/A</v>
      </c>
      <c r="AG102" s="115" t="e">
        <f>VLOOKUP($A102,'S47'!$C:$BQ,29,0)</f>
        <v>#N/A</v>
      </c>
      <c r="AH102" s="115" t="e">
        <f>VLOOKUP($A102,'S47'!$C:$BQ,30,0)</f>
        <v>#N/A</v>
      </c>
      <c r="AI102" s="115" t="e">
        <f>VLOOKUP($A102,'S47'!$C:$BQ,52,0)</f>
        <v>#N/A</v>
      </c>
      <c r="AJ102" s="115" t="e">
        <f>VLOOKUP($A102,'S47'!$C:$BQ,59,0)</f>
        <v>#N/A</v>
      </c>
      <c r="AK102" s="115" t="e">
        <f>VLOOKUP($A102,'S47'!$C:$BQ,60,0)</f>
        <v>#N/A</v>
      </c>
      <c r="AL102" s="107" t="e">
        <f>VLOOKUP($A102,'S48'!$C:$BQ,32,0)</f>
        <v>#N/A</v>
      </c>
      <c r="AM102" s="107" t="e">
        <f>VLOOKUP($A102,'S48'!$C:$BQ,39,0)</f>
        <v>#N/A</v>
      </c>
      <c r="AN102" s="107" t="e">
        <f>VLOOKUP($A102,'S48'!$C:$BQ,40,0)</f>
        <v>#N/A</v>
      </c>
      <c r="AO102" s="107" t="e">
        <f>VLOOKUP($A102,'S48'!$C:$BQ,22,0)</f>
        <v>#N/A</v>
      </c>
      <c r="AP102" s="115" t="e">
        <f>VLOOKUP($A102,'S48'!$C:$BQ,29,0)</f>
        <v>#N/A</v>
      </c>
      <c r="AQ102" s="115" t="e">
        <f>VLOOKUP($A102,'S48'!$C:$BQ,30,0)</f>
        <v>#N/A</v>
      </c>
      <c r="AR102" s="115" t="e">
        <f>VLOOKUP($A102,'S48'!$C:$BQ,52,0)</f>
        <v>#N/A</v>
      </c>
      <c r="AS102" s="115" t="e">
        <f>VLOOKUP($A102,'S48'!$C:$BQ,59,0)</f>
        <v>#N/A</v>
      </c>
      <c r="AT102" s="115" t="e">
        <f>VLOOKUP($A102,'S48'!$C:$BQ,60,0)</f>
        <v>#N/A</v>
      </c>
      <c r="AU102" s="107" t="e">
        <f>VLOOKUP($A102,'S49'!$C:$BQ,32,0)</f>
        <v>#N/A</v>
      </c>
      <c r="AV102" s="107" t="e">
        <f>VLOOKUP($A102,'S49'!$C:$BQ,39,0)</f>
        <v>#N/A</v>
      </c>
      <c r="AW102" s="107" t="e">
        <f>VLOOKUP($A102,'S49'!$C:$BQ,40,0)</f>
        <v>#N/A</v>
      </c>
      <c r="AX102" s="107" t="e">
        <f>VLOOKUP($A102,'S49'!$C:$BQ,22,0)</f>
        <v>#N/A</v>
      </c>
      <c r="AY102" s="115" t="e">
        <f>VLOOKUP($A102,'S49'!$C:$BQ,29,0)</f>
        <v>#N/A</v>
      </c>
      <c r="AZ102" s="115" t="e">
        <f>VLOOKUP($A102,'S49'!$C:$BQ,30,0)</f>
        <v>#N/A</v>
      </c>
      <c r="BA102" s="115" t="e">
        <f>VLOOKUP($A102,'S49'!$C:$BQ,52,0)</f>
        <v>#N/A</v>
      </c>
      <c r="BB102" s="115" t="e">
        <f>VLOOKUP($A102,'S49'!$C:$BQ,59,0)</f>
        <v>#N/A</v>
      </c>
      <c r="BC102" s="115" t="e">
        <f>VLOOKUP($A102,'S49'!$C:$BQ,60,0)</f>
        <v>#N/A</v>
      </c>
      <c r="BD102" s="107" t="e">
        <f>VLOOKUP($A102,'S50'!$C:$BQ,32,0)</f>
        <v>#N/A</v>
      </c>
      <c r="BE102" s="107" t="e">
        <f>VLOOKUP($A102,'S50'!$C:$BQ,39,0)</f>
        <v>#N/A</v>
      </c>
      <c r="BF102" s="107" t="e">
        <f>VLOOKUP($A102,'S50'!$C:$BQ,40,0)</f>
        <v>#N/A</v>
      </c>
      <c r="BG102" s="107" t="e">
        <f>VLOOKUP($A102,'S50'!$C:$BQ,22,0)</f>
        <v>#N/A</v>
      </c>
      <c r="BH102" s="115" t="e">
        <f>VLOOKUP($A102,'S50'!$C:$BQ,29,0)</f>
        <v>#N/A</v>
      </c>
      <c r="BI102" s="115" t="e">
        <f>VLOOKUP($A102,'S50'!$C:$BQ,30,0)</f>
        <v>#N/A</v>
      </c>
      <c r="BJ102" s="115" t="e">
        <f>VLOOKUP($A102,'S50'!$C:$BQ,52,0)</f>
        <v>#N/A</v>
      </c>
      <c r="BK102" s="115" t="e">
        <f>VLOOKUP($A102,'S50'!$C:$BQ,59,0)</f>
        <v>#N/A</v>
      </c>
      <c r="BL102" s="115" t="e">
        <f>VLOOKUP($A102,'S50'!$C:$BQ,60,0)</f>
        <v>#N/A</v>
      </c>
    </row>
    <row r="103" spans="1:64" x14ac:dyDescent="0.2">
      <c r="A103" s="106" t="s">
        <v>164</v>
      </c>
      <c r="B103" s="107">
        <f>VLOOKUP($A103,'S0 remplacer avec S44'!$C:$BQ,32,0)</f>
        <v>109.7</v>
      </c>
      <c r="C103" s="107">
        <f>VLOOKUP($A103,'S0 remplacer avec S44'!$C:$BQ,39,0)</f>
        <v>50</v>
      </c>
      <c r="D103" s="107">
        <f>VLOOKUP($A103,'S0 remplacer avec S44'!$C:$BQ,40,0)</f>
        <v>81</v>
      </c>
      <c r="E103" s="107">
        <f>VLOOKUP($A103,'S0 remplacer avec S44'!$C:$BQ,22,0)</f>
        <v>1236.1225099999999</v>
      </c>
      <c r="F103" s="115">
        <f>VLOOKUP($A103,'S0 remplacer avec S44'!$C:$BQ,29,0)</f>
        <v>210</v>
      </c>
      <c r="G103" s="115">
        <f>VLOOKUP($A103,'S0 remplacer avec S44'!$C:$BQ,30,0)</f>
        <v>499</v>
      </c>
      <c r="H103" s="115">
        <f>VLOOKUP($A103,'S0 remplacer avec S44'!$C:$BQ,52,0)</f>
        <v>36.6</v>
      </c>
      <c r="I103" s="115">
        <f>VLOOKUP($A103,'S0 remplacer avec S44'!$C:$BQ,59,0)</f>
        <v>45</v>
      </c>
      <c r="J103" s="115">
        <f>VLOOKUP($A103,'S0 remplacer avec S44'!$C:$BQ,60,0)</f>
        <v>61</v>
      </c>
      <c r="K103" s="107" t="e">
        <f>VLOOKUP($A103,'S45'!$C:$BQ,32,0)</f>
        <v>#N/A</v>
      </c>
      <c r="L103" s="107" t="e">
        <f>VLOOKUP($A103,'S45'!$C:$BQ,39,0)</f>
        <v>#N/A</v>
      </c>
      <c r="M103" s="107" t="e">
        <f>VLOOKUP($A103,'S45'!$C:$BQ,40,0)</f>
        <v>#N/A</v>
      </c>
      <c r="N103" s="107" t="e">
        <f>VLOOKUP($A103,'S45'!$C:$BQ,22,0)</f>
        <v>#N/A</v>
      </c>
      <c r="O103" s="115" t="e">
        <f>VLOOKUP($A103,'S45'!$C:$BQ,29,0)</f>
        <v>#N/A</v>
      </c>
      <c r="P103" s="115" t="e">
        <f>VLOOKUP($A103,'S45'!$C:$BQ,30,0)</f>
        <v>#N/A</v>
      </c>
      <c r="Q103" s="115" t="e">
        <f>VLOOKUP($A103,'S45'!$C:$BQ,52,0)</f>
        <v>#N/A</v>
      </c>
      <c r="R103" s="115" t="e">
        <f>VLOOKUP($A103,'S45'!$C:$BQ,59,0)</f>
        <v>#N/A</v>
      </c>
      <c r="S103" s="115" t="e">
        <f>VLOOKUP($A103,'S45'!$C:$BQ,60,0)</f>
        <v>#N/A</v>
      </c>
      <c r="T103" s="107" t="e">
        <f>VLOOKUP($A103,'S46'!$C:$BQ,32,0)</f>
        <v>#N/A</v>
      </c>
      <c r="U103" s="107" t="e">
        <f>VLOOKUP($A103,'S46'!$C:$BQ,39,0)</f>
        <v>#N/A</v>
      </c>
      <c r="V103" s="107" t="e">
        <f>VLOOKUP($A103,'S46'!$C:$BQ,40,0)</f>
        <v>#N/A</v>
      </c>
      <c r="W103" s="107" t="e">
        <f>VLOOKUP($A103,'S46'!$C:$BQ,22,0)</f>
        <v>#N/A</v>
      </c>
      <c r="X103" s="115" t="e">
        <f>VLOOKUP($A103,'S46'!$C:$BQ,29,0)</f>
        <v>#N/A</v>
      </c>
      <c r="Y103" s="115" t="e">
        <f>VLOOKUP($A103,'S46'!$C:$BQ,30,0)</f>
        <v>#N/A</v>
      </c>
      <c r="Z103" s="115" t="e">
        <f>VLOOKUP($A103,'S46'!$C:$BQ,52,0)</f>
        <v>#N/A</v>
      </c>
      <c r="AA103" s="115" t="e">
        <f>VLOOKUP($A103,'S46'!$C:$BQ,59,0)</f>
        <v>#N/A</v>
      </c>
      <c r="AB103" s="115" t="e">
        <f>VLOOKUP($A103,'S46'!$C:$BQ,60,0)</f>
        <v>#N/A</v>
      </c>
      <c r="AC103" s="107" t="e">
        <f>VLOOKUP($A103,'S47'!$C:$BQ,32,0)</f>
        <v>#N/A</v>
      </c>
      <c r="AD103" s="107" t="e">
        <f>VLOOKUP($A103,'S47'!$C:$BQ,39,0)</f>
        <v>#N/A</v>
      </c>
      <c r="AE103" s="107" t="e">
        <f>VLOOKUP($A103,'S47'!$C:$BQ,40,0)</f>
        <v>#N/A</v>
      </c>
      <c r="AF103" s="107" t="e">
        <f>VLOOKUP($A103,'S47'!$C:$BQ,22,0)</f>
        <v>#N/A</v>
      </c>
      <c r="AG103" s="115" t="e">
        <f>VLOOKUP($A103,'S47'!$C:$BQ,29,0)</f>
        <v>#N/A</v>
      </c>
      <c r="AH103" s="115" t="e">
        <f>VLOOKUP($A103,'S47'!$C:$BQ,30,0)</f>
        <v>#N/A</v>
      </c>
      <c r="AI103" s="115" t="e">
        <f>VLOOKUP($A103,'S47'!$C:$BQ,52,0)</f>
        <v>#N/A</v>
      </c>
      <c r="AJ103" s="115" t="e">
        <f>VLOOKUP($A103,'S47'!$C:$BQ,59,0)</f>
        <v>#N/A</v>
      </c>
      <c r="AK103" s="115" t="e">
        <f>VLOOKUP($A103,'S47'!$C:$BQ,60,0)</f>
        <v>#N/A</v>
      </c>
      <c r="AL103" s="107" t="e">
        <f>VLOOKUP($A103,'S48'!$C:$BQ,32,0)</f>
        <v>#N/A</v>
      </c>
      <c r="AM103" s="107" t="e">
        <f>VLOOKUP($A103,'S48'!$C:$BQ,39,0)</f>
        <v>#N/A</v>
      </c>
      <c r="AN103" s="107" t="e">
        <f>VLOOKUP($A103,'S48'!$C:$BQ,40,0)</f>
        <v>#N/A</v>
      </c>
      <c r="AO103" s="107" t="e">
        <f>VLOOKUP($A103,'S48'!$C:$BQ,22,0)</f>
        <v>#N/A</v>
      </c>
      <c r="AP103" s="115" t="e">
        <f>VLOOKUP($A103,'S48'!$C:$BQ,29,0)</f>
        <v>#N/A</v>
      </c>
      <c r="AQ103" s="115" t="e">
        <f>VLOOKUP($A103,'S48'!$C:$BQ,30,0)</f>
        <v>#N/A</v>
      </c>
      <c r="AR103" s="115" t="e">
        <f>VLOOKUP($A103,'S48'!$C:$BQ,52,0)</f>
        <v>#N/A</v>
      </c>
      <c r="AS103" s="115" t="e">
        <f>VLOOKUP($A103,'S48'!$C:$BQ,59,0)</f>
        <v>#N/A</v>
      </c>
      <c r="AT103" s="115" t="e">
        <f>VLOOKUP($A103,'S48'!$C:$BQ,60,0)</f>
        <v>#N/A</v>
      </c>
      <c r="AU103" s="107" t="e">
        <f>VLOOKUP($A103,'S49'!$C:$BQ,32,0)</f>
        <v>#N/A</v>
      </c>
      <c r="AV103" s="107" t="e">
        <f>VLOOKUP($A103,'S49'!$C:$BQ,39,0)</f>
        <v>#N/A</v>
      </c>
      <c r="AW103" s="107" t="e">
        <f>VLOOKUP($A103,'S49'!$C:$BQ,40,0)</f>
        <v>#N/A</v>
      </c>
      <c r="AX103" s="107" t="e">
        <f>VLOOKUP($A103,'S49'!$C:$BQ,22,0)</f>
        <v>#N/A</v>
      </c>
      <c r="AY103" s="115" t="e">
        <f>VLOOKUP($A103,'S49'!$C:$BQ,29,0)</f>
        <v>#N/A</v>
      </c>
      <c r="AZ103" s="115" t="e">
        <f>VLOOKUP($A103,'S49'!$C:$BQ,30,0)</f>
        <v>#N/A</v>
      </c>
      <c r="BA103" s="115" t="e">
        <f>VLOOKUP($A103,'S49'!$C:$BQ,52,0)</f>
        <v>#N/A</v>
      </c>
      <c r="BB103" s="115" t="e">
        <f>VLOOKUP($A103,'S49'!$C:$BQ,59,0)</f>
        <v>#N/A</v>
      </c>
      <c r="BC103" s="115" t="e">
        <f>VLOOKUP($A103,'S49'!$C:$BQ,60,0)</f>
        <v>#N/A</v>
      </c>
      <c r="BD103" s="107" t="e">
        <f>VLOOKUP($A103,'S50'!$C:$BQ,32,0)</f>
        <v>#N/A</v>
      </c>
      <c r="BE103" s="107" t="e">
        <f>VLOOKUP($A103,'S50'!$C:$BQ,39,0)</f>
        <v>#N/A</v>
      </c>
      <c r="BF103" s="107" t="e">
        <f>VLOOKUP($A103,'S50'!$C:$BQ,40,0)</f>
        <v>#N/A</v>
      </c>
      <c r="BG103" s="107" t="e">
        <f>VLOOKUP($A103,'S50'!$C:$BQ,22,0)</f>
        <v>#N/A</v>
      </c>
      <c r="BH103" s="115" t="e">
        <f>VLOOKUP($A103,'S50'!$C:$BQ,29,0)</f>
        <v>#N/A</v>
      </c>
      <c r="BI103" s="115" t="e">
        <f>VLOOKUP($A103,'S50'!$C:$BQ,30,0)</f>
        <v>#N/A</v>
      </c>
      <c r="BJ103" s="115" t="e">
        <f>VLOOKUP($A103,'S50'!$C:$BQ,52,0)</f>
        <v>#N/A</v>
      </c>
      <c r="BK103" s="115" t="e">
        <f>VLOOKUP($A103,'S50'!$C:$BQ,59,0)</f>
        <v>#N/A</v>
      </c>
      <c r="BL103" s="115" t="e">
        <f>VLOOKUP($A103,'S50'!$C:$BQ,60,0)</f>
        <v>#N/A</v>
      </c>
    </row>
    <row r="104" spans="1:64" x14ac:dyDescent="0.2">
      <c r="A104" s="106" t="s">
        <v>165</v>
      </c>
      <c r="B104" s="107">
        <f>VLOOKUP($A104,'S0 remplacer avec S44'!$C:$BQ,32,0)</f>
        <v>201.5</v>
      </c>
      <c r="C104" s="107">
        <f>VLOOKUP($A104,'S0 remplacer avec S44'!$C:$BQ,39,0)</f>
        <v>148</v>
      </c>
      <c r="D104" s="107">
        <f>VLOOKUP($A104,'S0 remplacer avec S44'!$C:$BQ,40,0)</f>
        <v>218</v>
      </c>
      <c r="E104" s="107">
        <f>VLOOKUP($A104,'S0 remplacer avec S44'!$C:$BQ,22,0)</f>
        <v>2088.0927799999999</v>
      </c>
      <c r="F104" s="115">
        <f>VLOOKUP($A104,'S0 remplacer avec S44'!$C:$BQ,29,0)</f>
        <v>1086</v>
      </c>
      <c r="G104" s="115">
        <f>VLOOKUP($A104,'S0 remplacer avec S44'!$C:$BQ,30,0)</f>
        <v>1721</v>
      </c>
      <c r="H104" s="115">
        <f>VLOOKUP($A104,'S0 remplacer avec S44'!$C:$BQ,52,0)</f>
        <v>184.6</v>
      </c>
      <c r="I104" s="115">
        <f>VLOOKUP($A104,'S0 remplacer avec S44'!$C:$BQ,59,0)</f>
        <v>0</v>
      </c>
      <c r="J104" s="115">
        <f>VLOOKUP($A104,'S0 remplacer avec S44'!$C:$BQ,60,0)</f>
        <v>29</v>
      </c>
      <c r="K104" s="107" t="e">
        <f>VLOOKUP($A104,'S45'!$C:$BQ,32,0)</f>
        <v>#N/A</v>
      </c>
      <c r="L104" s="107" t="e">
        <f>VLOOKUP($A104,'S45'!$C:$BQ,39,0)</f>
        <v>#N/A</v>
      </c>
      <c r="M104" s="107" t="e">
        <f>VLOOKUP($A104,'S45'!$C:$BQ,40,0)</f>
        <v>#N/A</v>
      </c>
      <c r="N104" s="107" t="e">
        <f>VLOOKUP($A104,'S45'!$C:$BQ,22,0)</f>
        <v>#N/A</v>
      </c>
      <c r="O104" s="115" t="e">
        <f>VLOOKUP($A104,'S45'!$C:$BQ,29,0)</f>
        <v>#N/A</v>
      </c>
      <c r="P104" s="115" t="e">
        <f>VLOOKUP($A104,'S45'!$C:$BQ,30,0)</f>
        <v>#N/A</v>
      </c>
      <c r="Q104" s="115" t="e">
        <f>VLOOKUP($A104,'S45'!$C:$BQ,52,0)</f>
        <v>#N/A</v>
      </c>
      <c r="R104" s="115" t="e">
        <f>VLOOKUP($A104,'S45'!$C:$BQ,59,0)</f>
        <v>#N/A</v>
      </c>
      <c r="S104" s="115" t="e">
        <f>VLOOKUP($A104,'S45'!$C:$BQ,60,0)</f>
        <v>#N/A</v>
      </c>
      <c r="T104" s="107" t="e">
        <f>VLOOKUP($A104,'S46'!$C:$BQ,32,0)</f>
        <v>#N/A</v>
      </c>
      <c r="U104" s="107" t="e">
        <f>VLOOKUP($A104,'S46'!$C:$BQ,39,0)</f>
        <v>#N/A</v>
      </c>
      <c r="V104" s="107" t="e">
        <f>VLOOKUP($A104,'S46'!$C:$BQ,40,0)</f>
        <v>#N/A</v>
      </c>
      <c r="W104" s="107" t="e">
        <f>VLOOKUP($A104,'S46'!$C:$BQ,22,0)</f>
        <v>#N/A</v>
      </c>
      <c r="X104" s="115" t="e">
        <f>VLOOKUP($A104,'S46'!$C:$BQ,29,0)</f>
        <v>#N/A</v>
      </c>
      <c r="Y104" s="115" t="e">
        <f>VLOOKUP($A104,'S46'!$C:$BQ,30,0)</f>
        <v>#N/A</v>
      </c>
      <c r="Z104" s="115" t="e">
        <f>VLOOKUP($A104,'S46'!$C:$BQ,52,0)</f>
        <v>#N/A</v>
      </c>
      <c r="AA104" s="115" t="e">
        <f>VLOOKUP($A104,'S46'!$C:$BQ,59,0)</f>
        <v>#N/A</v>
      </c>
      <c r="AB104" s="115" t="e">
        <f>VLOOKUP($A104,'S46'!$C:$BQ,60,0)</f>
        <v>#N/A</v>
      </c>
      <c r="AC104" s="107" t="e">
        <f>VLOOKUP($A104,'S47'!$C:$BQ,32,0)</f>
        <v>#N/A</v>
      </c>
      <c r="AD104" s="107" t="e">
        <f>VLOOKUP($A104,'S47'!$C:$BQ,39,0)</f>
        <v>#N/A</v>
      </c>
      <c r="AE104" s="107" t="e">
        <f>VLOOKUP($A104,'S47'!$C:$BQ,40,0)</f>
        <v>#N/A</v>
      </c>
      <c r="AF104" s="107" t="e">
        <f>VLOOKUP($A104,'S47'!$C:$BQ,22,0)</f>
        <v>#N/A</v>
      </c>
      <c r="AG104" s="115" t="e">
        <f>VLOOKUP($A104,'S47'!$C:$BQ,29,0)</f>
        <v>#N/A</v>
      </c>
      <c r="AH104" s="115" t="e">
        <f>VLOOKUP($A104,'S47'!$C:$BQ,30,0)</f>
        <v>#N/A</v>
      </c>
      <c r="AI104" s="115" t="e">
        <f>VLOOKUP($A104,'S47'!$C:$BQ,52,0)</f>
        <v>#N/A</v>
      </c>
      <c r="AJ104" s="115" t="e">
        <f>VLOOKUP($A104,'S47'!$C:$BQ,59,0)</f>
        <v>#N/A</v>
      </c>
      <c r="AK104" s="115" t="e">
        <f>VLOOKUP($A104,'S47'!$C:$BQ,60,0)</f>
        <v>#N/A</v>
      </c>
      <c r="AL104" s="107" t="e">
        <f>VLOOKUP($A104,'S48'!$C:$BQ,32,0)</f>
        <v>#N/A</v>
      </c>
      <c r="AM104" s="107" t="e">
        <f>VLOOKUP($A104,'S48'!$C:$BQ,39,0)</f>
        <v>#N/A</v>
      </c>
      <c r="AN104" s="107" t="e">
        <f>VLOOKUP($A104,'S48'!$C:$BQ,40,0)</f>
        <v>#N/A</v>
      </c>
      <c r="AO104" s="107" t="e">
        <f>VLOOKUP($A104,'S48'!$C:$BQ,22,0)</f>
        <v>#N/A</v>
      </c>
      <c r="AP104" s="115" t="e">
        <f>VLOOKUP($A104,'S48'!$C:$BQ,29,0)</f>
        <v>#N/A</v>
      </c>
      <c r="AQ104" s="115" t="e">
        <f>VLOOKUP($A104,'S48'!$C:$BQ,30,0)</f>
        <v>#N/A</v>
      </c>
      <c r="AR104" s="115" t="e">
        <f>VLOOKUP($A104,'S48'!$C:$BQ,52,0)</f>
        <v>#N/A</v>
      </c>
      <c r="AS104" s="115" t="e">
        <f>VLOOKUP($A104,'S48'!$C:$BQ,59,0)</f>
        <v>#N/A</v>
      </c>
      <c r="AT104" s="115" t="e">
        <f>VLOOKUP($A104,'S48'!$C:$BQ,60,0)</f>
        <v>#N/A</v>
      </c>
      <c r="AU104" s="107" t="e">
        <f>VLOOKUP($A104,'S49'!$C:$BQ,32,0)</f>
        <v>#N/A</v>
      </c>
      <c r="AV104" s="107" t="e">
        <f>VLOOKUP($A104,'S49'!$C:$BQ,39,0)</f>
        <v>#N/A</v>
      </c>
      <c r="AW104" s="107" t="e">
        <f>VLOOKUP($A104,'S49'!$C:$BQ,40,0)</f>
        <v>#N/A</v>
      </c>
      <c r="AX104" s="107" t="e">
        <f>VLOOKUP($A104,'S49'!$C:$BQ,22,0)</f>
        <v>#N/A</v>
      </c>
      <c r="AY104" s="115" t="e">
        <f>VLOOKUP($A104,'S49'!$C:$BQ,29,0)</f>
        <v>#N/A</v>
      </c>
      <c r="AZ104" s="115" t="e">
        <f>VLOOKUP($A104,'S49'!$C:$BQ,30,0)</f>
        <v>#N/A</v>
      </c>
      <c r="BA104" s="115" t="e">
        <f>VLOOKUP($A104,'S49'!$C:$BQ,52,0)</f>
        <v>#N/A</v>
      </c>
      <c r="BB104" s="115" t="e">
        <f>VLOOKUP($A104,'S49'!$C:$BQ,59,0)</f>
        <v>#N/A</v>
      </c>
      <c r="BC104" s="115" t="e">
        <f>VLOOKUP($A104,'S49'!$C:$BQ,60,0)</f>
        <v>#N/A</v>
      </c>
      <c r="BD104" s="107" t="e">
        <f>VLOOKUP($A104,'S50'!$C:$BQ,32,0)</f>
        <v>#N/A</v>
      </c>
      <c r="BE104" s="107" t="e">
        <f>VLOOKUP($A104,'S50'!$C:$BQ,39,0)</f>
        <v>#N/A</v>
      </c>
      <c r="BF104" s="107" t="e">
        <f>VLOOKUP($A104,'S50'!$C:$BQ,40,0)</f>
        <v>#N/A</v>
      </c>
      <c r="BG104" s="107" t="e">
        <f>VLOOKUP($A104,'S50'!$C:$BQ,22,0)</f>
        <v>#N/A</v>
      </c>
      <c r="BH104" s="115" t="e">
        <f>VLOOKUP($A104,'S50'!$C:$BQ,29,0)</f>
        <v>#N/A</v>
      </c>
      <c r="BI104" s="115" t="e">
        <f>VLOOKUP($A104,'S50'!$C:$BQ,30,0)</f>
        <v>#N/A</v>
      </c>
      <c r="BJ104" s="115" t="e">
        <f>VLOOKUP($A104,'S50'!$C:$BQ,52,0)</f>
        <v>#N/A</v>
      </c>
      <c r="BK104" s="115" t="e">
        <f>VLOOKUP($A104,'S50'!$C:$BQ,59,0)</f>
        <v>#N/A</v>
      </c>
      <c r="BL104" s="115" t="e">
        <f>VLOOKUP($A104,'S50'!$C:$BQ,60,0)</f>
        <v>#N/A</v>
      </c>
    </row>
    <row r="105" spans="1:64" x14ac:dyDescent="0.2">
      <c r="A105" s="106" t="s">
        <v>166</v>
      </c>
      <c r="B105" s="107">
        <f>VLOOKUP($A105,'S0 remplacer avec S44'!$C:$BQ,32,0)</f>
        <v>205.3</v>
      </c>
      <c r="C105" s="107">
        <f>VLOOKUP($A105,'S0 remplacer avec S44'!$C:$BQ,39,0)</f>
        <v>94</v>
      </c>
      <c r="D105" s="107">
        <f>VLOOKUP($A105,'S0 remplacer avec S44'!$C:$BQ,40,0)</f>
        <v>154</v>
      </c>
      <c r="E105" s="107">
        <f>VLOOKUP($A105,'S0 remplacer avec S44'!$C:$BQ,22,0)</f>
        <v>1974.17869</v>
      </c>
      <c r="F105" s="115">
        <f>VLOOKUP($A105,'S0 remplacer avec S44'!$C:$BQ,29,0)</f>
        <v>746</v>
      </c>
      <c r="G105" s="115">
        <f>VLOOKUP($A105,'S0 remplacer avec S44'!$C:$BQ,30,0)</f>
        <v>1290</v>
      </c>
      <c r="H105" s="115">
        <f>VLOOKUP($A105,'S0 remplacer avec S44'!$C:$BQ,52,0)</f>
        <v>177.8</v>
      </c>
      <c r="I105" s="115">
        <f>VLOOKUP($A105,'S0 remplacer avec S44'!$C:$BQ,59,0)</f>
        <v>0</v>
      </c>
      <c r="J105" s="115">
        <f>VLOOKUP($A105,'S0 remplacer avec S44'!$C:$BQ,60,0)</f>
        <v>5</v>
      </c>
      <c r="K105" s="107" t="e">
        <f>VLOOKUP($A105,'S45'!$C:$BQ,32,0)</f>
        <v>#N/A</v>
      </c>
      <c r="L105" s="107" t="e">
        <f>VLOOKUP($A105,'S45'!$C:$BQ,39,0)</f>
        <v>#N/A</v>
      </c>
      <c r="M105" s="107" t="e">
        <f>VLOOKUP($A105,'S45'!$C:$BQ,40,0)</f>
        <v>#N/A</v>
      </c>
      <c r="N105" s="107" t="e">
        <f>VLOOKUP($A105,'S45'!$C:$BQ,22,0)</f>
        <v>#N/A</v>
      </c>
      <c r="O105" s="115" t="e">
        <f>VLOOKUP($A105,'S45'!$C:$BQ,29,0)</f>
        <v>#N/A</v>
      </c>
      <c r="P105" s="115" t="e">
        <f>VLOOKUP($A105,'S45'!$C:$BQ,30,0)</f>
        <v>#N/A</v>
      </c>
      <c r="Q105" s="115" t="e">
        <f>VLOOKUP($A105,'S45'!$C:$BQ,52,0)</f>
        <v>#N/A</v>
      </c>
      <c r="R105" s="115" t="e">
        <f>VLOOKUP($A105,'S45'!$C:$BQ,59,0)</f>
        <v>#N/A</v>
      </c>
      <c r="S105" s="115" t="e">
        <f>VLOOKUP($A105,'S45'!$C:$BQ,60,0)</f>
        <v>#N/A</v>
      </c>
      <c r="T105" s="107" t="e">
        <f>VLOOKUP($A105,'S46'!$C:$BQ,32,0)</f>
        <v>#N/A</v>
      </c>
      <c r="U105" s="107" t="e">
        <f>VLOOKUP($A105,'S46'!$C:$BQ,39,0)</f>
        <v>#N/A</v>
      </c>
      <c r="V105" s="107" t="e">
        <f>VLOOKUP($A105,'S46'!$C:$BQ,40,0)</f>
        <v>#N/A</v>
      </c>
      <c r="W105" s="107" t="e">
        <f>VLOOKUP($A105,'S46'!$C:$BQ,22,0)</f>
        <v>#N/A</v>
      </c>
      <c r="X105" s="115" t="e">
        <f>VLOOKUP($A105,'S46'!$C:$BQ,29,0)</f>
        <v>#N/A</v>
      </c>
      <c r="Y105" s="115" t="e">
        <f>VLOOKUP($A105,'S46'!$C:$BQ,30,0)</f>
        <v>#N/A</v>
      </c>
      <c r="Z105" s="115" t="e">
        <f>VLOOKUP($A105,'S46'!$C:$BQ,52,0)</f>
        <v>#N/A</v>
      </c>
      <c r="AA105" s="115" t="e">
        <f>VLOOKUP($A105,'S46'!$C:$BQ,59,0)</f>
        <v>#N/A</v>
      </c>
      <c r="AB105" s="115" t="e">
        <f>VLOOKUP($A105,'S46'!$C:$BQ,60,0)</f>
        <v>#N/A</v>
      </c>
      <c r="AC105" s="107" t="e">
        <f>VLOOKUP($A105,'S47'!$C:$BQ,32,0)</f>
        <v>#N/A</v>
      </c>
      <c r="AD105" s="107" t="e">
        <f>VLOOKUP($A105,'S47'!$C:$BQ,39,0)</f>
        <v>#N/A</v>
      </c>
      <c r="AE105" s="107" t="e">
        <f>VLOOKUP($A105,'S47'!$C:$BQ,40,0)</f>
        <v>#N/A</v>
      </c>
      <c r="AF105" s="107" t="e">
        <f>VLOOKUP($A105,'S47'!$C:$BQ,22,0)</f>
        <v>#N/A</v>
      </c>
      <c r="AG105" s="115" t="e">
        <f>VLOOKUP($A105,'S47'!$C:$BQ,29,0)</f>
        <v>#N/A</v>
      </c>
      <c r="AH105" s="115" t="e">
        <f>VLOOKUP($A105,'S47'!$C:$BQ,30,0)</f>
        <v>#N/A</v>
      </c>
      <c r="AI105" s="115" t="e">
        <f>VLOOKUP($A105,'S47'!$C:$BQ,52,0)</f>
        <v>#N/A</v>
      </c>
      <c r="AJ105" s="115" t="e">
        <f>VLOOKUP($A105,'S47'!$C:$BQ,59,0)</f>
        <v>#N/A</v>
      </c>
      <c r="AK105" s="115" t="e">
        <f>VLOOKUP($A105,'S47'!$C:$BQ,60,0)</f>
        <v>#N/A</v>
      </c>
      <c r="AL105" s="107" t="e">
        <f>VLOOKUP($A105,'S48'!$C:$BQ,32,0)</f>
        <v>#N/A</v>
      </c>
      <c r="AM105" s="107" t="e">
        <f>VLOOKUP($A105,'S48'!$C:$BQ,39,0)</f>
        <v>#N/A</v>
      </c>
      <c r="AN105" s="107" t="e">
        <f>VLOOKUP($A105,'S48'!$C:$BQ,40,0)</f>
        <v>#N/A</v>
      </c>
      <c r="AO105" s="107" t="e">
        <f>VLOOKUP($A105,'S48'!$C:$BQ,22,0)</f>
        <v>#N/A</v>
      </c>
      <c r="AP105" s="115" t="e">
        <f>VLOOKUP($A105,'S48'!$C:$BQ,29,0)</f>
        <v>#N/A</v>
      </c>
      <c r="AQ105" s="115" t="e">
        <f>VLOOKUP($A105,'S48'!$C:$BQ,30,0)</f>
        <v>#N/A</v>
      </c>
      <c r="AR105" s="115" t="e">
        <f>VLOOKUP($A105,'S48'!$C:$BQ,52,0)</f>
        <v>#N/A</v>
      </c>
      <c r="AS105" s="115" t="e">
        <f>VLOOKUP($A105,'S48'!$C:$BQ,59,0)</f>
        <v>#N/A</v>
      </c>
      <c r="AT105" s="115" t="e">
        <f>VLOOKUP($A105,'S48'!$C:$BQ,60,0)</f>
        <v>#N/A</v>
      </c>
      <c r="AU105" s="107" t="e">
        <f>VLOOKUP($A105,'S49'!$C:$BQ,32,0)</f>
        <v>#N/A</v>
      </c>
      <c r="AV105" s="107" t="e">
        <f>VLOOKUP($A105,'S49'!$C:$BQ,39,0)</f>
        <v>#N/A</v>
      </c>
      <c r="AW105" s="107" t="e">
        <f>VLOOKUP($A105,'S49'!$C:$BQ,40,0)</f>
        <v>#N/A</v>
      </c>
      <c r="AX105" s="107" t="e">
        <f>VLOOKUP($A105,'S49'!$C:$BQ,22,0)</f>
        <v>#N/A</v>
      </c>
      <c r="AY105" s="115" t="e">
        <f>VLOOKUP($A105,'S49'!$C:$BQ,29,0)</f>
        <v>#N/A</v>
      </c>
      <c r="AZ105" s="115" t="e">
        <f>VLOOKUP($A105,'S49'!$C:$BQ,30,0)</f>
        <v>#N/A</v>
      </c>
      <c r="BA105" s="115" t="e">
        <f>VLOOKUP($A105,'S49'!$C:$BQ,52,0)</f>
        <v>#N/A</v>
      </c>
      <c r="BB105" s="115" t="e">
        <f>VLOOKUP($A105,'S49'!$C:$BQ,59,0)</f>
        <v>#N/A</v>
      </c>
      <c r="BC105" s="115" t="e">
        <f>VLOOKUP($A105,'S49'!$C:$BQ,60,0)</f>
        <v>#N/A</v>
      </c>
      <c r="BD105" s="107" t="e">
        <f>VLOOKUP($A105,'S50'!$C:$BQ,32,0)</f>
        <v>#N/A</v>
      </c>
      <c r="BE105" s="107" t="e">
        <f>VLOOKUP($A105,'S50'!$C:$BQ,39,0)</f>
        <v>#N/A</v>
      </c>
      <c r="BF105" s="107" t="e">
        <f>VLOOKUP($A105,'S50'!$C:$BQ,40,0)</f>
        <v>#N/A</v>
      </c>
      <c r="BG105" s="107" t="e">
        <f>VLOOKUP($A105,'S50'!$C:$BQ,22,0)</f>
        <v>#N/A</v>
      </c>
      <c r="BH105" s="115" t="e">
        <f>VLOOKUP($A105,'S50'!$C:$BQ,29,0)</f>
        <v>#N/A</v>
      </c>
      <c r="BI105" s="115" t="e">
        <f>VLOOKUP($A105,'S50'!$C:$BQ,30,0)</f>
        <v>#N/A</v>
      </c>
      <c r="BJ105" s="115" t="e">
        <f>VLOOKUP($A105,'S50'!$C:$BQ,52,0)</f>
        <v>#N/A</v>
      </c>
      <c r="BK105" s="115" t="e">
        <f>VLOOKUP($A105,'S50'!$C:$BQ,59,0)</f>
        <v>#N/A</v>
      </c>
      <c r="BL105" s="115" t="e">
        <f>VLOOKUP($A105,'S50'!$C:$BQ,60,0)</f>
        <v>#N/A</v>
      </c>
    </row>
    <row r="106" spans="1:64" x14ac:dyDescent="0.2">
      <c r="A106" s="106" t="s">
        <v>167</v>
      </c>
      <c r="B106" s="107">
        <f>VLOOKUP($A106,'S0 remplacer avec S44'!$C:$BQ,32,0)</f>
        <v>268</v>
      </c>
      <c r="C106" s="107">
        <f>VLOOKUP($A106,'S0 remplacer avec S44'!$C:$BQ,39,0)</f>
        <v>100</v>
      </c>
      <c r="D106" s="107">
        <f>VLOOKUP($A106,'S0 remplacer avec S44'!$C:$BQ,40,0)</f>
        <v>173</v>
      </c>
      <c r="E106" s="107">
        <f>VLOOKUP($A106,'S0 remplacer avec S44'!$C:$BQ,22,0)</f>
        <v>2752.7860599999999</v>
      </c>
      <c r="F106" s="115">
        <f>VLOOKUP($A106,'S0 remplacer avec S44'!$C:$BQ,29,0)</f>
        <v>586</v>
      </c>
      <c r="G106" s="115">
        <f>VLOOKUP($A106,'S0 remplacer avec S44'!$C:$BQ,30,0)</f>
        <v>1253</v>
      </c>
      <c r="H106" s="115">
        <f>VLOOKUP($A106,'S0 remplacer avec S44'!$C:$BQ,52,0)</f>
        <v>171.4</v>
      </c>
      <c r="I106" s="115">
        <f>VLOOKUP($A106,'S0 remplacer avec S44'!$C:$BQ,59,0)</f>
        <v>16</v>
      </c>
      <c r="J106" s="115">
        <f>VLOOKUP($A106,'S0 remplacer avec S44'!$C:$BQ,60,0)</f>
        <v>53</v>
      </c>
      <c r="K106" s="107" t="e">
        <f>VLOOKUP($A106,'S45'!$C:$BQ,32,0)</f>
        <v>#N/A</v>
      </c>
      <c r="L106" s="107" t="e">
        <f>VLOOKUP($A106,'S45'!$C:$BQ,39,0)</f>
        <v>#N/A</v>
      </c>
      <c r="M106" s="107" t="e">
        <f>VLOOKUP($A106,'S45'!$C:$BQ,40,0)</f>
        <v>#N/A</v>
      </c>
      <c r="N106" s="107" t="e">
        <f>VLOOKUP($A106,'S45'!$C:$BQ,22,0)</f>
        <v>#N/A</v>
      </c>
      <c r="O106" s="115" t="e">
        <f>VLOOKUP($A106,'S45'!$C:$BQ,29,0)</f>
        <v>#N/A</v>
      </c>
      <c r="P106" s="115" t="e">
        <f>VLOOKUP($A106,'S45'!$C:$BQ,30,0)</f>
        <v>#N/A</v>
      </c>
      <c r="Q106" s="115" t="e">
        <f>VLOOKUP($A106,'S45'!$C:$BQ,52,0)</f>
        <v>#N/A</v>
      </c>
      <c r="R106" s="115" t="e">
        <f>VLOOKUP($A106,'S45'!$C:$BQ,59,0)</f>
        <v>#N/A</v>
      </c>
      <c r="S106" s="115" t="e">
        <f>VLOOKUP($A106,'S45'!$C:$BQ,60,0)</f>
        <v>#N/A</v>
      </c>
      <c r="T106" s="107" t="e">
        <f>VLOOKUP($A106,'S46'!$C:$BQ,32,0)</f>
        <v>#N/A</v>
      </c>
      <c r="U106" s="107" t="e">
        <f>VLOOKUP($A106,'S46'!$C:$BQ,39,0)</f>
        <v>#N/A</v>
      </c>
      <c r="V106" s="107" t="e">
        <f>VLOOKUP($A106,'S46'!$C:$BQ,40,0)</f>
        <v>#N/A</v>
      </c>
      <c r="W106" s="107" t="e">
        <f>VLOOKUP($A106,'S46'!$C:$BQ,22,0)</f>
        <v>#N/A</v>
      </c>
      <c r="X106" s="115" t="e">
        <f>VLOOKUP($A106,'S46'!$C:$BQ,29,0)</f>
        <v>#N/A</v>
      </c>
      <c r="Y106" s="115" t="e">
        <f>VLOOKUP($A106,'S46'!$C:$BQ,30,0)</f>
        <v>#N/A</v>
      </c>
      <c r="Z106" s="115" t="e">
        <f>VLOOKUP($A106,'S46'!$C:$BQ,52,0)</f>
        <v>#N/A</v>
      </c>
      <c r="AA106" s="115" t="e">
        <f>VLOOKUP($A106,'S46'!$C:$BQ,59,0)</f>
        <v>#N/A</v>
      </c>
      <c r="AB106" s="115" t="e">
        <f>VLOOKUP($A106,'S46'!$C:$BQ,60,0)</f>
        <v>#N/A</v>
      </c>
      <c r="AC106" s="107" t="e">
        <f>VLOOKUP($A106,'S47'!$C:$BQ,32,0)</f>
        <v>#N/A</v>
      </c>
      <c r="AD106" s="107" t="e">
        <f>VLOOKUP($A106,'S47'!$C:$BQ,39,0)</f>
        <v>#N/A</v>
      </c>
      <c r="AE106" s="107" t="e">
        <f>VLOOKUP($A106,'S47'!$C:$BQ,40,0)</f>
        <v>#N/A</v>
      </c>
      <c r="AF106" s="107" t="e">
        <f>VLOOKUP($A106,'S47'!$C:$BQ,22,0)</f>
        <v>#N/A</v>
      </c>
      <c r="AG106" s="115" t="e">
        <f>VLOOKUP($A106,'S47'!$C:$BQ,29,0)</f>
        <v>#N/A</v>
      </c>
      <c r="AH106" s="115" t="e">
        <f>VLOOKUP($A106,'S47'!$C:$BQ,30,0)</f>
        <v>#N/A</v>
      </c>
      <c r="AI106" s="115" t="e">
        <f>VLOOKUP($A106,'S47'!$C:$BQ,52,0)</f>
        <v>#N/A</v>
      </c>
      <c r="AJ106" s="115" t="e">
        <f>VLOOKUP($A106,'S47'!$C:$BQ,59,0)</f>
        <v>#N/A</v>
      </c>
      <c r="AK106" s="115" t="e">
        <f>VLOOKUP($A106,'S47'!$C:$BQ,60,0)</f>
        <v>#N/A</v>
      </c>
      <c r="AL106" s="107" t="e">
        <f>VLOOKUP($A106,'S48'!$C:$BQ,32,0)</f>
        <v>#N/A</v>
      </c>
      <c r="AM106" s="107" t="e">
        <f>VLOOKUP($A106,'S48'!$C:$BQ,39,0)</f>
        <v>#N/A</v>
      </c>
      <c r="AN106" s="107" t="e">
        <f>VLOOKUP($A106,'S48'!$C:$BQ,40,0)</f>
        <v>#N/A</v>
      </c>
      <c r="AO106" s="107" t="e">
        <f>VLOOKUP($A106,'S48'!$C:$BQ,22,0)</f>
        <v>#N/A</v>
      </c>
      <c r="AP106" s="115" t="e">
        <f>VLOOKUP($A106,'S48'!$C:$BQ,29,0)</f>
        <v>#N/A</v>
      </c>
      <c r="AQ106" s="115" t="e">
        <f>VLOOKUP($A106,'S48'!$C:$BQ,30,0)</f>
        <v>#N/A</v>
      </c>
      <c r="AR106" s="115" t="e">
        <f>VLOOKUP($A106,'S48'!$C:$BQ,52,0)</f>
        <v>#N/A</v>
      </c>
      <c r="AS106" s="115" t="e">
        <f>VLOOKUP($A106,'S48'!$C:$BQ,59,0)</f>
        <v>#N/A</v>
      </c>
      <c r="AT106" s="115" t="e">
        <f>VLOOKUP($A106,'S48'!$C:$BQ,60,0)</f>
        <v>#N/A</v>
      </c>
      <c r="AU106" s="107" t="e">
        <f>VLOOKUP($A106,'S49'!$C:$BQ,32,0)</f>
        <v>#N/A</v>
      </c>
      <c r="AV106" s="107" t="e">
        <f>VLOOKUP($A106,'S49'!$C:$BQ,39,0)</f>
        <v>#N/A</v>
      </c>
      <c r="AW106" s="107" t="e">
        <f>VLOOKUP($A106,'S49'!$C:$BQ,40,0)</f>
        <v>#N/A</v>
      </c>
      <c r="AX106" s="107" t="e">
        <f>VLOOKUP($A106,'S49'!$C:$BQ,22,0)</f>
        <v>#N/A</v>
      </c>
      <c r="AY106" s="115" t="e">
        <f>VLOOKUP($A106,'S49'!$C:$BQ,29,0)</f>
        <v>#N/A</v>
      </c>
      <c r="AZ106" s="115" t="e">
        <f>VLOOKUP($A106,'S49'!$C:$BQ,30,0)</f>
        <v>#N/A</v>
      </c>
      <c r="BA106" s="115" t="e">
        <f>VLOOKUP($A106,'S49'!$C:$BQ,52,0)</f>
        <v>#N/A</v>
      </c>
      <c r="BB106" s="115" t="e">
        <f>VLOOKUP($A106,'S49'!$C:$BQ,59,0)</f>
        <v>#N/A</v>
      </c>
      <c r="BC106" s="115" t="e">
        <f>VLOOKUP($A106,'S49'!$C:$BQ,60,0)</f>
        <v>#N/A</v>
      </c>
      <c r="BD106" s="107" t="e">
        <f>VLOOKUP($A106,'S50'!$C:$BQ,32,0)</f>
        <v>#N/A</v>
      </c>
      <c r="BE106" s="107" t="e">
        <f>VLOOKUP($A106,'S50'!$C:$BQ,39,0)</f>
        <v>#N/A</v>
      </c>
      <c r="BF106" s="107" t="e">
        <f>VLOOKUP($A106,'S50'!$C:$BQ,40,0)</f>
        <v>#N/A</v>
      </c>
      <c r="BG106" s="107" t="e">
        <f>VLOOKUP($A106,'S50'!$C:$BQ,22,0)</f>
        <v>#N/A</v>
      </c>
      <c r="BH106" s="115" t="e">
        <f>VLOOKUP($A106,'S50'!$C:$BQ,29,0)</f>
        <v>#N/A</v>
      </c>
      <c r="BI106" s="115" t="e">
        <f>VLOOKUP($A106,'S50'!$C:$BQ,30,0)</f>
        <v>#N/A</v>
      </c>
      <c r="BJ106" s="115" t="e">
        <f>VLOOKUP($A106,'S50'!$C:$BQ,52,0)</f>
        <v>#N/A</v>
      </c>
      <c r="BK106" s="115" t="e">
        <f>VLOOKUP($A106,'S50'!$C:$BQ,59,0)</f>
        <v>#N/A</v>
      </c>
      <c r="BL106" s="115" t="e">
        <f>VLOOKUP($A106,'S50'!$C:$BQ,60,0)</f>
        <v>#N/A</v>
      </c>
    </row>
    <row r="107" spans="1:64" x14ac:dyDescent="0.2">
      <c r="A107" s="106" t="s">
        <v>168</v>
      </c>
      <c r="B107" s="107">
        <f>VLOOKUP($A107,'S0 remplacer avec S44'!$C:$BQ,32,0)</f>
        <v>124.85</v>
      </c>
      <c r="C107" s="107">
        <f>VLOOKUP($A107,'S0 remplacer avec S44'!$C:$BQ,39,0)</f>
        <v>65</v>
      </c>
      <c r="D107" s="107">
        <f>VLOOKUP($A107,'S0 remplacer avec S44'!$C:$BQ,40,0)</f>
        <v>102</v>
      </c>
      <c r="E107" s="107">
        <f>VLOOKUP($A107,'S0 remplacer avec S44'!$C:$BQ,22,0)</f>
        <v>1843.8243199999999</v>
      </c>
      <c r="F107" s="115">
        <f>VLOOKUP($A107,'S0 remplacer avec S44'!$C:$BQ,29,0)</f>
        <v>0</v>
      </c>
      <c r="G107" s="115">
        <f>VLOOKUP($A107,'S0 remplacer avec S44'!$C:$BQ,30,0)</f>
        <v>218</v>
      </c>
      <c r="H107" s="115">
        <f>VLOOKUP($A107,'S0 remplacer avec S44'!$C:$BQ,52,0)</f>
        <v>100.2</v>
      </c>
      <c r="I107" s="115">
        <f>VLOOKUP($A107,'S0 remplacer avec S44'!$C:$BQ,59,0)</f>
        <v>0</v>
      </c>
      <c r="J107" s="115">
        <f>VLOOKUP($A107,'S0 remplacer avec S44'!$C:$BQ,60,0)</f>
        <v>15</v>
      </c>
      <c r="K107" s="107" t="e">
        <f>VLOOKUP($A107,'S45'!$C:$BQ,32,0)</f>
        <v>#N/A</v>
      </c>
      <c r="L107" s="107" t="e">
        <f>VLOOKUP($A107,'S45'!$C:$BQ,39,0)</f>
        <v>#N/A</v>
      </c>
      <c r="M107" s="107" t="e">
        <f>VLOOKUP($A107,'S45'!$C:$BQ,40,0)</f>
        <v>#N/A</v>
      </c>
      <c r="N107" s="107" t="e">
        <f>VLOOKUP($A107,'S45'!$C:$BQ,22,0)</f>
        <v>#N/A</v>
      </c>
      <c r="O107" s="115" t="e">
        <f>VLOOKUP($A107,'S45'!$C:$BQ,29,0)</f>
        <v>#N/A</v>
      </c>
      <c r="P107" s="115" t="e">
        <f>VLOOKUP($A107,'S45'!$C:$BQ,30,0)</f>
        <v>#N/A</v>
      </c>
      <c r="Q107" s="115" t="e">
        <f>VLOOKUP($A107,'S45'!$C:$BQ,52,0)</f>
        <v>#N/A</v>
      </c>
      <c r="R107" s="115" t="e">
        <f>VLOOKUP($A107,'S45'!$C:$BQ,59,0)</f>
        <v>#N/A</v>
      </c>
      <c r="S107" s="115" t="e">
        <f>VLOOKUP($A107,'S45'!$C:$BQ,60,0)</f>
        <v>#N/A</v>
      </c>
      <c r="T107" s="107" t="e">
        <f>VLOOKUP($A107,'S46'!$C:$BQ,32,0)</f>
        <v>#N/A</v>
      </c>
      <c r="U107" s="107" t="e">
        <f>VLOOKUP($A107,'S46'!$C:$BQ,39,0)</f>
        <v>#N/A</v>
      </c>
      <c r="V107" s="107" t="e">
        <f>VLOOKUP($A107,'S46'!$C:$BQ,40,0)</f>
        <v>#N/A</v>
      </c>
      <c r="W107" s="107" t="e">
        <f>VLOOKUP($A107,'S46'!$C:$BQ,22,0)</f>
        <v>#N/A</v>
      </c>
      <c r="X107" s="115" t="e">
        <f>VLOOKUP($A107,'S46'!$C:$BQ,29,0)</f>
        <v>#N/A</v>
      </c>
      <c r="Y107" s="115" t="e">
        <f>VLOOKUP($A107,'S46'!$C:$BQ,30,0)</f>
        <v>#N/A</v>
      </c>
      <c r="Z107" s="115" t="e">
        <f>VLOOKUP($A107,'S46'!$C:$BQ,52,0)</f>
        <v>#N/A</v>
      </c>
      <c r="AA107" s="115" t="e">
        <f>VLOOKUP($A107,'S46'!$C:$BQ,59,0)</f>
        <v>#N/A</v>
      </c>
      <c r="AB107" s="115" t="e">
        <f>VLOOKUP($A107,'S46'!$C:$BQ,60,0)</f>
        <v>#N/A</v>
      </c>
      <c r="AC107" s="107" t="e">
        <f>VLOOKUP($A107,'S47'!$C:$BQ,32,0)</f>
        <v>#N/A</v>
      </c>
      <c r="AD107" s="107" t="e">
        <f>VLOOKUP($A107,'S47'!$C:$BQ,39,0)</f>
        <v>#N/A</v>
      </c>
      <c r="AE107" s="107" t="e">
        <f>VLOOKUP($A107,'S47'!$C:$BQ,40,0)</f>
        <v>#N/A</v>
      </c>
      <c r="AF107" s="107" t="e">
        <f>VLOOKUP($A107,'S47'!$C:$BQ,22,0)</f>
        <v>#N/A</v>
      </c>
      <c r="AG107" s="115" t="e">
        <f>VLOOKUP($A107,'S47'!$C:$BQ,29,0)</f>
        <v>#N/A</v>
      </c>
      <c r="AH107" s="115" t="e">
        <f>VLOOKUP($A107,'S47'!$C:$BQ,30,0)</f>
        <v>#N/A</v>
      </c>
      <c r="AI107" s="115" t="e">
        <f>VLOOKUP($A107,'S47'!$C:$BQ,52,0)</f>
        <v>#N/A</v>
      </c>
      <c r="AJ107" s="115" t="e">
        <f>VLOOKUP($A107,'S47'!$C:$BQ,59,0)</f>
        <v>#N/A</v>
      </c>
      <c r="AK107" s="115" t="e">
        <f>VLOOKUP($A107,'S47'!$C:$BQ,60,0)</f>
        <v>#N/A</v>
      </c>
      <c r="AL107" s="107" t="e">
        <f>VLOOKUP($A107,'S48'!$C:$BQ,32,0)</f>
        <v>#N/A</v>
      </c>
      <c r="AM107" s="107" t="e">
        <f>VLOOKUP($A107,'S48'!$C:$BQ,39,0)</f>
        <v>#N/A</v>
      </c>
      <c r="AN107" s="107" t="e">
        <f>VLOOKUP($A107,'S48'!$C:$BQ,40,0)</f>
        <v>#N/A</v>
      </c>
      <c r="AO107" s="107" t="e">
        <f>VLOOKUP($A107,'S48'!$C:$BQ,22,0)</f>
        <v>#N/A</v>
      </c>
      <c r="AP107" s="115" t="e">
        <f>VLOOKUP($A107,'S48'!$C:$BQ,29,0)</f>
        <v>#N/A</v>
      </c>
      <c r="AQ107" s="115" t="e">
        <f>VLOOKUP($A107,'S48'!$C:$BQ,30,0)</f>
        <v>#N/A</v>
      </c>
      <c r="AR107" s="115" t="e">
        <f>VLOOKUP($A107,'S48'!$C:$BQ,52,0)</f>
        <v>#N/A</v>
      </c>
      <c r="AS107" s="115" t="e">
        <f>VLOOKUP($A107,'S48'!$C:$BQ,59,0)</f>
        <v>#N/A</v>
      </c>
      <c r="AT107" s="115" t="e">
        <f>VLOOKUP($A107,'S48'!$C:$BQ,60,0)</f>
        <v>#N/A</v>
      </c>
      <c r="AU107" s="107" t="e">
        <f>VLOOKUP($A107,'S49'!$C:$BQ,32,0)</f>
        <v>#N/A</v>
      </c>
      <c r="AV107" s="107" t="e">
        <f>VLOOKUP($A107,'S49'!$C:$BQ,39,0)</f>
        <v>#N/A</v>
      </c>
      <c r="AW107" s="107" t="e">
        <f>VLOOKUP($A107,'S49'!$C:$BQ,40,0)</f>
        <v>#N/A</v>
      </c>
      <c r="AX107" s="107" t="e">
        <f>VLOOKUP($A107,'S49'!$C:$BQ,22,0)</f>
        <v>#N/A</v>
      </c>
      <c r="AY107" s="115" t="e">
        <f>VLOOKUP($A107,'S49'!$C:$BQ,29,0)</f>
        <v>#N/A</v>
      </c>
      <c r="AZ107" s="115" t="e">
        <f>VLOOKUP($A107,'S49'!$C:$BQ,30,0)</f>
        <v>#N/A</v>
      </c>
      <c r="BA107" s="115" t="e">
        <f>VLOOKUP($A107,'S49'!$C:$BQ,52,0)</f>
        <v>#N/A</v>
      </c>
      <c r="BB107" s="115" t="e">
        <f>VLOOKUP($A107,'S49'!$C:$BQ,59,0)</f>
        <v>#N/A</v>
      </c>
      <c r="BC107" s="115" t="e">
        <f>VLOOKUP($A107,'S49'!$C:$BQ,60,0)</f>
        <v>#N/A</v>
      </c>
      <c r="BD107" s="107" t="e">
        <f>VLOOKUP($A107,'S50'!$C:$BQ,32,0)</f>
        <v>#N/A</v>
      </c>
      <c r="BE107" s="107" t="e">
        <f>VLOOKUP($A107,'S50'!$C:$BQ,39,0)</f>
        <v>#N/A</v>
      </c>
      <c r="BF107" s="107" t="e">
        <f>VLOOKUP($A107,'S50'!$C:$BQ,40,0)</f>
        <v>#N/A</v>
      </c>
      <c r="BG107" s="107" t="e">
        <f>VLOOKUP($A107,'S50'!$C:$BQ,22,0)</f>
        <v>#N/A</v>
      </c>
      <c r="BH107" s="115" t="e">
        <f>VLOOKUP($A107,'S50'!$C:$BQ,29,0)</f>
        <v>#N/A</v>
      </c>
      <c r="BI107" s="115" t="e">
        <f>VLOOKUP($A107,'S50'!$C:$BQ,30,0)</f>
        <v>#N/A</v>
      </c>
      <c r="BJ107" s="115" t="e">
        <f>VLOOKUP($A107,'S50'!$C:$BQ,52,0)</f>
        <v>#N/A</v>
      </c>
      <c r="BK107" s="115" t="e">
        <f>VLOOKUP($A107,'S50'!$C:$BQ,59,0)</f>
        <v>#N/A</v>
      </c>
      <c r="BL107" s="115" t="e">
        <f>VLOOKUP($A107,'S50'!$C:$BQ,60,0)</f>
        <v>#N/A</v>
      </c>
    </row>
    <row r="108" spans="1:64" x14ac:dyDescent="0.2">
      <c r="A108" s="106" t="s">
        <v>169</v>
      </c>
      <c r="B108" s="107">
        <f>VLOOKUP($A108,'S0 remplacer avec S44'!$C:$BQ,32,0)</f>
        <v>162</v>
      </c>
      <c r="C108" s="107">
        <f>VLOOKUP($A108,'S0 remplacer avec S44'!$C:$BQ,39,0)</f>
        <v>60</v>
      </c>
      <c r="D108" s="107">
        <f>VLOOKUP($A108,'S0 remplacer avec S44'!$C:$BQ,40,0)</f>
        <v>104</v>
      </c>
      <c r="E108" s="107">
        <f>VLOOKUP($A108,'S0 remplacer avec S44'!$C:$BQ,22,0)</f>
        <v>1643.4824900000001</v>
      </c>
      <c r="F108" s="115">
        <f>VLOOKUP($A108,'S0 remplacer avec S44'!$C:$BQ,29,0)</f>
        <v>373</v>
      </c>
      <c r="G108" s="115">
        <f>VLOOKUP($A108,'S0 remplacer avec S44'!$C:$BQ,30,0)</f>
        <v>776</v>
      </c>
      <c r="H108" s="115">
        <f>VLOOKUP($A108,'S0 remplacer avec S44'!$C:$BQ,52,0)</f>
        <v>120</v>
      </c>
      <c r="I108" s="115">
        <f>VLOOKUP($A108,'S0 remplacer avec S44'!$C:$BQ,59,0)</f>
        <v>0</v>
      </c>
      <c r="J108" s="115">
        <f>VLOOKUP($A108,'S0 remplacer avec S44'!$C:$BQ,60,0)</f>
        <v>16</v>
      </c>
      <c r="K108" s="107" t="e">
        <f>VLOOKUP($A108,'S45'!$C:$BQ,32,0)</f>
        <v>#N/A</v>
      </c>
      <c r="L108" s="107" t="e">
        <f>VLOOKUP($A108,'S45'!$C:$BQ,39,0)</f>
        <v>#N/A</v>
      </c>
      <c r="M108" s="107" t="e">
        <f>VLOOKUP($A108,'S45'!$C:$BQ,40,0)</f>
        <v>#N/A</v>
      </c>
      <c r="N108" s="107" t="e">
        <f>VLOOKUP($A108,'S45'!$C:$BQ,22,0)</f>
        <v>#N/A</v>
      </c>
      <c r="O108" s="115" t="e">
        <f>VLOOKUP($A108,'S45'!$C:$BQ,29,0)</f>
        <v>#N/A</v>
      </c>
      <c r="P108" s="115" t="e">
        <f>VLOOKUP($A108,'S45'!$C:$BQ,30,0)</f>
        <v>#N/A</v>
      </c>
      <c r="Q108" s="115" t="e">
        <f>VLOOKUP($A108,'S45'!$C:$BQ,52,0)</f>
        <v>#N/A</v>
      </c>
      <c r="R108" s="115" t="e">
        <f>VLOOKUP($A108,'S45'!$C:$BQ,59,0)</f>
        <v>#N/A</v>
      </c>
      <c r="S108" s="115" t="e">
        <f>VLOOKUP($A108,'S45'!$C:$BQ,60,0)</f>
        <v>#N/A</v>
      </c>
      <c r="T108" s="107" t="e">
        <f>VLOOKUP($A108,'S46'!$C:$BQ,32,0)</f>
        <v>#N/A</v>
      </c>
      <c r="U108" s="107" t="e">
        <f>VLOOKUP($A108,'S46'!$C:$BQ,39,0)</f>
        <v>#N/A</v>
      </c>
      <c r="V108" s="107" t="e">
        <f>VLOOKUP($A108,'S46'!$C:$BQ,40,0)</f>
        <v>#N/A</v>
      </c>
      <c r="W108" s="107" t="e">
        <f>VLOOKUP($A108,'S46'!$C:$BQ,22,0)</f>
        <v>#N/A</v>
      </c>
      <c r="X108" s="115" t="e">
        <f>VLOOKUP($A108,'S46'!$C:$BQ,29,0)</f>
        <v>#N/A</v>
      </c>
      <c r="Y108" s="115" t="e">
        <f>VLOOKUP($A108,'S46'!$C:$BQ,30,0)</f>
        <v>#N/A</v>
      </c>
      <c r="Z108" s="115" t="e">
        <f>VLOOKUP($A108,'S46'!$C:$BQ,52,0)</f>
        <v>#N/A</v>
      </c>
      <c r="AA108" s="115" t="e">
        <f>VLOOKUP($A108,'S46'!$C:$BQ,59,0)</f>
        <v>#N/A</v>
      </c>
      <c r="AB108" s="115" t="e">
        <f>VLOOKUP($A108,'S46'!$C:$BQ,60,0)</f>
        <v>#N/A</v>
      </c>
      <c r="AC108" s="107" t="e">
        <f>VLOOKUP($A108,'S47'!$C:$BQ,32,0)</f>
        <v>#N/A</v>
      </c>
      <c r="AD108" s="107" t="e">
        <f>VLOOKUP($A108,'S47'!$C:$BQ,39,0)</f>
        <v>#N/A</v>
      </c>
      <c r="AE108" s="107" t="e">
        <f>VLOOKUP($A108,'S47'!$C:$BQ,40,0)</f>
        <v>#N/A</v>
      </c>
      <c r="AF108" s="107" t="e">
        <f>VLOOKUP($A108,'S47'!$C:$BQ,22,0)</f>
        <v>#N/A</v>
      </c>
      <c r="AG108" s="115" t="e">
        <f>VLOOKUP($A108,'S47'!$C:$BQ,29,0)</f>
        <v>#N/A</v>
      </c>
      <c r="AH108" s="115" t="e">
        <f>VLOOKUP($A108,'S47'!$C:$BQ,30,0)</f>
        <v>#N/A</v>
      </c>
      <c r="AI108" s="115" t="e">
        <f>VLOOKUP($A108,'S47'!$C:$BQ,52,0)</f>
        <v>#N/A</v>
      </c>
      <c r="AJ108" s="115" t="e">
        <f>VLOOKUP($A108,'S47'!$C:$BQ,59,0)</f>
        <v>#N/A</v>
      </c>
      <c r="AK108" s="115" t="e">
        <f>VLOOKUP($A108,'S47'!$C:$BQ,60,0)</f>
        <v>#N/A</v>
      </c>
      <c r="AL108" s="107" t="e">
        <f>VLOOKUP($A108,'S48'!$C:$BQ,32,0)</f>
        <v>#N/A</v>
      </c>
      <c r="AM108" s="107" t="e">
        <f>VLOOKUP($A108,'S48'!$C:$BQ,39,0)</f>
        <v>#N/A</v>
      </c>
      <c r="AN108" s="107" t="e">
        <f>VLOOKUP($A108,'S48'!$C:$BQ,40,0)</f>
        <v>#N/A</v>
      </c>
      <c r="AO108" s="107" t="e">
        <f>VLOOKUP($A108,'S48'!$C:$BQ,22,0)</f>
        <v>#N/A</v>
      </c>
      <c r="AP108" s="115" t="e">
        <f>VLOOKUP($A108,'S48'!$C:$BQ,29,0)</f>
        <v>#N/A</v>
      </c>
      <c r="AQ108" s="115" t="e">
        <f>VLOOKUP($A108,'S48'!$C:$BQ,30,0)</f>
        <v>#N/A</v>
      </c>
      <c r="AR108" s="115" t="e">
        <f>VLOOKUP($A108,'S48'!$C:$BQ,52,0)</f>
        <v>#N/A</v>
      </c>
      <c r="AS108" s="115" t="e">
        <f>VLOOKUP($A108,'S48'!$C:$BQ,59,0)</f>
        <v>#N/A</v>
      </c>
      <c r="AT108" s="115" t="e">
        <f>VLOOKUP($A108,'S48'!$C:$BQ,60,0)</f>
        <v>#N/A</v>
      </c>
      <c r="AU108" s="107" t="e">
        <f>VLOOKUP($A108,'S49'!$C:$BQ,32,0)</f>
        <v>#N/A</v>
      </c>
      <c r="AV108" s="107" t="e">
        <f>VLOOKUP($A108,'S49'!$C:$BQ,39,0)</f>
        <v>#N/A</v>
      </c>
      <c r="AW108" s="107" t="e">
        <f>VLOOKUP($A108,'S49'!$C:$BQ,40,0)</f>
        <v>#N/A</v>
      </c>
      <c r="AX108" s="107" t="e">
        <f>VLOOKUP($A108,'S49'!$C:$BQ,22,0)</f>
        <v>#N/A</v>
      </c>
      <c r="AY108" s="115" t="e">
        <f>VLOOKUP($A108,'S49'!$C:$BQ,29,0)</f>
        <v>#N/A</v>
      </c>
      <c r="AZ108" s="115" t="e">
        <f>VLOOKUP($A108,'S49'!$C:$BQ,30,0)</f>
        <v>#N/A</v>
      </c>
      <c r="BA108" s="115" t="e">
        <f>VLOOKUP($A108,'S49'!$C:$BQ,52,0)</f>
        <v>#N/A</v>
      </c>
      <c r="BB108" s="115" t="e">
        <f>VLOOKUP($A108,'S49'!$C:$BQ,59,0)</f>
        <v>#N/A</v>
      </c>
      <c r="BC108" s="115" t="e">
        <f>VLOOKUP($A108,'S49'!$C:$BQ,60,0)</f>
        <v>#N/A</v>
      </c>
      <c r="BD108" s="107" t="e">
        <f>VLOOKUP($A108,'S50'!$C:$BQ,32,0)</f>
        <v>#N/A</v>
      </c>
      <c r="BE108" s="107" t="e">
        <f>VLOOKUP($A108,'S50'!$C:$BQ,39,0)</f>
        <v>#N/A</v>
      </c>
      <c r="BF108" s="107" t="e">
        <f>VLOOKUP($A108,'S50'!$C:$BQ,40,0)</f>
        <v>#N/A</v>
      </c>
      <c r="BG108" s="107" t="e">
        <f>VLOOKUP($A108,'S50'!$C:$BQ,22,0)</f>
        <v>#N/A</v>
      </c>
      <c r="BH108" s="115" t="e">
        <f>VLOOKUP($A108,'S50'!$C:$BQ,29,0)</f>
        <v>#N/A</v>
      </c>
      <c r="BI108" s="115" t="e">
        <f>VLOOKUP($A108,'S50'!$C:$BQ,30,0)</f>
        <v>#N/A</v>
      </c>
      <c r="BJ108" s="115" t="e">
        <f>VLOOKUP($A108,'S50'!$C:$BQ,52,0)</f>
        <v>#N/A</v>
      </c>
      <c r="BK108" s="115" t="e">
        <f>VLOOKUP($A108,'S50'!$C:$BQ,59,0)</f>
        <v>#N/A</v>
      </c>
      <c r="BL108" s="115" t="e">
        <f>VLOOKUP($A108,'S50'!$C:$BQ,60,0)</f>
        <v>#N/A</v>
      </c>
    </row>
    <row r="109" spans="1:64" x14ac:dyDescent="0.2">
      <c r="A109" s="106" t="s">
        <v>170</v>
      </c>
      <c r="B109" s="107">
        <f>VLOOKUP($A109,'S0 remplacer avec S44'!$C:$BQ,32,0)</f>
        <v>85.5</v>
      </c>
      <c r="C109" s="107">
        <f>VLOOKUP($A109,'S0 remplacer avec S44'!$C:$BQ,39,0)</f>
        <v>125</v>
      </c>
      <c r="D109" s="107">
        <f>VLOOKUP($A109,'S0 remplacer avec S44'!$C:$BQ,40,0)</f>
        <v>167</v>
      </c>
      <c r="E109" s="107">
        <f>VLOOKUP($A109,'S0 remplacer avec S44'!$C:$BQ,22,0)</f>
        <v>1670.8596250000001</v>
      </c>
      <c r="F109" s="115">
        <f>VLOOKUP($A109,'S0 remplacer avec S44'!$C:$BQ,29,0)</f>
        <v>238</v>
      </c>
      <c r="G109" s="115">
        <f>VLOOKUP($A109,'S0 remplacer avec S44'!$C:$BQ,30,0)</f>
        <v>620</v>
      </c>
      <c r="H109" s="115">
        <f>VLOOKUP($A109,'S0 remplacer avec S44'!$C:$BQ,52,0)</f>
        <v>99.8</v>
      </c>
      <c r="I109" s="115">
        <f>VLOOKUP($A109,'S0 remplacer avec S44'!$C:$BQ,59,0)</f>
        <v>7</v>
      </c>
      <c r="J109" s="115">
        <f>VLOOKUP($A109,'S0 remplacer avec S44'!$C:$BQ,60,0)</f>
        <v>29</v>
      </c>
      <c r="K109" s="107" t="e">
        <f>VLOOKUP($A109,'S45'!$C:$BQ,32,0)</f>
        <v>#N/A</v>
      </c>
      <c r="L109" s="107" t="e">
        <f>VLOOKUP($A109,'S45'!$C:$BQ,39,0)</f>
        <v>#N/A</v>
      </c>
      <c r="M109" s="107" t="e">
        <f>VLOOKUP($A109,'S45'!$C:$BQ,40,0)</f>
        <v>#N/A</v>
      </c>
      <c r="N109" s="107" t="e">
        <f>VLOOKUP($A109,'S45'!$C:$BQ,22,0)</f>
        <v>#N/A</v>
      </c>
      <c r="O109" s="115" t="e">
        <f>VLOOKUP($A109,'S45'!$C:$BQ,29,0)</f>
        <v>#N/A</v>
      </c>
      <c r="P109" s="115" t="e">
        <f>VLOOKUP($A109,'S45'!$C:$BQ,30,0)</f>
        <v>#N/A</v>
      </c>
      <c r="Q109" s="115" t="e">
        <f>VLOOKUP($A109,'S45'!$C:$BQ,52,0)</f>
        <v>#N/A</v>
      </c>
      <c r="R109" s="115" t="e">
        <f>VLOOKUP($A109,'S45'!$C:$BQ,59,0)</f>
        <v>#N/A</v>
      </c>
      <c r="S109" s="115" t="e">
        <f>VLOOKUP($A109,'S45'!$C:$BQ,60,0)</f>
        <v>#N/A</v>
      </c>
      <c r="T109" s="107" t="e">
        <f>VLOOKUP($A109,'S46'!$C:$BQ,32,0)</f>
        <v>#N/A</v>
      </c>
      <c r="U109" s="107" t="e">
        <f>VLOOKUP($A109,'S46'!$C:$BQ,39,0)</f>
        <v>#N/A</v>
      </c>
      <c r="V109" s="107" t="e">
        <f>VLOOKUP($A109,'S46'!$C:$BQ,40,0)</f>
        <v>#N/A</v>
      </c>
      <c r="W109" s="107" t="e">
        <f>VLOOKUP($A109,'S46'!$C:$BQ,22,0)</f>
        <v>#N/A</v>
      </c>
      <c r="X109" s="115" t="e">
        <f>VLOOKUP($A109,'S46'!$C:$BQ,29,0)</f>
        <v>#N/A</v>
      </c>
      <c r="Y109" s="115" t="e">
        <f>VLOOKUP($A109,'S46'!$C:$BQ,30,0)</f>
        <v>#N/A</v>
      </c>
      <c r="Z109" s="115" t="e">
        <f>VLOOKUP($A109,'S46'!$C:$BQ,52,0)</f>
        <v>#N/A</v>
      </c>
      <c r="AA109" s="115" t="e">
        <f>VLOOKUP($A109,'S46'!$C:$BQ,59,0)</f>
        <v>#N/A</v>
      </c>
      <c r="AB109" s="115" t="e">
        <f>VLOOKUP($A109,'S46'!$C:$BQ,60,0)</f>
        <v>#N/A</v>
      </c>
      <c r="AC109" s="107" t="e">
        <f>VLOOKUP($A109,'S47'!$C:$BQ,32,0)</f>
        <v>#N/A</v>
      </c>
      <c r="AD109" s="107" t="e">
        <f>VLOOKUP($A109,'S47'!$C:$BQ,39,0)</f>
        <v>#N/A</v>
      </c>
      <c r="AE109" s="107" t="e">
        <f>VLOOKUP($A109,'S47'!$C:$BQ,40,0)</f>
        <v>#N/A</v>
      </c>
      <c r="AF109" s="107" t="e">
        <f>VLOOKUP($A109,'S47'!$C:$BQ,22,0)</f>
        <v>#N/A</v>
      </c>
      <c r="AG109" s="115" t="e">
        <f>VLOOKUP($A109,'S47'!$C:$BQ,29,0)</f>
        <v>#N/A</v>
      </c>
      <c r="AH109" s="115" t="e">
        <f>VLOOKUP($A109,'S47'!$C:$BQ,30,0)</f>
        <v>#N/A</v>
      </c>
      <c r="AI109" s="115" t="e">
        <f>VLOOKUP($A109,'S47'!$C:$BQ,52,0)</f>
        <v>#N/A</v>
      </c>
      <c r="AJ109" s="115" t="e">
        <f>VLOOKUP($A109,'S47'!$C:$BQ,59,0)</f>
        <v>#N/A</v>
      </c>
      <c r="AK109" s="115" t="e">
        <f>VLOOKUP($A109,'S47'!$C:$BQ,60,0)</f>
        <v>#N/A</v>
      </c>
      <c r="AL109" s="107" t="e">
        <f>VLOOKUP($A109,'S48'!$C:$BQ,32,0)</f>
        <v>#N/A</v>
      </c>
      <c r="AM109" s="107" t="e">
        <f>VLOOKUP($A109,'S48'!$C:$BQ,39,0)</f>
        <v>#N/A</v>
      </c>
      <c r="AN109" s="107" t="e">
        <f>VLOOKUP($A109,'S48'!$C:$BQ,40,0)</f>
        <v>#N/A</v>
      </c>
      <c r="AO109" s="107" t="e">
        <f>VLOOKUP($A109,'S48'!$C:$BQ,22,0)</f>
        <v>#N/A</v>
      </c>
      <c r="AP109" s="115" t="e">
        <f>VLOOKUP($A109,'S48'!$C:$BQ,29,0)</f>
        <v>#N/A</v>
      </c>
      <c r="AQ109" s="115" t="e">
        <f>VLOOKUP($A109,'S48'!$C:$BQ,30,0)</f>
        <v>#N/A</v>
      </c>
      <c r="AR109" s="115" t="e">
        <f>VLOOKUP($A109,'S48'!$C:$BQ,52,0)</f>
        <v>#N/A</v>
      </c>
      <c r="AS109" s="115" t="e">
        <f>VLOOKUP($A109,'S48'!$C:$BQ,59,0)</f>
        <v>#N/A</v>
      </c>
      <c r="AT109" s="115" t="e">
        <f>VLOOKUP($A109,'S48'!$C:$BQ,60,0)</f>
        <v>#N/A</v>
      </c>
      <c r="AU109" s="107" t="e">
        <f>VLOOKUP($A109,'S49'!$C:$BQ,32,0)</f>
        <v>#N/A</v>
      </c>
      <c r="AV109" s="107" t="e">
        <f>VLOOKUP($A109,'S49'!$C:$BQ,39,0)</f>
        <v>#N/A</v>
      </c>
      <c r="AW109" s="107" t="e">
        <f>VLOOKUP($A109,'S49'!$C:$BQ,40,0)</f>
        <v>#N/A</v>
      </c>
      <c r="AX109" s="107" t="e">
        <f>VLOOKUP($A109,'S49'!$C:$BQ,22,0)</f>
        <v>#N/A</v>
      </c>
      <c r="AY109" s="115" t="e">
        <f>VLOOKUP($A109,'S49'!$C:$BQ,29,0)</f>
        <v>#N/A</v>
      </c>
      <c r="AZ109" s="115" t="e">
        <f>VLOOKUP($A109,'S49'!$C:$BQ,30,0)</f>
        <v>#N/A</v>
      </c>
      <c r="BA109" s="115" t="e">
        <f>VLOOKUP($A109,'S49'!$C:$BQ,52,0)</f>
        <v>#N/A</v>
      </c>
      <c r="BB109" s="115" t="e">
        <f>VLOOKUP($A109,'S49'!$C:$BQ,59,0)</f>
        <v>#N/A</v>
      </c>
      <c r="BC109" s="115" t="e">
        <f>VLOOKUP($A109,'S49'!$C:$BQ,60,0)</f>
        <v>#N/A</v>
      </c>
      <c r="BD109" s="107" t="e">
        <f>VLOOKUP($A109,'S50'!$C:$BQ,32,0)</f>
        <v>#N/A</v>
      </c>
      <c r="BE109" s="107" t="e">
        <f>VLOOKUP($A109,'S50'!$C:$BQ,39,0)</f>
        <v>#N/A</v>
      </c>
      <c r="BF109" s="107" t="e">
        <f>VLOOKUP($A109,'S50'!$C:$BQ,40,0)</f>
        <v>#N/A</v>
      </c>
      <c r="BG109" s="107" t="e">
        <f>VLOOKUP($A109,'S50'!$C:$BQ,22,0)</f>
        <v>#N/A</v>
      </c>
      <c r="BH109" s="115" t="e">
        <f>VLOOKUP($A109,'S50'!$C:$BQ,29,0)</f>
        <v>#N/A</v>
      </c>
      <c r="BI109" s="115" t="e">
        <f>VLOOKUP($A109,'S50'!$C:$BQ,30,0)</f>
        <v>#N/A</v>
      </c>
      <c r="BJ109" s="115" t="e">
        <f>VLOOKUP($A109,'S50'!$C:$BQ,52,0)</f>
        <v>#N/A</v>
      </c>
      <c r="BK109" s="115" t="e">
        <f>VLOOKUP($A109,'S50'!$C:$BQ,59,0)</f>
        <v>#N/A</v>
      </c>
      <c r="BL109" s="115" t="e">
        <f>VLOOKUP($A109,'S50'!$C:$BQ,60,0)</f>
        <v>#N/A</v>
      </c>
    </row>
    <row r="110" spans="1:64" x14ac:dyDescent="0.2">
      <c r="A110" s="106" t="s">
        <v>171</v>
      </c>
      <c r="B110" s="107">
        <f>VLOOKUP($A110,'S0 remplacer avec S44'!$C:$BQ,32,0)</f>
        <v>341.05</v>
      </c>
      <c r="C110" s="107">
        <f>VLOOKUP($A110,'S0 remplacer avec S44'!$C:$BQ,39,0)</f>
        <v>141</v>
      </c>
      <c r="D110" s="107">
        <f>VLOOKUP($A110,'S0 remplacer avec S44'!$C:$BQ,40,0)</f>
        <v>237</v>
      </c>
      <c r="E110" s="107">
        <f>VLOOKUP($A110,'S0 remplacer avec S44'!$C:$BQ,22,0)</f>
        <v>3969.4122000000002</v>
      </c>
      <c r="F110" s="115">
        <f>VLOOKUP($A110,'S0 remplacer avec S44'!$C:$BQ,29,0)</f>
        <v>411</v>
      </c>
      <c r="G110" s="115">
        <f>VLOOKUP($A110,'S0 remplacer avec S44'!$C:$BQ,30,0)</f>
        <v>1287</v>
      </c>
      <c r="H110" s="115">
        <f>VLOOKUP($A110,'S0 remplacer avec S44'!$C:$BQ,52,0)</f>
        <v>205.4</v>
      </c>
      <c r="I110" s="115">
        <f>VLOOKUP($A110,'S0 remplacer avec S44'!$C:$BQ,59,0)</f>
        <v>40</v>
      </c>
      <c r="J110" s="115">
        <f>VLOOKUP($A110,'S0 remplacer avec S44'!$C:$BQ,60,0)</f>
        <v>89</v>
      </c>
      <c r="K110" s="107" t="e">
        <f>VLOOKUP($A110,'S45'!$C:$BQ,32,0)</f>
        <v>#N/A</v>
      </c>
      <c r="L110" s="107" t="e">
        <f>VLOOKUP($A110,'S45'!$C:$BQ,39,0)</f>
        <v>#N/A</v>
      </c>
      <c r="M110" s="107" t="e">
        <f>VLOOKUP($A110,'S45'!$C:$BQ,40,0)</f>
        <v>#N/A</v>
      </c>
      <c r="N110" s="107" t="e">
        <f>VLOOKUP($A110,'S45'!$C:$BQ,22,0)</f>
        <v>#N/A</v>
      </c>
      <c r="O110" s="115" t="e">
        <f>VLOOKUP($A110,'S45'!$C:$BQ,29,0)</f>
        <v>#N/A</v>
      </c>
      <c r="P110" s="115" t="e">
        <f>VLOOKUP($A110,'S45'!$C:$BQ,30,0)</f>
        <v>#N/A</v>
      </c>
      <c r="Q110" s="115" t="e">
        <f>VLOOKUP($A110,'S45'!$C:$BQ,52,0)</f>
        <v>#N/A</v>
      </c>
      <c r="R110" s="115" t="e">
        <f>VLOOKUP($A110,'S45'!$C:$BQ,59,0)</f>
        <v>#N/A</v>
      </c>
      <c r="S110" s="115" t="e">
        <f>VLOOKUP($A110,'S45'!$C:$BQ,60,0)</f>
        <v>#N/A</v>
      </c>
      <c r="T110" s="107" t="e">
        <f>VLOOKUP($A110,'S46'!$C:$BQ,32,0)</f>
        <v>#N/A</v>
      </c>
      <c r="U110" s="107" t="e">
        <f>VLOOKUP($A110,'S46'!$C:$BQ,39,0)</f>
        <v>#N/A</v>
      </c>
      <c r="V110" s="107" t="e">
        <f>VLOOKUP($A110,'S46'!$C:$BQ,40,0)</f>
        <v>#N/A</v>
      </c>
      <c r="W110" s="107" t="e">
        <f>VLOOKUP($A110,'S46'!$C:$BQ,22,0)</f>
        <v>#N/A</v>
      </c>
      <c r="X110" s="115" t="e">
        <f>VLOOKUP($A110,'S46'!$C:$BQ,29,0)</f>
        <v>#N/A</v>
      </c>
      <c r="Y110" s="115" t="e">
        <f>VLOOKUP($A110,'S46'!$C:$BQ,30,0)</f>
        <v>#N/A</v>
      </c>
      <c r="Z110" s="115" t="e">
        <f>VLOOKUP($A110,'S46'!$C:$BQ,52,0)</f>
        <v>#N/A</v>
      </c>
      <c r="AA110" s="115" t="e">
        <f>VLOOKUP($A110,'S46'!$C:$BQ,59,0)</f>
        <v>#N/A</v>
      </c>
      <c r="AB110" s="115" t="e">
        <f>VLOOKUP($A110,'S46'!$C:$BQ,60,0)</f>
        <v>#N/A</v>
      </c>
      <c r="AC110" s="107" t="e">
        <f>VLOOKUP($A110,'S47'!$C:$BQ,32,0)</f>
        <v>#N/A</v>
      </c>
      <c r="AD110" s="107" t="e">
        <f>VLOOKUP($A110,'S47'!$C:$BQ,39,0)</f>
        <v>#N/A</v>
      </c>
      <c r="AE110" s="107" t="e">
        <f>VLOOKUP($A110,'S47'!$C:$BQ,40,0)</f>
        <v>#N/A</v>
      </c>
      <c r="AF110" s="107" t="e">
        <f>VLOOKUP($A110,'S47'!$C:$BQ,22,0)</f>
        <v>#N/A</v>
      </c>
      <c r="AG110" s="115" t="e">
        <f>VLOOKUP($A110,'S47'!$C:$BQ,29,0)</f>
        <v>#N/A</v>
      </c>
      <c r="AH110" s="115" t="e">
        <f>VLOOKUP($A110,'S47'!$C:$BQ,30,0)</f>
        <v>#N/A</v>
      </c>
      <c r="AI110" s="115" t="e">
        <f>VLOOKUP($A110,'S47'!$C:$BQ,52,0)</f>
        <v>#N/A</v>
      </c>
      <c r="AJ110" s="115" t="e">
        <f>VLOOKUP($A110,'S47'!$C:$BQ,59,0)</f>
        <v>#N/A</v>
      </c>
      <c r="AK110" s="115" t="e">
        <f>VLOOKUP($A110,'S47'!$C:$BQ,60,0)</f>
        <v>#N/A</v>
      </c>
      <c r="AL110" s="107" t="e">
        <f>VLOOKUP($A110,'S48'!$C:$BQ,32,0)</f>
        <v>#N/A</v>
      </c>
      <c r="AM110" s="107" t="e">
        <f>VLOOKUP($A110,'S48'!$C:$BQ,39,0)</f>
        <v>#N/A</v>
      </c>
      <c r="AN110" s="107" t="e">
        <f>VLOOKUP($A110,'S48'!$C:$BQ,40,0)</f>
        <v>#N/A</v>
      </c>
      <c r="AO110" s="107" t="e">
        <f>VLOOKUP($A110,'S48'!$C:$BQ,22,0)</f>
        <v>#N/A</v>
      </c>
      <c r="AP110" s="115" t="e">
        <f>VLOOKUP($A110,'S48'!$C:$BQ,29,0)</f>
        <v>#N/A</v>
      </c>
      <c r="AQ110" s="115" t="e">
        <f>VLOOKUP($A110,'S48'!$C:$BQ,30,0)</f>
        <v>#N/A</v>
      </c>
      <c r="AR110" s="115" t="e">
        <f>VLOOKUP($A110,'S48'!$C:$BQ,52,0)</f>
        <v>#N/A</v>
      </c>
      <c r="AS110" s="115" t="e">
        <f>VLOOKUP($A110,'S48'!$C:$BQ,59,0)</f>
        <v>#N/A</v>
      </c>
      <c r="AT110" s="115" t="e">
        <f>VLOOKUP($A110,'S48'!$C:$BQ,60,0)</f>
        <v>#N/A</v>
      </c>
      <c r="AU110" s="107" t="e">
        <f>VLOOKUP($A110,'S49'!$C:$BQ,32,0)</f>
        <v>#N/A</v>
      </c>
      <c r="AV110" s="107" t="e">
        <f>VLOOKUP($A110,'S49'!$C:$BQ,39,0)</f>
        <v>#N/A</v>
      </c>
      <c r="AW110" s="107" t="e">
        <f>VLOOKUP($A110,'S49'!$C:$BQ,40,0)</f>
        <v>#N/A</v>
      </c>
      <c r="AX110" s="107" t="e">
        <f>VLOOKUP($A110,'S49'!$C:$BQ,22,0)</f>
        <v>#N/A</v>
      </c>
      <c r="AY110" s="115" t="e">
        <f>VLOOKUP($A110,'S49'!$C:$BQ,29,0)</f>
        <v>#N/A</v>
      </c>
      <c r="AZ110" s="115" t="e">
        <f>VLOOKUP($A110,'S49'!$C:$BQ,30,0)</f>
        <v>#N/A</v>
      </c>
      <c r="BA110" s="115" t="e">
        <f>VLOOKUP($A110,'S49'!$C:$BQ,52,0)</f>
        <v>#N/A</v>
      </c>
      <c r="BB110" s="115" t="e">
        <f>VLOOKUP($A110,'S49'!$C:$BQ,59,0)</f>
        <v>#N/A</v>
      </c>
      <c r="BC110" s="115" t="e">
        <f>VLOOKUP($A110,'S49'!$C:$BQ,60,0)</f>
        <v>#N/A</v>
      </c>
      <c r="BD110" s="107" t="e">
        <f>VLOOKUP($A110,'S50'!$C:$BQ,32,0)</f>
        <v>#N/A</v>
      </c>
      <c r="BE110" s="107" t="e">
        <f>VLOOKUP($A110,'S50'!$C:$BQ,39,0)</f>
        <v>#N/A</v>
      </c>
      <c r="BF110" s="107" t="e">
        <f>VLOOKUP($A110,'S50'!$C:$BQ,40,0)</f>
        <v>#N/A</v>
      </c>
      <c r="BG110" s="107" t="e">
        <f>VLOOKUP($A110,'S50'!$C:$BQ,22,0)</f>
        <v>#N/A</v>
      </c>
      <c r="BH110" s="115" t="e">
        <f>VLOOKUP($A110,'S50'!$C:$BQ,29,0)</f>
        <v>#N/A</v>
      </c>
      <c r="BI110" s="115" t="e">
        <f>VLOOKUP($A110,'S50'!$C:$BQ,30,0)</f>
        <v>#N/A</v>
      </c>
      <c r="BJ110" s="115" t="e">
        <f>VLOOKUP($A110,'S50'!$C:$BQ,52,0)</f>
        <v>#N/A</v>
      </c>
      <c r="BK110" s="115" t="e">
        <f>VLOOKUP($A110,'S50'!$C:$BQ,59,0)</f>
        <v>#N/A</v>
      </c>
      <c r="BL110" s="115" t="e">
        <f>VLOOKUP($A110,'S50'!$C:$BQ,60,0)</f>
        <v>#N/A</v>
      </c>
    </row>
    <row r="111" spans="1:64" x14ac:dyDescent="0.2">
      <c r="A111" s="106" t="s">
        <v>172</v>
      </c>
      <c r="B111" s="107">
        <f>VLOOKUP($A111,'S0 remplacer avec S44'!$C:$BQ,32,0)</f>
        <v>229.6</v>
      </c>
      <c r="C111" s="107">
        <f>VLOOKUP($A111,'S0 remplacer avec S44'!$C:$BQ,39,0)</f>
        <v>152</v>
      </c>
      <c r="D111" s="107">
        <f>VLOOKUP($A111,'S0 remplacer avec S44'!$C:$BQ,40,0)</f>
        <v>228</v>
      </c>
      <c r="E111" s="107">
        <f>VLOOKUP($A111,'S0 remplacer avec S44'!$C:$BQ,22,0)</f>
        <v>3925.9583050000001</v>
      </c>
      <c r="F111" s="115">
        <f>VLOOKUP($A111,'S0 remplacer avec S44'!$C:$BQ,29,0)</f>
        <v>0</v>
      </c>
      <c r="G111" s="115">
        <f>VLOOKUP($A111,'S0 remplacer avec S44'!$C:$BQ,30,0)</f>
        <v>231</v>
      </c>
      <c r="H111" s="115">
        <f>VLOOKUP($A111,'S0 remplacer avec S44'!$C:$BQ,52,0)</f>
        <v>194.2</v>
      </c>
      <c r="I111" s="115">
        <f>VLOOKUP($A111,'S0 remplacer avec S44'!$C:$BQ,59,0)</f>
        <v>0</v>
      </c>
      <c r="J111" s="115">
        <f>VLOOKUP($A111,'S0 remplacer avec S44'!$C:$BQ,60,0)</f>
        <v>38</v>
      </c>
      <c r="K111" s="107" t="e">
        <f>VLOOKUP($A111,'S45'!$C:$BQ,32,0)</f>
        <v>#N/A</v>
      </c>
      <c r="L111" s="107" t="e">
        <f>VLOOKUP($A111,'S45'!$C:$BQ,39,0)</f>
        <v>#N/A</v>
      </c>
      <c r="M111" s="107" t="e">
        <f>VLOOKUP($A111,'S45'!$C:$BQ,40,0)</f>
        <v>#N/A</v>
      </c>
      <c r="N111" s="107" t="e">
        <f>VLOOKUP($A111,'S45'!$C:$BQ,22,0)</f>
        <v>#N/A</v>
      </c>
      <c r="O111" s="115" t="e">
        <f>VLOOKUP($A111,'S45'!$C:$BQ,29,0)</f>
        <v>#N/A</v>
      </c>
      <c r="P111" s="115" t="e">
        <f>VLOOKUP($A111,'S45'!$C:$BQ,30,0)</f>
        <v>#N/A</v>
      </c>
      <c r="Q111" s="115" t="e">
        <f>VLOOKUP($A111,'S45'!$C:$BQ,52,0)</f>
        <v>#N/A</v>
      </c>
      <c r="R111" s="115" t="e">
        <f>VLOOKUP($A111,'S45'!$C:$BQ,59,0)</f>
        <v>#N/A</v>
      </c>
      <c r="S111" s="115" t="e">
        <f>VLOOKUP($A111,'S45'!$C:$BQ,60,0)</f>
        <v>#N/A</v>
      </c>
      <c r="T111" s="107" t="e">
        <f>VLOOKUP($A111,'S46'!$C:$BQ,32,0)</f>
        <v>#N/A</v>
      </c>
      <c r="U111" s="107" t="e">
        <f>VLOOKUP($A111,'S46'!$C:$BQ,39,0)</f>
        <v>#N/A</v>
      </c>
      <c r="V111" s="107" t="e">
        <f>VLOOKUP($A111,'S46'!$C:$BQ,40,0)</f>
        <v>#N/A</v>
      </c>
      <c r="W111" s="107" t="e">
        <f>VLOOKUP($A111,'S46'!$C:$BQ,22,0)</f>
        <v>#N/A</v>
      </c>
      <c r="X111" s="115" t="e">
        <f>VLOOKUP($A111,'S46'!$C:$BQ,29,0)</f>
        <v>#N/A</v>
      </c>
      <c r="Y111" s="115" t="e">
        <f>VLOOKUP($A111,'S46'!$C:$BQ,30,0)</f>
        <v>#N/A</v>
      </c>
      <c r="Z111" s="115" t="e">
        <f>VLOOKUP($A111,'S46'!$C:$BQ,52,0)</f>
        <v>#N/A</v>
      </c>
      <c r="AA111" s="115" t="e">
        <f>VLOOKUP($A111,'S46'!$C:$BQ,59,0)</f>
        <v>#N/A</v>
      </c>
      <c r="AB111" s="115" t="e">
        <f>VLOOKUP($A111,'S46'!$C:$BQ,60,0)</f>
        <v>#N/A</v>
      </c>
      <c r="AC111" s="107" t="e">
        <f>VLOOKUP($A111,'S47'!$C:$BQ,32,0)</f>
        <v>#N/A</v>
      </c>
      <c r="AD111" s="107" t="e">
        <f>VLOOKUP($A111,'S47'!$C:$BQ,39,0)</f>
        <v>#N/A</v>
      </c>
      <c r="AE111" s="107" t="e">
        <f>VLOOKUP($A111,'S47'!$C:$BQ,40,0)</f>
        <v>#N/A</v>
      </c>
      <c r="AF111" s="107" t="e">
        <f>VLOOKUP($A111,'S47'!$C:$BQ,22,0)</f>
        <v>#N/A</v>
      </c>
      <c r="AG111" s="115" t="e">
        <f>VLOOKUP($A111,'S47'!$C:$BQ,29,0)</f>
        <v>#N/A</v>
      </c>
      <c r="AH111" s="115" t="e">
        <f>VLOOKUP($A111,'S47'!$C:$BQ,30,0)</f>
        <v>#N/A</v>
      </c>
      <c r="AI111" s="115" t="e">
        <f>VLOOKUP($A111,'S47'!$C:$BQ,52,0)</f>
        <v>#N/A</v>
      </c>
      <c r="AJ111" s="115" t="e">
        <f>VLOOKUP($A111,'S47'!$C:$BQ,59,0)</f>
        <v>#N/A</v>
      </c>
      <c r="AK111" s="115" t="e">
        <f>VLOOKUP($A111,'S47'!$C:$BQ,60,0)</f>
        <v>#N/A</v>
      </c>
      <c r="AL111" s="107" t="e">
        <f>VLOOKUP($A111,'S48'!$C:$BQ,32,0)</f>
        <v>#N/A</v>
      </c>
      <c r="AM111" s="107" t="e">
        <f>VLOOKUP($A111,'S48'!$C:$BQ,39,0)</f>
        <v>#N/A</v>
      </c>
      <c r="AN111" s="107" t="e">
        <f>VLOOKUP($A111,'S48'!$C:$BQ,40,0)</f>
        <v>#N/A</v>
      </c>
      <c r="AO111" s="107" t="e">
        <f>VLOOKUP($A111,'S48'!$C:$BQ,22,0)</f>
        <v>#N/A</v>
      </c>
      <c r="AP111" s="115" t="e">
        <f>VLOOKUP($A111,'S48'!$C:$BQ,29,0)</f>
        <v>#N/A</v>
      </c>
      <c r="AQ111" s="115" t="e">
        <f>VLOOKUP($A111,'S48'!$C:$BQ,30,0)</f>
        <v>#N/A</v>
      </c>
      <c r="AR111" s="115" t="e">
        <f>VLOOKUP($A111,'S48'!$C:$BQ,52,0)</f>
        <v>#N/A</v>
      </c>
      <c r="AS111" s="115" t="e">
        <f>VLOOKUP($A111,'S48'!$C:$BQ,59,0)</f>
        <v>#N/A</v>
      </c>
      <c r="AT111" s="115" t="e">
        <f>VLOOKUP($A111,'S48'!$C:$BQ,60,0)</f>
        <v>#N/A</v>
      </c>
      <c r="AU111" s="107" t="e">
        <f>VLOOKUP($A111,'S49'!$C:$BQ,32,0)</f>
        <v>#N/A</v>
      </c>
      <c r="AV111" s="107" t="e">
        <f>VLOOKUP($A111,'S49'!$C:$BQ,39,0)</f>
        <v>#N/A</v>
      </c>
      <c r="AW111" s="107" t="e">
        <f>VLOOKUP($A111,'S49'!$C:$BQ,40,0)</f>
        <v>#N/A</v>
      </c>
      <c r="AX111" s="107" t="e">
        <f>VLOOKUP($A111,'S49'!$C:$BQ,22,0)</f>
        <v>#N/A</v>
      </c>
      <c r="AY111" s="115" t="e">
        <f>VLOOKUP($A111,'S49'!$C:$BQ,29,0)</f>
        <v>#N/A</v>
      </c>
      <c r="AZ111" s="115" t="e">
        <f>VLOOKUP($A111,'S49'!$C:$BQ,30,0)</f>
        <v>#N/A</v>
      </c>
      <c r="BA111" s="115" t="e">
        <f>VLOOKUP($A111,'S49'!$C:$BQ,52,0)</f>
        <v>#N/A</v>
      </c>
      <c r="BB111" s="115" t="e">
        <f>VLOOKUP($A111,'S49'!$C:$BQ,59,0)</f>
        <v>#N/A</v>
      </c>
      <c r="BC111" s="115" t="e">
        <f>VLOOKUP($A111,'S49'!$C:$BQ,60,0)</f>
        <v>#N/A</v>
      </c>
      <c r="BD111" s="107" t="e">
        <f>VLOOKUP($A111,'S50'!$C:$BQ,32,0)</f>
        <v>#N/A</v>
      </c>
      <c r="BE111" s="107" t="e">
        <f>VLOOKUP($A111,'S50'!$C:$BQ,39,0)</f>
        <v>#N/A</v>
      </c>
      <c r="BF111" s="107" t="e">
        <f>VLOOKUP($A111,'S50'!$C:$BQ,40,0)</f>
        <v>#N/A</v>
      </c>
      <c r="BG111" s="107" t="e">
        <f>VLOOKUP($A111,'S50'!$C:$BQ,22,0)</f>
        <v>#N/A</v>
      </c>
      <c r="BH111" s="115" t="e">
        <f>VLOOKUP($A111,'S50'!$C:$BQ,29,0)</f>
        <v>#N/A</v>
      </c>
      <c r="BI111" s="115" t="e">
        <f>VLOOKUP($A111,'S50'!$C:$BQ,30,0)</f>
        <v>#N/A</v>
      </c>
      <c r="BJ111" s="115" t="e">
        <f>VLOOKUP($A111,'S50'!$C:$BQ,52,0)</f>
        <v>#N/A</v>
      </c>
      <c r="BK111" s="115" t="e">
        <f>VLOOKUP($A111,'S50'!$C:$BQ,59,0)</f>
        <v>#N/A</v>
      </c>
      <c r="BL111" s="115" t="e">
        <f>VLOOKUP($A111,'S50'!$C:$BQ,60,0)</f>
        <v>#N/A</v>
      </c>
    </row>
    <row r="112" spans="1:64" x14ac:dyDescent="0.2">
      <c r="A112" s="106" t="s">
        <v>173</v>
      </c>
      <c r="B112" s="107">
        <f>VLOOKUP($A112,'S0 remplacer avec S44'!$C:$BQ,32,0)</f>
        <v>251.55</v>
      </c>
      <c r="C112" s="107">
        <f>VLOOKUP($A112,'S0 remplacer avec S44'!$C:$BQ,39,0)</f>
        <v>2</v>
      </c>
      <c r="D112" s="107">
        <f>VLOOKUP($A112,'S0 remplacer avec S44'!$C:$BQ,40,0)</f>
        <v>52</v>
      </c>
      <c r="E112" s="107">
        <f>VLOOKUP($A112,'S0 remplacer avec S44'!$C:$BQ,22,0)</f>
        <v>3343.492405</v>
      </c>
      <c r="F112" s="115">
        <f>VLOOKUP($A112,'S0 remplacer avec S44'!$C:$BQ,29,0)</f>
        <v>0</v>
      </c>
      <c r="G112" s="115">
        <f>VLOOKUP($A112,'S0 remplacer avec S44'!$C:$BQ,30,0)</f>
        <v>0</v>
      </c>
      <c r="H112" s="115">
        <f>VLOOKUP($A112,'S0 remplacer avec S44'!$C:$BQ,52,0)</f>
        <v>127.4</v>
      </c>
      <c r="I112" s="115">
        <f>VLOOKUP($A112,'S0 remplacer avec S44'!$C:$BQ,59,0)</f>
        <v>1</v>
      </c>
      <c r="J112" s="115">
        <f>VLOOKUP($A112,'S0 remplacer avec S44'!$C:$BQ,60,0)</f>
        <v>27</v>
      </c>
      <c r="K112" s="107" t="e">
        <f>VLOOKUP($A112,'S45'!$C:$BQ,32,0)</f>
        <v>#N/A</v>
      </c>
      <c r="L112" s="107" t="e">
        <f>VLOOKUP($A112,'S45'!$C:$BQ,39,0)</f>
        <v>#N/A</v>
      </c>
      <c r="M112" s="107" t="e">
        <f>VLOOKUP($A112,'S45'!$C:$BQ,40,0)</f>
        <v>#N/A</v>
      </c>
      <c r="N112" s="107" t="e">
        <f>VLOOKUP($A112,'S45'!$C:$BQ,22,0)</f>
        <v>#N/A</v>
      </c>
      <c r="O112" s="115" t="e">
        <f>VLOOKUP($A112,'S45'!$C:$BQ,29,0)</f>
        <v>#N/A</v>
      </c>
      <c r="P112" s="115" t="e">
        <f>VLOOKUP($A112,'S45'!$C:$BQ,30,0)</f>
        <v>#N/A</v>
      </c>
      <c r="Q112" s="115" t="e">
        <f>VLOOKUP($A112,'S45'!$C:$BQ,52,0)</f>
        <v>#N/A</v>
      </c>
      <c r="R112" s="115" t="e">
        <f>VLOOKUP($A112,'S45'!$C:$BQ,59,0)</f>
        <v>#N/A</v>
      </c>
      <c r="S112" s="115" t="e">
        <f>VLOOKUP($A112,'S45'!$C:$BQ,60,0)</f>
        <v>#N/A</v>
      </c>
      <c r="T112" s="107" t="e">
        <f>VLOOKUP($A112,'S46'!$C:$BQ,32,0)</f>
        <v>#N/A</v>
      </c>
      <c r="U112" s="107" t="e">
        <f>VLOOKUP($A112,'S46'!$C:$BQ,39,0)</f>
        <v>#N/A</v>
      </c>
      <c r="V112" s="107" t="e">
        <f>VLOOKUP($A112,'S46'!$C:$BQ,40,0)</f>
        <v>#N/A</v>
      </c>
      <c r="W112" s="107" t="e">
        <f>VLOOKUP($A112,'S46'!$C:$BQ,22,0)</f>
        <v>#N/A</v>
      </c>
      <c r="X112" s="115" t="e">
        <f>VLOOKUP($A112,'S46'!$C:$BQ,29,0)</f>
        <v>#N/A</v>
      </c>
      <c r="Y112" s="115" t="e">
        <f>VLOOKUP($A112,'S46'!$C:$BQ,30,0)</f>
        <v>#N/A</v>
      </c>
      <c r="Z112" s="115" t="e">
        <f>VLOOKUP($A112,'S46'!$C:$BQ,52,0)</f>
        <v>#N/A</v>
      </c>
      <c r="AA112" s="115" t="e">
        <f>VLOOKUP($A112,'S46'!$C:$BQ,59,0)</f>
        <v>#N/A</v>
      </c>
      <c r="AB112" s="115" t="e">
        <f>VLOOKUP($A112,'S46'!$C:$BQ,60,0)</f>
        <v>#N/A</v>
      </c>
      <c r="AC112" s="107" t="e">
        <f>VLOOKUP($A112,'S47'!$C:$BQ,32,0)</f>
        <v>#N/A</v>
      </c>
      <c r="AD112" s="107" t="e">
        <f>VLOOKUP($A112,'S47'!$C:$BQ,39,0)</f>
        <v>#N/A</v>
      </c>
      <c r="AE112" s="107" t="e">
        <f>VLOOKUP($A112,'S47'!$C:$BQ,40,0)</f>
        <v>#N/A</v>
      </c>
      <c r="AF112" s="107" t="e">
        <f>VLOOKUP($A112,'S47'!$C:$BQ,22,0)</f>
        <v>#N/A</v>
      </c>
      <c r="AG112" s="115" t="e">
        <f>VLOOKUP($A112,'S47'!$C:$BQ,29,0)</f>
        <v>#N/A</v>
      </c>
      <c r="AH112" s="115" t="e">
        <f>VLOOKUP($A112,'S47'!$C:$BQ,30,0)</f>
        <v>#N/A</v>
      </c>
      <c r="AI112" s="115" t="e">
        <f>VLOOKUP($A112,'S47'!$C:$BQ,52,0)</f>
        <v>#N/A</v>
      </c>
      <c r="AJ112" s="115" t="e">
        <f>VLOOKUP($A112,'S47'!$C:$BQ,59,0)</f>
        <v>#N/A</v>
      </c>
      <c r="AK112" s="115" t="e">
        <f>VLOOKUP($A112,'S47'!$C:$BQ,60,0)</f>
        <v>#N/A</v>
      </c>
      <c r="AL112" s="107" t="e">
        <f>VLOOKUP($A112,'S48'!$C:$BQ,32,0)</f>
        <v>#N/A</v>
      </c>
      <c r="AM112" s="107" t="e">
        <f>VLOOKUP($A112,'S48'!$C:$BQ,39,0)</f>
        <v>#N/A</v>
      </c>
      <c r="AN112" s="107" t="e">
        <f>VLOOKUP($A112,'S48'!$C:$BQ,40,0)</f>
        <v>#N/A</v>
      </c>
      <c r="AO112" s="107" t="e">
        <f>VLOOKUP($A112,'S48'!$C:$BQ,22,0)</f>
        <v>#N/A</v>
      </c>
      <c r="AP112" s="115" t="e">
        <f>VLOOKUP($A112,'S48'!$C:$BQ,29,0)</f>
        <v>#N/A</v>
      </c>
      <c r="AQ112" s="115" t="e">
        <f>VLOOKUP($A112,'S48'!$C:$BQ,30,0)</f>
        <v>#N/A</v>
      </c>
      <c r="AR112" s="115" t="e">
        <f>VLOOKUP($A112,'S48'!$C:$BQ,52,0)</f>
        <v>#N/A</v>
      </c>
      <c r="AS112" s="115" t="e">
        <f>VLOOKUP($A112,'S48'!$C:$BQ,59,0)</f>
        <v>#N/A</v>
      </c>
      <c r="AT112" s="115" t="e">
        <f>VLOOKUP($A112,'S48'!$C:$BQ,60,0)</f>
        <v>#N/A</v>
      </c>
      <c r="AU112" s="107" t="e">
        <f>VLOOKUP($A112,'S49'!$C:$BQ,32,0)</f>
        <v>#N/A</v>
      </c>
      <c r="AV112" s="107" t="e">
        <f>VLOOKUP($A112,'S49'!$C:$BQ,39,0)</f>
        <v>#N/A</v>
      </c>
      <c r="AW112" s="107" t="e">
        <f>VLOOKUP($A112,'S49'!$C:$BQ,40,0)</f>
        <v>#N/A</v>
      </c>
      <c r="AX112" s="107" t="e">
        <f>VLOOKUP($A112,'S49'!$C:$BQ,22,0)</f>
        <v>#N/A</v>
      </c>
      <c r="AY112" s="115" t="e">
        <f>VLOOKUP($A112,'S49'!$C:$BQ,29,0)</f>
        <v>#N/A</v>
      </c>
      <c r="AZ112" s="115" t="e">
        <f>VLOOKUP($A112,'S49'!$C:$BQ,30,0)</f>
        <v>#N/A</v>
      </c>
      <c r="BA112" s="115" t="e">
        <f>VLOOKUP($A112,'S49'!$C:$BQ,52,0)</f>
        <v>#N/A</v>
      </c>
      <c r="BB112" s="115" t="e">
        <f>VLOOKUP($A112,'S49'!$C:$BQ,59,0)</f>
        <v>#N/A</v>
      </c>
      <c r="BC112" s="115" t="e">
        <f>VLOOKUP($A112,'S49'!$C:$BQ,60,0)</f>
        <v>#N/A</v>
      </c>
      <c r="BD112" s="107" t="e">
        <f>VLOOKUP($A112,'S50'!$C:$BQ,32,0)</f>
        <v>#N/A</v>
      </c>
      <c r="BE112" s="107" t="e">
        <f>VLOOKUP($A112,'S50'!$C:$BQ,39,0)</f>
        <v>#N/A</v>
      </c>
      <c r="BF112" s="107" t="e">
        <f>VLOOKUP($A112,'S50'!$C:$BQ,40,0)</f>
        <v>#N/A</v>
      </c>
      <c r="BG112" s="107" t="e">
        <f>VLOOKUP($A112,'S50'!$C:$BQ,22,0)</f>
        <v>#N/A</v>
      </c>
      <c r="BH112" s="115" t="e">
        <f>VLOOKUP($A112,'S50'!$C:$BQ,29,0)</f>
        <v>#N/A</v>
      </c>
      <c r="BI112" s="115" t="e">
        <f>VLOOKUP($A112,'S50'!$C:$BQ,30,0)</f>
        <v>#N/A</v>
      </c>
      <c r="BJ112" s="115" t="e">
        <f>VLOOKUP($A112,'S50'!$C:$BQ,52,0)</f>
        <v>#N/A</v>
      </c>
      <c r="BK112" s="115" t="e">
        <f>VLOOKUP($A112,'S50'!$C:$BQ,59,0)</f>
        <v>#N/A</v>
      </c>
      <c r="BL112" s="115" t="e">
        <f>VLOOKUP($A112,'S50'!$C:$BQ,60,0)</f>
        <v>#N/A</v>
      </c>
    </row>
    <row r="113" spans="1:64" x14ac:dyDescent="0.2">
      <c r="A113" s="106" t="s">
        <v>174</v>
      </c>
      <c r="B113" s="107">
        <f>VLOOKUP($A113,'S0 remplacer avec S44'!$C:$BQ,32,0)</f>
        <v>130</v>
      </c>
      <c r="C113" s="107">
        <f>VLOOKUP($A113,'S0 remplacer avec S44'!$C:$BQ,39,0)</f>
        <v>19</v>
      </c>
      <c r="D113" s="107">
        <f>VLOOKUP($A113,'S0 remplacer avec S44'!$C:$BQ,40,0)</f>
        <v>49</v>
      </c>
      <c r="E113" s="107">
        <f>VLOOKUP($A113,'S0 remplacer avec S44'!$C:$BQ,22,0)</f>
        <v>1413.122245</v>
      </c>
      <c r="F113" s="115">
        <f>VLOOKUP($A113,'S0 remplacer avec S44'!$C:$BQ,29,0)</f>
        <v>0</v>
      </c>
      <c r="G113" s="115">
        <f>VLOOKUP($A113,'S0 remplacer avec S44'!$C:$BQ,30,0)</f>
        <v>207</v>
      </c>
      <c r="H113" s="115">
        <f>VLOOKUP($A113,'S0 remplacer avec S44'!$C:$BQ,52,0)</f>
        <v>62.2</v>
      </c>
      <c r="I113" s="115">
        <f>VLOOKUP($A113,'S0 remplacer avec S44'!$C:$BQ,59,0)</f>
        <v>14</v>
      </c>
      <c r="J113" s="115">
        <f>VLOOKUP($A113,'S0 remplacer avec S44'!$C:$BQ,60,0)</f>
        <v>29</v>
      </c>
      <c r="K113" s="107" t="e">
        <f>VLOOKUP($A113,'S45'!$C:$BQ,32,0)</f>
        <v>#N/A</v>
      </c>
      <c r="L113" s="107" t="e">
        <f>VLOOKUP($A113,'S45'!$C:$BQ,39,0)</f>
        <v>#N/A</v>
      </c>
      <c r="M113" s="107" t="e">
        <f>VLOOKUP($A113,'S45'!$C:$BQ,40,0)</f>
        <v>#N/A</v>
      </c>
      <c r="N113" s="107" t="e">
        <f>VLOOKUP($A113,'S45'!$C:$BQ,22,0)</f>
        <v>#N/A</v>
      </c>
      <c r="O113" s="115" t="e">
        <f>VLOOKUP($A113,'S45'!$C:$BQ,29,0)</f>
        <v>#N/A</v>
      </c>
      <c r="P113" s="115" t="e">
        <f>VLOOKUP($A113,'S45'!$C:$BQ,30,0)</f>
        <v>#N/A</v>
      </c>
      <c r="Q113" s="115" t="e">
        <f>VLOOKUP($A113,'S45'!$C:$BQ,52,0)</f>
        <v>#N/A</v>
      </c>
      <c r="R113" s="115" t="e">
        <f>VLOOKUP($A113,'S45'!$C:$BQ,59,0)</f>
        <v>#N/A</v>
      </c>
      <c r="S113" s="115" t="e">
        <f>VLOOKUP($A113,'S45'!$C:$BQ,60,0)</f>
        <v>#N/A</v>
      </c>
      <c r="T113" s="107" t="e">
        <f>VLOOKUP($A113,'S46'!$C:$BQ,32,0)</f>
        <v>#N/A</v>
      </c>
      <c r="U113" s="107" t="e">
        <f>VLOOKUP($A113,'S46'!$C:$BQ,39,0)</f>
        <v>#N/A</v>
      </c>
      <c r="V113" s="107" t="e">
        <f>VLOOKUP($A113,'S46'!$C:$BQ,40,0)</f>
        <v>#N/A</v>
      </c>
      <c r="W113" s="107" t="e">
        <f>VLOOKUP($A113,'S46'!$C:$BQ,22,0)</f>
        <v>#N/A</v>
      </c>
      <c r="X113" s="115" t="e">
        <f>VLOOKUP($A113,'S46'!$C:$BQ,29,0)</f>
        <v>#N/A</v>
      </c>
      <c r="Y113" s="115" t="e">
        <f>VLOOKUP($A113,'S46'!$C:$BQ,30,0)</f>
        <v>#N/A</v>
      </c>
      <c r="Z113" s="115" t="e">
        <f>VLOOKUP($A113,'S46'!$C:$BQ,52,0)</f>
        <v>#N/A</v>
      </c>
      <c r="AA113" s="115" t="e">
        <f>VLOOKUP($A113,'S46'!$C:$BQ,59,0)</f>
        <v>#N/A</v>
      </c>
      <c r="AB113" s="115" t="e">
        <f>VLOOKUP($A113,'S46'!$C:$BQ,60,0)</f>
        <v>#N/A</v>
      </c>
      <c r="AC113" s="107" t="e">
        <f>VLOOKUP($A113,'S47'!$C:$BQ,32,0)</f>
        <v>#N/A</v>
      </c>
      <c r="AD113" s="107" t="e">
        <f>VLOOKUP($A113,'S47'!$C:$BQ,39,0)</f>
        <v>#N/A</v>
      </c>
      <c r="AE113" s="107" t="e">
        <f>VLOOKUP($A113,'S47'!$C:$BQ,40,0)</f>
        <v>#N/A</v>
      </c>
      <c r="AF113" s="107" t="e">
        <f>VLOOKUP($A113,'S47'!$C:$BQ,22,0)</f>
        <v>#N/A</v>
      </c>
      <c r="AG113" s="115" t="e">
        <f>VLOOKUP($A113,'S47'!$C:$BQ,29,0)</f>
        <v>#N/A</v>
      </c>
      <c r="AH113" s="115" t="e">
        <f>VLOOKUP($A113,'S47'!$C:$BQ,30,0)</f>
        <v>#N/A</v>
      </c>
      <c r="AI113" s="115" t="e">
        <f>VLOOKUP($A113,'S47'!$C:$BQ,52,0)</f>
        <v>#N/A</v>
      </c>
      <c r="AJ113" s="115" t="e">
        <f>VLOOKUP($A113,'S47'!$C:$BQ,59,0)</f>
        <v>#N/A</v>
      </c>
      <c r="AK113" s="115" t="e">
        <f>VLOOKUP($A113,'S47'!$C:$BQ,60,0)</f>
        <v>#N/A</v>
      </c>
      <c r="AL113" s="107" t="e">
        <f>VLOOKUP($A113,'S48'!$C:$BQ,32,0)</f>
        <v>#N/A</v>
      </c>
      <c r="AM113" s="107" t="e">
        <f>VLOOKUP($A113,'S48'!$C:$BQ,39,0)</f>
        <v>#N/A</v>
      </c>
      <c r="AN113" s="107" t="e">
        <f>VLOOKUP($A113,'S48'!$C:$BQ,40,0)</f>
        <v>#N/A</v>
      </c>
      <c r="AO113" s="107" t="e">
        <f>VLOOKUP($A113,'S48'!$C:$BQ,22,0)</f>
        <v>#N/A</v>
      </c>
      <c r="AP113" s="115" t="e">
        <f>VLOOKUP($A113,'S48'!$C:$BQ,29,0)</f>
        <v>#N/A</v>
      </c>
      <c r="AQ113" s="115" t="e">
        <f>VLOOKUP($A113,'S48'!$C:$BQ,30,0)</f>
        <v>#N/A</v>
      </c>
      <c r="AR113" s="115" t="e">
        <f>VLOOKUP($A113,'S48'!$C:$BQ,52,0)</f>
        <v>#N/A</v>
      </c>
      <c r="AS113" s="115" t="e">
        <f>VLOOKUP($A113,'S48'!$C:$BQ,59,0)</f>
        <v>#N/A</v>
      </c>
      <c r="AT113" s="115" t="e">
        <f>VLOOKUP($A113,'S48'!$C:$BQ,60,0)</f>
        <v>#N/A</v>
      </c>
      <c r="AU113" s="107" t="e">
        <f>VLOOKUP($A113,'S49'!$C:$BQ,32,0)</f>
        <v>#N/A</v>
      </c>
      <c r="AV113" s="107" t="e">
        <f>VLOOKUP($A113,'S49'!$C:$BQ,39,0)</f>
        <v>#N/A</v>
      </c>
      <c r="AW113" s="107" t="e">
        <f>VLOOKUP($A113,'S49'!$C:$BQ,40,0)</f>
        <v>#N/A</v>
      </c>
      <c r="AX113" s="107" t="e">
        <f>VLOOKUP($A113,'S49'!$C:$BQ,22,0)</f>
        <v>#N/A</v>
      </c>
      <c r="AY113" s="115" t="e">
        <f>VLOOKUP($A113,'S49'!$C:$BQ,29,0)</f>
        <v>#N/A</v>
      </c>
      <c r="AZ113" s="115" t="e">
        <f>VLOOKUP($A113,'S49'!$C:$BQ,30,0)</f>
        <v>#N/A</v>
      </c>
      <c r="BA113" s="115" t="e">
        <f>VLOOKUP($A113,'S49'!$C:$BQ,52,0)</f>
        <v>#N/A</v>
      </c>
      <c r="BB113" s="115" t="e">
        <f>VLOOKUP($A113,'S49'!$C:$BQ,59,0)</f>
        <v>#N/A</v>
      </c>
      <c r="BC113" s="115" t="e">
        <f>VLOOKUP($A113,'S49'!$C:$BQ,60,0)</f>
        <v>#N/A</v>
      </c>
      <c r="BD113" s="107" t="e">
        <f>VLOOKUP($A113,'S50'!$C:$BQ,32,0)</f>
        <v>#N/A</v>
      </c>
      <c r="BE113" s="107" t="e">
        <f>VLOOKUP($A113,'S50'!$C:$BQ,39,0)</f>
        <v>#N/A</v>
      </c>
      <c r="BF113" s="107" t="e">
        <f>VLOOKUP($A113,'S50'!$C:$BQ,40,0)</f>
        <v>#N/A</v>
      </c>
      <c r="BG113" s="107" t="e">
        <f>VLOOKUP($A113,'S50'!$C:$BQ,22,0)</f>
        <v>#N/A</v>
      </c>
      <c r="BH113" s="115" t="e">
        <f>VLOOKUP($A113,'S50'!$C:$BQ,29,0)</f>
        <v>#N/A</v>
      </c>
      <c r="BI113" s="115" t="e">
        <f>VLOOKUP($A113,'S50'!$C:$BQ,30,0)</f>
        <v>#N/A</v>
      </c>
      <c r="BJ113" s="115" t="e">
        <f>VLOOKUP($A113,'S50'!$C:$BQ,52,0)</f>
        <v>#N/A</v>
      </c>
      <c r="BK113" s="115" t="e">
        <f>VLOOKUP($A113,'S50'!$C:$BQ,59,0)</f>
        <v>#N/A</v>
      </c>
      <c r="BL113" s="115" t="e">
        <f>VLOOKUP($A113,'S50'!$C:$BQ,60,0)</f>
        <v>#N/A</v>
      </c>
    </row>
    <row r="114" spans="1:64" x14ac:dyDescent="0.2">
      <c r="A114" s="106" t="s">
        <v>177</v>
      </c>
      <c r="B114" s="107">
        <f>VLOOKUP($A114,'S0 remplacer avec S44'!$C:$BQ,32,0)</f>
        <v>335.85</v>
      </c>
      <c r="C114" s="107">
        <f>VLOOKUP($A114,'S0 remplacer avec S44'!$C:$BQ,39,0)</f>
        <v>2</v>
      </c>
      <c r="D114" s="107">
        <f>VLOOKUP($A114,'S0 remplacer avec S44'!$C:$BQ,40,0)</f>
        <v>70</v>
      </c>
      <c r="E114" s="107">
        <f>VLOOKUP($A114,'S0 remplacer avec S44'!$C:$BQ,22,0)</f>
        <v>2763.1614100000002</v>
      </c>
      <c r="F114" s="115">
        <f>VLOOKUP($A114,'S0 remplacer avec S44'!$C:$BQ,29,0)</f>
        <v>309</v>
      </c>
      <c r="G114" s="115">
        <f>VLOOKUP($A114,'S0 remplacer avec S44'!$C:$BQ,30,0)</f>
        <v>924</v>
      </c>
      <c r="H114" s="115">
        <f>VLOOKUP($A114,'S0 remplacer avec S44'!$C:$BQ,52,0)</f>
        <v>211.4</v>
      </c>
      <c r="I114" s="115">
        <f>VLOOKUP($A114,'S0 remplacer avec S44'!$C:$BQ,59,0)</f>
        <v>0</v>
      </c>
      <c r="J114" s="115">
        <f>VLOOKUP($A114,'S0 remplacer avec S44'!$C:$BQ,60,0)</f>
        <v>0</v>
      </c>
      <c r="K114" s="107" t="e">
        <f>VLOOKUP($A114,'S45'!$C:$BQ,32,0)</f>
        <v>#N/A</v>
      </c>
      <c r="L114" s="107" t="e">
        <f>VLOOKUP($A114,'S45'!$C:$BQ,39,0)</f>
        <v>#N/A</v>
      </c>
      <c r="M114" s="107" t="e">
        <f>VLOOKUP($A114,'S45'!$C:$BQ,40,0)</f>
        <v>#N/A</v>
      </c>
      <c r="N114" s="107" t="e">
        <f>VLOOKUP($A114,'S45'!$C:$BQ,22,0)</f>
        <v>#N/A</v>
      </c>
      <c r="O114" s="115" t="e">
        <f>VLOOKUP($A114,'S45'!$C:$BQ,29,0)</f>
        <v>#N/A</v>
      </c>
      <c r="P114" s="115" t="e">
        <f>VLOOKUP($A114,'S45'!$C:$BQ,30,0)</f>
        <v>#N/A</v>
      </c>
      <c r="Q114" s="115" t="e">
        <f>VLOOKUP($A114,'S45'!$C:$BQ,52,0)</f>
        <v>#N/A</v>
      </c>
      <c r="R114" s="115" t="e">
        <f>VLOOKUP($A114,'S45'!$C:$BQ,59,0)</f>
        <v>#N/A</v>
      </c>
      <c r="S114" s="115" t="e">
        <f>VLOOKUP($A114,'S45'!$C:$BQ,60,0)</f>
        <v>#N/A</v>
      </c>
      <c r="T114" s="107" t="e">
        <f>VLOOKUP($A114,'S46'!$C:$BQ,32,0)</f>
        <v>#N/A</v>
      </c>
      <c r="U114" s="107" t="e">
        <f>VLOOKUP($A114,'S46'!$C:$BQ,39,0)</f>
        <v>#N/A</v>
      </c>
      <c r="V114" s="107" t="e">
        <f>VLOOKUP($A114,'S46'!$C:$BQ,40,0)</f>
        <v>#N/A</v>
      </c>
      <c r="W114" s="107" t="e">
        <f>VLOOKUP($A114,'S46'!$C:$BQ,22,0)</f>
        <v>#N/A</v>
      </c>
      <c r="X114" s="115" t="e">
        <f>VLOOKUP($A114,'S46'!$C:$BQ,29,0)</f>
        <v>#N/A</v>
      </c>
      <c r="Y114" s="115" t="e">
        <f>VLOOKUP($A114,'S46'!$C:$BQ,30,0)</f>
        <v>#N/A</v>
      </c>
      <c r="Z114" s="115" t="e">
        <f>VLOOKUP($A114,'S46'!$C:$BQ,52,0)</f>
        <v>#N/A</v>
      </c>
      <c r="AA114" s="115" t="e">
        <f>VLOOKUP($A114,'S46'!$C:$BQ,59,0)</f>
        <v>#N/A</v>
      </c>
      <c r="AB114" s="115" t="e">
        <f>VLOOKUP($A114,'S46'!$C:$BQ,60,0)</f>
        <v>#N/A</v>
      </c>
      <c r="AC114" s="107" t="e">
        <f>VLOOKUP($A114,'S47'!$C:$BQ,32,0)</f>
        <v>#N/A</v>
      </c>
      <c r="AD114" s="107" t="e">
        <f>VLOOKUP($A114,'S47'!$C:$BQ,39,0)</f>
        <v>#N/A</v>
      </c>
      <c r="AE114" s="107" t="e">
        <f>VLOOKUP($A114,'S47'!$C:$BQ,40,0)</f>
        <v>#N/A</v>
      </c>
      <c r="AF114" s="107" t="e">
        <f>VLOOKUP($A114,'S47'!$C:$BQ,22,0)</f>
        <v>#N/A</v>
      </c>
      <c r="AG114" s="115" t="e">
        <f>VLOOKUP($A114,'S47'!$C:$BQ,29,0)</f>
        <v>#N/A</v>
      </c>
      <c r="AH114" s="115" t="e">
        <f>VLOOKUP($A114,'S47'!$C:$BQ,30,0)</f>
        <v>#N/A</v>
      </c>
      <c r="AI114" s="115" t="e">
        <f>VLOOKUP($A114,'S47'!$C:$BQ,52,0)</f>
        <v>#N/A</v>
      </c>
      <c r="AJ114" s="115" t="e">
        <f>VLOOKUP($A114,'S47'!$C:$BQ,59,0)</f>
        <v>#N/A</v>
      </c>
      <c r="AK114" s="115" t="e">
        <f>VLOOKUP($A114,'S47'!$C:$BQ,60,0)</f>
        <v>#N/A</v>
      </c>
      <c r="AL114" s="107" t="e">
        <f>VLOOKUP($A114,'S48'!$C:$BQ,32,0)</f>
        <v>#N/A</v>
      </c>
      <c r="AM114" s="107" t="e">
        <f>VLOOKUP($A114,'S48'!$C:$BQ,39,0)</f>
        <v>#N/A</v>
      </c>
      <c r="AN114" s="107" t="e">
        <f>VLOOKUP($A114,'S48'!$C:$BQ,40,0)</f>
        <v>#N/A</v>
      </c>
      <c r="AO114" s="107" t="e">
        <f>VLOOKUP($A114,'S48'!$C:$BQ,22,0)</f>
        <v>#N/A</v>
      </c>
      <c r="AP114" s="115" t="e">
        <f>VLOOKUP($A114,'S48'!$C:$BQ,29,0)</f>
        <v>#N/A</v>
      </c>
      <c r="AQ114" s="115" t="e">
        <f>VLOOKUP($A114,'S48'!$C:$BQ,30,0)</f>
        <v>#N/A</v>
      </c>
      <c r="AR114" s="115" t="e">
        <f>VLOOKUP($A114,'S48'!$C:$BQ,52,0)</f>
        <v>#N/A</v>
      </c>
      <c r="AS114" s="115" t="e">
        <f>VLOOKUP($A114,'S48'!$C:$BQ,59,0)</f>
        <v>#N/A</v>
      </c>
      <c r="AT114" s="115" t="e">
        <f>VLOOKUP($A114,'S48'!$C:$BQ,60,0)</f>
        <v>#N/A</v>
      </c>
      <c r="AU114" s="107" t="e">
        <f>VLOOKUP($A114,'S49'!$C:$BQ,32,0)</f>
        <v>#N/A</v>
      </c>
      <c r="AV114" s="107" t="e">
        <f>VLOOKUP($A114,'S49'!$C:$BQ,39,0)</f>
        <v>#N/A</v>
      </c>
      <c r="AW114" s="107" t="e">
        <f>VLOOKUP($A114,'S49'!$C:$BQ,40,0)</f>
        <v>#N/A</v>
      </c>
      <c r="AX114" s="107" t="e">
        <f>VLOOKUP($A114,'S49'!$C:$BQ,22,0)</f>
        <v>#N/A</v>
      </c>
      <c r="AY114" s="115" t="e">
        <f>VLOOKUP($A114,'S49'!$C:$BQ,29,0)</f>
        <v>#N/A</v>
      </c>
      <c r="AZ114" s="115" t="e">
        <f>VLOOKUP($A114,'S49'!$C:$BQ,30,0)</f>
        <v>#N/A</v>
      </c>
      <c r="BA114" s="115" t="e">
        <f>VLOOKUP($A114,'S49'!$C:$BQ,52,0)</f>
        <v>#N/A</v>
      </c>
      <c r="BB114" s="115" t="e">
        <f>VLOOKUP($A114,'S49'!$C:$BQ,59,0)</f>
        <v>#N/A</v>
      </c>
      <c r="BC114" s="115" t="e">
        <f>VLOOKUP($A114,'S49'!$C:$BQ,60,0)</f>
        <v>#N/A</v>
      </c>
      <c r="BD114" s="107" t="e">
        <f>VLOOKUP($A114,'S50'!$C:$BQ,32,0)</f>
        <v>#N/A</v>
      </c>
      <c r="BE114" s="107" t="e">
        <f>VLOOKUP($A114,'S50'!$C:$BQ,39,0)</f>
        <v>#N/A</v>
      </c>
      <c r="BF114" s="107" t="e">
        <f>VLOOKUP($A114,'S50'!$C:$BQ,40,0)</f>
        <v>#N/A</v>
      </c>
      <c r="BG114" s="107" t="e">
        <f>VLOOKUP($A114,'S50'!$C:$BQ,22,0)</f>
        <v>#N/A</v>
      </c>
      <c r="BH114" s="115" t="e">
        <f>VLOOKUP($A114,'S50'!$C:$BQ,29,0)</f>
        <v>#N/A</v>
      </c>
      <c r="BI114" s="115" t="e">
        <f>VLOOKUP($A114,'S50'!$C:$BQ,30,0)</f>
        <v>#N/A</v>
      </c>
      <c r="BJ114" s="115" t="e">
        <f>VLOOKUP($A114,'S50'!$C:$BQ,52,0)</f>
        <v>#N/A</v>
      </c>
      <c r="BK114" s="115" t="e">
        <f>VLOOKUP($A114,'S50'!$C:$BQ,59,0)</f>
        <v>#N/A</v>
      </c>
      <c r="BL114" s="115" t="e">
        <f>VLOOKUP($A114,'S50'!$C:$BQ,60,0)</f>
        <v>#N/A</v>
      </c>
    </row>
    <row r="115" spans="1:64" x14ac:dyDescent="0.2">
      <c r="A115" s="106" t="s">
        <v>178</v>
      </c>
      <c r="B115" s="107">
        <f>VLOOKUP($A115,'S0 remplacer avec S44'!$C:$BQ,32,0)</f>
        <v>760</v>
      </c>
      <c r="C115" s="107">
        <f>VLOOKUP($A115,'S0 remplacer avec S44'!$C:$BQ,39,0)</f>
        <v>0</v>
      </c>
      <c r="D115" s="107">
        <f>VLOOKUP($A115,'S0 remplacer avec S44'!$C:$BQ,40,0)</f>
        <v>0</v>
      </c>
      <c r="E115" s="107">
        <f>VLOOKUP($A115,'S0 remplacer avec S44'!$C:$BQ,22,0)</f>
        <v>6627.3678849999997</v>
      </c>
      <c r="F115" s="115">
        <f>VLOOKUP($A115,'S0 remplacer avec S44'!$C:$BQ,29,0)</f>
        <v>0</v>
      </c>
      <c r="G115" s="115">
        <f>VLOOKUP($A115,'S0 remplacer avec S44'!$C:$BQ,30,0)</f>
        <v>53</v>
      </c>
      <c r="H115" s="115">
        <f>VLOOKUP($A115,'S0 remplacer avec S44'!$C:$BQ,52,0)</f>
        <v>475.2</v>
      </c>
      <c r="I115" s="115">
        <f>VLOOKUP($A115,'S0 remplacer avec S44'!$C:$BQ,59,0)</f>
        <v>0</v>
      </c>
      <c r="J115" s="115">
        <f>VLOOKUP($A115,'S0 remplacer avec S44'!$C:$BQ,60,0)</f>
        <v>0</v>
      </c>
      <c r="K115" s="107" t="e">
        <f>VLOOKUP($A115,'S45'!$C:$BQ,32,0)</f>
        <v>#N/A</v>
      </c>
      <c r="L115" s="107" t="e">
        <f>VLOOKUP($A115,'S45'!$C:$BQ,39,0)</f>
        <v>#N/A</v>
      </c>
      <c r="M115" s="107" t="e">
        <f>VLOOKUP($A115,'S45'!$C:$BQ,40,0)</f>
        <v>#N/A</v>
      </c>
      <c r="N115" s="107" t="e">
        <f>VLOOKUP($A115,'S45'!$C:$BQ,22,0)</f>
        <v>#N/A</v>
      </c>
      <c r="O115" s="115" t="e">
        <f>VLOOKUP($A115,'S45'!$C:$BQ,29,0)</f>
        <v>#N/A</v>
      </c>
      <c r="P115" s="115" t="e">
        <f>VLOOKUP($A115,'S45'!$C:$BQ,30,0)</f>
        <v>#N/A</v>
      </c>
      <c r="Q115" s="115" t="e">
        <f>VLOOKUP($A115,'S45'!$C:$BQ,52,0)</f>
        <v>#N/A</v>
      </c>
      <c r="R115" s="115" t="e">
        <f>VLOOKUP($A115,'S45'!$C:$BQ,59,0)</f>
        <v>#N/A</v>
      </c>
      <c r="S115" s="115" t="e">
        <f>VLOOKUP($A115,'S45'!$C:$BQ,60,0)</f>
        <v>#N/A</v>
      </c>
      <c r="T115" s="107" t="e">
        <f>VLOOKUP($A115,'S46'!$C:$BQ,32,0)</f>
        <v>#N/A</v>
      </c>
      <c r="U115" s="107" t="e">
        <f>VLOOKUP($A115,'S46'!$C:$BQ,39,0)</f>
        <v>#N/A</v>
      </c>
      <c r="V115" s="107" t="e">
        <f>VLOOKUP($A115,'S46'!$C:$BQ,40,0)</f>
        <v>#N/A</v>
      </c>
      <c r="W115" s="107" t="e">
        <f>VLOOKUP($A115,'S46'!$C:$BQ,22,0)</f>
        <v>#N/A</v>
      </c>
      <c r="X115" s="115" t="e">
        <f>VLOOKUP($A115,'S46'!$C:$BQ,29,0)</f>
        <v>#N/A</v>
      </c>
      <c r="Y115" s="115" t="e">
        <f>VLOOKUP($A115,'S46'!$C:$BQ,30,0)</f>
        <v>#N/A</v>
      </c>
      <c r="Z115" s="115" t="e">
        <f>VLOOKUP($A115,'S46'!$C:$BQ,52,0)</f>
        <v>#N/A</v>
      </c>
      <c r="AA115" s="115" t="e">
        <f>VLOOKUP($A115,'S46'!$C:$BQ,59,0)</f>
        <v>#N/A</v>
      </c>
      <c r="AB115" s="115" t="e">
        <f>VLOOKUP($A115,'S46'!$C:$BQ,60,0)</f>
        <v>#N/A</v>
      </c>
      <c r="AC115" s="107" t="e">
        <f>VLOOKUP($A115,'S47'!$C:$BQ,32,0)</f>
        <v>#N/A</v>
      </c>
      <c r="AD115" s="107" t="e">
        <f>VLOOKUP($A115,'S47'!$C:$BQ,39,0)</f>
        <v>#N/A</v>
      </c>
      <c r="AE115" s="107" t="e">
        <f>VLOOKUP($A115,'S47'!$C:$BQ,40,0)</f>
        <v>#N/A</v>
      </c>
      <c r="AF115" s="107" t="e">
        <f>VLOOKUP($A115,'S47'!$C:$BQ,22,0)</f>
        <v>#N/A</v>
      </c>
      <c r="AG115" s="115" t="e">
        <f>VLOOKUP($A115,'S47'!$C:$BQ,29,0)</f>
        <v>#N/A</v>
      </c>
      <c r="AH115" s="115" t="e">
        <f>VLOOKUP($A115,'S47'!$C:$BQ,30,0)</f>
        <v>#N/A</v>
      </c>
      <c r="AI115" s="115" t="e">
        <f>VLOOKUP($A115,'S47'!$C:$BQ,52,0)</f>
        <v>#N/A</v>
      </c>
      <c r="AJ115" s="115" t="e">
        <f>VLOOKUP($A115,'S47'!$C:$BQ,59,0)</f>
        <v>#N/A</v>
      </c>
      <c r="AK115" s="115" t="e">
        <f>VLOOKUP($A115,'S47'!$C:$BQ,60,0)</f>
        <v>#N/A</v>
      </c>
      <c r="AL115" s="107" t="e">
        <f>VLOOKUP($A115,'S48'!$C:$BQ,32,0)</f>
        <v>#N/A</v>
      </c>
      <c r="AM115" s="107" t="e">
        <f>VLOOKUP($A115,'S48'!$C:$BQ,39,0)</f>
        <v>#N/A</v>
      </c>
      <c r="AN115" s="107" t="e">
        <f>VLOOKUP($A115,'S48'!$C:$BQ,40,0)</f>
        <v>#N/A</v>
      </c>
      <c r="AO115" s="107" t="e">
        <f>VLOOKUP($A115,'S48'!$C:$BQ,22,0)</f>
        <v>#N/A</v>
      </c>
      <c r="AP115" s="115" t="e">
        <f>VLOOKUP($A115,'S48'!$C:$BQ,29,0)</f>
        <v>#N/A</v>
      </c>
      <c r="AQ115" s="115" t="e">
        <f>VLOOKUP($A115,'S48'!$C:$BQ,30,0)</f>
        <v>#N/A</v>
      </c>
      <c r="AR115" s="115" t="e">
        <f>VLOOKUP($A115,'S48'!$C:$BQ,52,0)</f>
        <v>#N/A</v>
      </c>
      <c r="AS115" s="115" t="e">
        <f>VLOOKUP($A115,'S48'!$C:$BQ,59,0)</f>
        <v>#N/A</v>
      </c>
      <c r="AT115" s="115" t="e">
        <f>VLOOKUP($A115,'S48'!$C:$BQ,60,0)</f>
        <v>#N/A</v>
      </c>
      <c r="AU115" s="107" t="e">
        <f>VLOOKUP($A115,'S49'!$C:$BQ,32,0)</f>
        <v>#N/A</v>
      </c>
      <c r="AV115" s="107" t="e">
        <f>VLOOKUP($A115,'S49'!$C:$BQ,39,0)</f>
        <v>#N/A</v>
      </c>
      <c r="AW115" s="107" t="e">
        <f>VLOOKUP($A115,'S49'!$C:$BQ,40,0)</f>
        <v>#N/A</v>
      </c>
      <c r="AX115" s="107" t="e">
        <f>VLOOKUP($A115,'S49'!$C:$BQ,22,0)</f>
        <v>#N/A</v>
      </c>
      <c r="AY115" s="115" t="e">
        <f>VLOOKUP($A115,'S49'!$C:$BQ,29,0)</f>
        <v>#N/A</v>
      </c>
      <c r="AZ115" s="115" t="e">
        <f>VLOOKUP($A115,'S49'!$C:$BQ,30,0)</f>
        <v>#N/A</v>
      </c>
      <c r="BA115" s="115" t="e">
        <f>VLOOKUP($A115,'S49'!$C:$BQ,52,0)</f>
        <v>#N/A</v>
      </c>
      <c r="BB115" s="115" t="e">
        <f>VLOOKUP($A115,'S49'!$C:$BQ,59,0)</f>
        <v>#N/A</v>
      </c>
      <c r="BC115" s="115" t="e">
        <f>VLOOKUP($A115,'S49'!$C:$BQ,60,0)</f>
        <v>#N/A</v>
      </c>
      <c r="BD115" s="107" t="e">
        <f>VLOOKUP($A115,'S50'!$C:$BQ,32,0)</f>
        <v>#N/A</v>
      </c>
      <c r="BE115" s="107" t="e">
        <f>VLOOKUP($A115,'S50'!$C:$BQ,39,0)</f>
        <v>#N/A</v>
      </c>
      <c r="BF115" s="107" t="e">
        <f>VLOOKUP($A115,'S50'!$C:$BQ,40,0)</f>
        <v>#N/A</v>
      </c>
      <c r="BG115" s="107" t="e">
        <f>VLOOKUP($A115,'S50'!$C:$BQ,22,0)</f>
        <v>#N/A</v>
      </c>
      <c r="BH115" s="115" t="e">
        <f>VLOOKUP($A115,'S50'!$C:$BQ,29,0)</f>
        <v>#N/A</v>
      </c>
      <c r="BI115" s="115" t="e">
        <f>VLOOKUP($A115,'S50'!$C:$BQ,30,0)</f>
        <v>#N/A</v>
      </c>
      <c r="BJ115" s="115" t="e">
        <f>VLOOKUP($A115,'S50'!$C:$BQ,52,0)</f>
        <v>#N/A</v>
      </c>
      <c r="BK115" s="115" t="e">
        <f>VLOOKUP($A115,'S50'!$C:$BQ,59,0)</f>
        <v>#N/A</v>
      </c>
      <c r="BL115" s="115" t="e">
        <f>VLOOKUP($A115,'S50'!$C:$BQ,60,0)</f>
        <v>#N/A</v>
      </c>
    </row>
    <row r="116" spans="1:64" x14ac:dyDescent="0.2">
      <c r="A116" s="106" t="s">
        <v>179</v>
      </c>
      <c r="B116" s="107">
        <f>VLOOKUP($A116,'S0 remplacer avec S44'!$C:$BQ,32,0)</f>
        <v>220.05</v>
      </c>
      <c r="C116" s="107">
        <f>VLOOKUP($A116,'S0 remplacer avec S44'!$C:$BQ,39,0)</f>
        <v>0</v>
      </c>
      <c r="D116" s="107">
        <f>VLOOKUP($A116,'S0 remplacer avec S44'!$C:$BQ,40,0)</f>
        <v>0</v>
      </c>
      <c r="E116" s="107">
        <f>VLOOKUP($A116,'S0 remplacer avec S44'!$C:$BQ,22,0)</f>
        <v>1931.3181300000001</v>
      </c>
      <c r="F116" s="115">
        <f>VLOOKUP($A116,'S0 remplacer avec S44'!$C:$BQ,29,0)</f>
        <v>0</v>
      </c>
      <c r="G116" s="115">
        <f>VLOOKUP($A116,'S0 remplacer avec S44'!$C:$BQ,30,0)</f>
        <v>0</v>
      </c>
      <c r="H116" s="115">
        <f>VLOOKUP($A116,'S0 remplacer avec S44'!$C:$BQ,52,0)</f>
        <v>156</v>
      </c>
      <c r="I116" s="115">
        <f>VLOOKUP($A116,'S0 remplacer avec S44'!$C:$BQ,59,0)</f>
        <v>0</v>
      </c>
      <c r="J116" s="115">
        <f>VLOOKUP($A116,'S0 remplacer avec S44'!$C:$BQ,60,0)</f>
        <v>0</v>
      </c>
      <c r="K116" s="107" t="e">
        <f>VLOOKUP($A116,'S45'!$C:$BQ,32,0)</f>
        <v>#N/A</v>
      </c>
      <c r="L116" s="107" t="e">
        <f>VLOOKUP($A116,'S45'!$C:$BQ,39,0)</f>
        <v>#N/A</v>
      </c>
      <c r="M116" s="107" t="e">
        <f>VLOOKUP($A116,'S45'!$C:$BQ,40,0)</f>
        <v>#N/A</v>
      </c>
      <c r="N116" s="107" t="e">
        <f>VLOOKUP($A116,'S45'!$C:$BQ,22,0)</f>
        <v>#N/A</v>
      </c>
      <c r="O116" s="115" t="e">
        <f>VLOOKUP($A116,'S45'!$C:$BQ,29,0)</f>
        <v>#N/A</v>
      </c>
      <c r="P116" s="115" t="e">
        <f>VLOOKUP($A116,'S45'!$C:$BQ,30,0)</f>
        <v>#N/A</v>
      </c>
      <c r="Q116" s="115" t="e">
        <f>VLOOKUP($A116,'S45'!$C:$BQ,52,0)</f>
        <v>#N/A</v>
      </c>
      <c r="R116" s="115" t="e">
        <f>VLOOKUP($A116,'S45'!$C:$BQ,59,0)</f>
        <v>#N/A</v>
      </c>
      <c r="S116" s="115" t="e">
        <f>VLOOKUP($A116,'S45'!$C:$BQ,60,0)</f>
        <v>#N/A</v>
      </c>
      <c r="T116" s="107" t="e">
        <f>VLOOKUP($A116,'S46'!$C:$BQ,32,0)</f>
        <v>#N/A</v>
      </c>
      <c r="U116" s="107" t="e">
        <f>VLOOKUP($A116,'S46'!$C:$BQ,39,0)</f>
        <v>#N/A</v>
      </c>
      <c r="V116" s="107" t="e">
        <f>VLOOKUP($A116,'S46'!$C:$BQ,40,0)</f>
        <v>#N/A</v>
      </c>
      <c r="W116" s="107" t="e">
        <f>VLOOKUP($A116,'S46'!$C:$BQ,22,0)</f>
        <v>#N/A</v>
      </c>
      <c r="X116" s="115" t="e">
        <f>VLOOKUP($A116,'S46'!$C:$BQ,29,0)</f>
        <v>#N/A</v>
      </c>
      <c r="Y116" s="115" t="e">
        <f>VLOOKUP($A116,'S46'!$C:$BQ,30,0)</f>
        <v>#N/A</v>
      </c>
      <c r="Z116" s="115" t="e">
        <f>VLOOKUP($A116,'S46'!$C:$BQ,52,0)</f>
        <v>#N/A</v>
      </c>
      <c r="AA116" s="115" t="e">
        <f>VLOOKUP($A116,'S46'!$C:$BQ,59,0)</f>
        <v>#N/A</v>
      </c>
      <c r="AB116" s="115" t="e">
        <f>VLOOKUP($A116,'S46'!$C:$BQ,60,0)</f>
        <v>#N/A</v>
      </c>
      <c r="AC116" s="107" t="e">
        <f>VLOOKUP($A116,'S47'!$C:$BQ,32,0)</f>
        <v>#N/A</v>
      </c>
      <c r="AD116" s="107" t="e">
        <f>VLOOKUP($A116,'S47'!$C:$BQ,39,0)</f>
        <v>#N/A</v>
      </c>
      <c r="AE116" s="107" t="e">
        <f>VLOOKUP($A116,'S47'!$C:$BQ,40,0)</f>
        <v>#N/A</v>
      </c>
      <c r="AF116" s="107" t="e">
        <f>VLOOKUP($A116,'S47'!$C:$BQ,22,0)</f>
        <v>#N/A</v>
      </c>
      <c r="AG116" s="115" t="e">
        <f>VLOOKUP($A116,'S47'!$C:$BQ,29,0)</f>
        <v>#N/A</v>
      </c>
      <c r="AH116" s="115" t="e">
        <f>VLOOKUP($A116,'S47'!$C:$BQ,30,0)</f>
        <v>#N/A</v>
      </c>
      <c r="AI116" s="115" t="e">
        <f>VLOOKUP($A116,'S47'!$C:$BQ,52,0)</f>
        <v>#N/A</v>
      </c>
      <c r="AJ116" s="115" t="e">
        <f>VLOOKUP($A116,'S47'!$C:$BQ,59,0)</f>
        <v>#N/A</v>
      </c>
      <c r="AK116" s="115" t="e">
        <f>VLOOKUP($A116,'S47'!$C:$BQ,60,0)</f>
        <v>#N/A</v>
      </c>
      <c r="AL116" s="107" t="e">
        <f>VLOOKUP($A116,'S48'!$C:$BQ,32,0)</f>
        <v>#N/A</v>
      </c>
      <c r="AM116" s="107" t="e">
        <f>VLOOKUP($A116,'S48'!$C:$BQ,39,0)</f>
        <v>#N/A</v>
      </c>
      <c r="AN116" s="107" t="e">
        <f>VLOOKUP($A116,'S48'!$C:$BQ,40,0)</f>
        <v>#N/A</v>
      </c>
      <c r="AO116" s="107" t="e">
        <f>VLOOKUP($A116,'S48'!$C:$BQ,22,0)</f>
        <v>#N/A</v>
      </c>
      <c r="AP116" s="115" t="e">
        <f>VLOOKUP($A116,'S48'!$C:$BQ,29,0)</f>
        <v>#N/A</v>
      </c>
      <c r="AQ116" s="115" t="e">
        <f>VLOOKUP($A116,'S48'!$C:$BQ,30,0)</f>
        <v>#N/A</v>
      </c>
      <c r="AR116" s="115" t="e">
        <f>VLOOKUP($A116,'S48'!$C:$BQ,52,0)</f>
        <v>#N/A</v>
      </c>
      <c r="AS116" s="115" t="e">
        <f>VLOOKUP($A116,'S48'!$C:$BQ,59,0)</f>
        <v>#N/A</v>
      </c>
      <c r="AT116" s="115" t="e">
        <f>VLOOKUP($A116,'S48'!$C:$BQ,60,0)</f>
        <v>#N/A</v>
      </c>
      <c r="AU116" s="107" t="e">
        <f>VLOOKUP($A116,'S49'!$C:$BQ,32,0)</f>
        <v>#N/A</v>
      </c>
      <c r="AV116" s="107" t="e">
        <f>VLOOKUP($A116,'S49'!$C:$BQ,39,0)</f>
        <v>#N/A</v>
      </c>
      <c r="AW116" s="107" t="e">
        <f>VLOOKUP($A116,'S49'!$C:$BQ,40,0)</f>
        <v>#N/A</v>
      </c>
      <c r="AX116" s="107" t="e">
        <f>VLOOKUP($A116,'S49'!$C:$BQ,22,0)</f>
        <v>#N/A</v>
      </c>
      <c r="AY116" s="115" t="e">
        <f>VLOOKUP($A116,'S49'!$C:$BQ,29,0)</f>
        <v>#N/A</v>
      </c>
      <c r="AZ116" s="115" t="e">
        <f>VLOOKUP($A116,'S49'!$C:$BQ,30,0)</f>
        <v>#N/A</v>
      </c>
      <c r="BA116" s="115" t="e">
        <f>VLOOKUP($A116,'S49'!$C:$BQ,52,0)</f>
        <v>#N/A</v>
      </c>
      <c r="BB116" s="115" t="e">
        <f>VLOOKUP($A116,'S49'!$C:$BQ,59,0)</f>
        <v>#N/A</v>
      </c>
      <c r="BC116" s="115" t="e">
        <f>VLOOKUP($A116,'S49'!$C:$BQ,60,0)</f>
        <v>#N/A</v>
      </c>
      <c r="BD116" s="107" t="e">
        <f>VLOOKUP($A116,'S50'!$C:$BQ,32,0)</f>
        <v>#N/A</v>
      </c>
      <c r="BE116" s="107" t="e">
        <f>VLOOKUP($A116,'S50'!$C:$BQ,39,0)</f>
        <v>#N/A</v>
      </c>
      <c r="BF116" s="107" t="e">
        <f>VLOOKUP($A116,'S50'!$C:$BQ,40,0)</f>
        <v>#N/A</v>
      </c>
      <c r="BG116" s="107" t="e">
        <f>VLOOKUP($A116,'S50'!$C:$BQ,22,0)</f>
        <v>#N/A</v>
      </c>
      <c r="BH116" s="115" t="e">
        <f>VLOOKUP($A116,'S50'!$C:$BQ,29,0)</f>
        <v>#N/A</v>
      </c>
      <c r="BI116" s="115" t="e">
        <f>VLOOKUP($A116,'S50'!$C:$BQ,30,0)</f>
        <v>#N/A</v>
      </c>
      <c r="BJ116" s="115" t="e">
        <f>VLOOKUP($A116,'S50'!$C:$BQ,52,0)</f>
        <v>#N/A</v>
      </c>
      <c r="BK116" s="115" t="e">
        <f>VLOOKUP($A116,'S50'!$C:$BQ,59,0)</f>
        <v>#N/A</v>
      </c>
      <c r="BL116" s="115" t="e">
        <f>VLOOKUP($A116,'S50'!$C:$BQ,60,0)</f>
        <v>#N/A</v>
      </c>
    </row>
    <row r="117" spans="1:64" x14ac:dyDescent="0.2">
      <c r="A117" s="106" t="s">
        <v>180</v>
      </c>
      <c r="B117" s="107">
        <f>VLOOKUP($A117,'S0 remplacer avec S44'!$C:$BQ,32,0)</f>
        <v>175.2</v>
      </c>
      <c r="C117" s="107">
        <f>VLOOKUP($A117,'S0 remplacer avec S44'!$C:$BQ,39,0)</f>
        <v>23</v>
      </c>
      <c r="D117" s="107">
        <f>VLOOKUP($A117,'S0 remplacer avec S44'!$C:$BQ,40,0)</f>
        <v>63</v>
      </c>
      <c r="E117" s="107">
        <f>VLOOKUP($A117,'S0 remplacer avec S44'!$C:$BQ,22,0)</f>
        <v>1593.3157650000001</v>
      </c>
      <c r="F117" s="115">
        <f>VLOOKUP($A117,'S0 remplacer avec S44'!$C:$BQ,29,0)</f>
        <v>205</v>
      </c>
      <c r="G117" s="115">
        <f>VLOOKUP($A117,'S0 remplacer avec S44'!$C:$BQ,30,0)</f>
        <v>565</v>
      </c>
      <c r="H117" s="115">
        <f>VLOOKUP($A117,'S0 remplacer avec S44'!$C:$BQ,52,0)</f>
        <v>102.2</v>
      </c>
      <c r="I117" s="115">
        <f>VLOOKUP($A117,'S0 remplacer avec S44'!$C:$BQ,59,0)</f>
        <v>0</v>
      </c>
      <c r="J117" s="115">
        <f>VLOOKUP($A117,'S0 remplacer avec S44'!$C:$BQ,60,0)</f>
        <v>19</v>
      </c>
      <c r="K117" s="107" t="e">
        <f>VLOOKUP($A117,'S45'!$C:$BQ,32,0)</f>
        <v>#N/A</v>
      </c>
      <c r="L117" s="107" t="e">
        <f>VLOOKUP($A117,'S45'!$C:$BQ,39,0)</f>
        <v>#N/A</v>
      </c>
      <c r="M117" s="107" t="e">
        <f>VLOOKUP($A117,'S45'!$C:$BQ,40,0)</f>
        <v>#N/A</v>
      </c>
      <c r="N117" s="107" t="e">
        <f>VLOOKUP($A117,'S45'!$C:$BQ,22,0)</f>
        <v>#N/A</v>
      </c>
      <c r="O117" s="115" t="e">
        <f>VLOOKUP($A117,'S45'!$C:$BQ,29,0)</f>
        <v>#N/A</v>
      </c>
      <c r="P117" s="115" t="e">
        <f>VLOOKUP($A117,'S45'!$C:$BQ,30,0)</f>
        <v>#N/A</v>
      </c>
      <c r="Q117" s="115" t="e">
        <f>VLOOKUP($A117,'S45'!$C:$BQ,52,0)</f>
        <v>#N/A</v>
      </c>
      <c r="R117" s="115" t="e">
        <f>VLOOKUP($A117,'S45'!$C:$BQ,59,0)</f>
        <v>#N/A</v>
      </c>
      <c r="S117" s="115" t="e">
        <f>VLOOKUP($A117,'S45'!$C:$BQ,60,0)</f>
        <v>#N/A</v>
      </c>
      <c r="T117" s="107" t="e">
        <f>VLOOKUP($A117,'S46'!$C:$BQ,32,0)</f>
        <v>#N/A</v>
      </c>
      <c r="U117" s="107" t="e">
        <f>VLOOKUP($A117,'S46'!$C:$BQ,39,0)</f>
        <v>#N/A</v>
      </c>
      <c r="V117" s="107" t="e">
        <f>VLOOKUP($A117,'S46'!$C:$BQ,40,0)</f>
        <v>#N/A</v>
      </c>
      <c r="W117" s="107" t="e">
        <f>VLOOKUP($A117,'S46'!$C:$BQ,22,0)</f>
        <v>#N/A</v>
      </c>
      <c r="X117" s="115" t="e">
        <f>VLOOKUP($A117,'S46'!$C:$BQ,29,0)</f>
        <v>#N/A</v>
      </c>
      <c r="Y117" s="115" t="e">
        <f>VLOOKUP($A117,'S46'!$C:$BQ,30,0)</f>
        <v>#N/A</v>
      </c>
      <c r="Z117" s="115" t="e">
        <f>VLOOKUP($A117,'S46'!$C:$BQ,52,0)</f>
        <v>#N/A</v>
      </c>
      <c r="AA117" s="115" t="e">
        <f>VLOOKUP($A117,'S46'!$C:$BQ,59,0)</f>
        <v>#N/A</v>
      </c>
      <c r="AB117" s="115" t="e">
        <f>VLOOKUP($A117,'S46'!$C:$BQ,60,0)</f>
        <v>#N/A</v>
      </c>
      <c r="AC117" s="107" t="e">
        <f>VLOOKUP($A117,'S47'!$C:$BQ,32,0)</f>
        <v>#N/A</v>
      </c>
      <c r="AD117" s="107" t="e">
        <f>VLOOKUP($A117,'S47'!$C:$BQ,39,0)</f>
        <v>#N/A</v>
      </c>
      <c r="AE117" s="107" t="e">
        <f>VLOOKUP($A117,'S47'!$C:$BQ,40,0)</f>
        <v>#N/A</v>
      </c>
      <c r="AF117" s="107" t="e">
        <f>VLOOKUP($A117,'S47'!$C:$BQ,22,0)</f>
        <v>#N/A</v>
      </c>
      <c r="AG117" s="115" t="e">
        <f>VLOOKUP($A117,'S47'!$C:$BQ,29,0)</f>
        <v>#N/A</v>
      </c>
      <c r="AH117" s="115" t="e">
        <f>VLOOKUP($A117,'S47'!$C:$BQ,30,0)</f>
        <v>#N/A</v>
      </c>
      <c r="AI117" s="115" t="e">
        <f>VLOOKUP($A117,'S47'!$C:$BQ,52,0)</f>
        <v>#N/A</v>
      </c>
      <c r="AJ117" s="115" t="e">
        <f>VLOOKUP($A117,'S47'!$C:$BQ,59,0)</f>
        <v>#N/A</v>
      </c>
      <c r="AK117" s="115" t="e">
        <f>VLOOKUP($A117,'S47'!$C:$BQ,60,0)</f>
        <v>#N/A</v>
      </c>
      <c r="AL117" s="107" t="e">
        <f>VLOOKUP($A117,'S48'!$C:$BQ,32,0)</f>
        <v>#N/A</v>
      </c>
      <c r="AM117" s="107" t="e">
        <f>VLOOKUP($A117,'S48'!$C:$BQ,39,0)</f>
        <v>#N/A</v>
      </c>
      <c r="AN117" s="107" t="e">
        <f>VLOOKUP($A117,'S48'!$C:$BQ,40,0)</f>
        <v>#N/A</v>
      </c>
      <c r="AO117" s="107" t="e">
        <f>VLOOKUP($A117,'S48'!$C:$BQ,22,0)</f>
        <v>#N/A</v>
      </c>
      <c r="AP117" s="115" t="e">
        <f>VLOOKUP($A117,'S48'!$C:$BQ,29,0)</f>
        <v>#N/A</v>
      </c>
      <c r="AQ117" s="115" t="e">
        <f>VLOOKUP($A117,'S48'!$C:$BQ,30,0)</f>
        <v>#N/A</v>
      </c>
      <c r="AR117" s="115" t="e">
        <f>VLOOKUP($A117,'S48'!$C:$BQ,52,0)</f>
        <v>#N/A</v>
      </c>
      <c r="AS117" s="115" t="e">
        <f>VLOOKUP($A117,'S48'!$C:$BQ,59,0)</f>
        <v>#N/A</v>
      </c>
      <c r="AT117" s="115" t="e">
        <f>VLOOKUP($A117,'S48'!$C:$BQ,60,0)</f>
        <v>#N/A</v>
      </c>
      <c r="AU117" s="107" t="e">
        <f>VLOOKUP($A117,'S49'!$C:$BQ,32,0)</f>
        <v>#N/A</v>
      </c>
      <c r="AV117" s="107" t="e">
        <f>VLOOKUP($A117,'S49'!$C:$BQ,39,0)</f>
        <v>#N/A</v>
      </c>
      <c r="AW117" s="107" t="e">
        <f>VLOOKUP($A117,'S49'!$C:$BQ,40,0)</f>
        <v>#N/A</v>
      </c>
      <c r="AX117" s="107" t="e">
        <f>VLOOKUP($A117,'S49'!$C:$BQ,22,0)</f>
        <v>#N/A</v>
      </c>
      <c r="AY117" s="115" t="e">
        <f>VLOOKUP($A117,'S49'!$C:$BQ,29,0)</f>
        <v>#N/A</v>
      </c>
      <c r="AZ117" s="115" t="e">
        <f>VLOOKUP($A117,'S49'!$C:$BQ,30,0)</f>
        <v>#N/A</v>
      </c>
      <c r="BA117" s="115" t="e">
        <f>VLOOKUP($A117,'S49'!$C:$BQ,52,0)</f>
        <v>#N/A</v>
      </c>
      <c r="BB117" s="115" t="e">
        <f>VLOOKUP($A117,'S49'!$C:$BQ,59,0)</f>
        <v>#N/A</v>
      </c>
      <c r="BC117" s="115" t="e">
        <f>VLOOKUP($A117,'S49'!$C:$BQ,60,0)</f>
        <v>#N/A</v>
      </c>
      <c r="BD117" s="107" t="e">
        <f>VLOOKUP($A117,'S50'!$C:$BQ,32,0)</f>
        <v>#N/A</v>
      </c>
      <c r="BE117" s="107" t="e">
        <f>VLOOKUP($A117,'S50'!$C:$BQ,39,0)</f>
        <v>#N/A</v>
      </c>
      <c r="BF117" s="107" t="e">
        <f>VLOOKUP($A117,'S50'!$C:$BQ,40,0)</f>
        <v>#N/A</v>
      </c>
      <c r="BG117" s="107" t="e">
        <f>VLOOKUP($A117,'S50'!$C:$BQ,22,0)</f>
        <v>#N/A</v>
      </c>
      <c r="BH117" s="115" t="e">
        <f>VLOOKUP($A117,'S50'!$C:$BQ,29,0)</f>
        <v>#N/A</v>
      </c>
      <c r="BI117" s="115" t="e">
        <f>VLOOKUP($A117,'S50'!$C:$BQ,30,0)</f>
        <v>#N/A</v>
      </c>
      <c r="BJ117" s="115" t="e">
        <f>VLOOKUP($A117,'S50'!$C:$BQ,52,0)</f>
        <v>#N/A</v>
      </c>
      <c r="BK117" s="115" t="e">
        <f>VLOOKUP($A117,'S50'!$C:$BQ,59,0)</f>
        <v>#N/A</v>
      </c>
      <c r="BL117" s="115" t="e">
        <f>VLOOKUP($A117,'S50'!$C:$BQ,60,0)</f>
        <v>#N/A</v>
      </c>
    </row>
    <row r="118" spans="1:64" x14ac:dyDescent="0.2">
      <c r="A118" s="106" t="s">
        <v>181</v>
      </c>
      <c r="B118" s="107">
        <f>VLOOKUP($A118,'S0 remplacer avec S44'!$C:$BQ,32,0)</f>
        <v>264.39999999999998</v>
      </c>
      <c r="C118" s="107">
        <f>VLOOKUP($A118,'S0 remplacer avec S44'!$C:$BQ,39,0)</f>
        <v>0</v>
      </c>
      <c r="D118" s="107">
        <f>VLOOKUP($A118,'S0 remplacer avec S44'!$C:$BQ,40,0)</f>
        <v>0</v>
      </c>
      <c r="E118" s="107">
        <f>VLOOKUP($A118,'S0 remplacer avec S44'!$C:$BQ,22,0)</f>
        <v>2267.54358</v>
      </c>
      <c r="F118" s="115">
        <f>VLOOKUP($A118,'S0 remplacer avec S44'!$C:$BQ,29,0)</f>
        <v>0</v>
      </c>
      <c r="G118" s="115">
        <f>VLOOKUP($A118,'S0 remplacer avec S44'!$C:$BQ,30,0)</f>
        <v>0</v>
      </c>
      <c r="H118" s="115">
        <f>VLOOKUP($A118,'S0 remplacer avec S44'!$C:$BQ,52,0)</f>
        <v>189</v>
      </c>
      <c r="I118" s="115">
        <f>VLOOKUP($A118,'S0 remplacer avec S44'!$C:$BQ,59,0)</f>
        <v>0</v>
      </c>
      <c r="J118" s="115">
        <f>VLOOKUP($A118,'S0 remplacer avec S44'!$C:$BQ,60,0)</f>
        <v>0</v>
      </c>
      <c r="K118" s="107" t="e">
        <f>VLOOKUP($A118,'S45'!$C:$BQ,32,0)</f>
        <v>#N/A</v>
      </c>
      <c r="L118" s="107" t="e">
        <f>VLOOKUP($A118,'S45'!$C:$BQ,39,0)</f>
        <v>#N/A</v>
      </c>
      <c r="M118" s="107" t="e">
        <f>VLOOKUP($A118,'S45'!$C:$BQ,40,0)</f>
        <v>#N/A</v>
      </c>
      <c r="N118" s="107" t="e">
        <f>VLOOKUP($A118,'S45'!$C:$BQ,22,0)</f>
        <v>#N/A</v>
      </c>
      <c r="O118" s="115" t="e">
        <f>VLOOKUP($A118,'S45'!$C:$BQ,29,0)</f>
        <v>#N/A</v>
      </c>
      <c r="P118" s="115" t="e">
        <f>VLOOKUP($A118,'S45'!$C:$BQ,30,0)</f>
        <v>#N/A</v>
      </c>
      <c r="Q118" s="115" t="e">
        <f>VLOOKUP($A118,'S45'!$C:$BQ,52,0)</f>
        <v>#N/A</v>
      </c>
      <c r="R118" s="115" t="e">
        <f>VLOOKUP($A118,'S45'!$C:$BQ,59,0)</f>
        <v>#N/A</v>
      </c>
      <c r="S118" s="115" t="e">
        <f>VLOOKUP($A118,'S45'!$C:$BQ,60,0)</f>
        <v>#N/A</v>
      </c>
      <c r="T118" s="107" t="e">
        <f>VLOOKUP($A118,'S46'!$C:$BQ,32,0)</f>
        <v>#N/A</v>
      </c>
      <c r="U118" s="107" t="e">
        <f>VLOOKUP($A118,'S46'!$C:$BQ,39,0)</f>
        <v>#N/A</v>
      </c>
      <c r="V118" s="107" t="e">
        <f>VLOOKUP($A118,'S46'!$C:$BQ,40,0)</f>
        <v>#N/A</v>
      </c>
      <c r="W118" s="107" t="e">
        <f>VLOOKUP($A118,'S46'!$C:$BQ,22,0)</f>
        <v>#N/A</v>
      </c>
      <c r="X118" s="115" t="e">
        <f>VLOOKUP($A118,'S46'!$C:$BQ,29,0)</f>
        <v>#N/A</v>
      </c>
      <c r="Y118" s="115" t="e">
        <f>VLOOKUP($A118,'S46'!$C:$BQ,30,0)</f>
        <v>#N/A</v>
      </c>
      <c r="Z118" s="115" t="e">
        <f>VLOOKUP($A118,'S46'!$C:$BQ,52,0)</f>
        <v>#N/A</v>
      </c>
      <c r="AA118" s="115" t="e">
        <f>VLOOKUP($A118,'S46'!$C:$BQ,59,0)</f>
        <v>#N/A</v>
      </c>
      <c r="AB118" s="115" t="e">
        <f>VLOOKUP($A118,'S46'!$C:$BQ,60,0)</f>
        <v>#N/A</v>
      </c>
      <c r="AC118" s="107" t="e">
        <f>VLOOKUP($A118,'S47'!$C:$BQ,32,0)</f>
        <v>#N/A</v>
      </c>
      <c r="AD118" s="107" t="e">
        <f>VLOOKUP($A118,'S47'!$C:$BQ,39,0)</f>
        <v>#N/A</v>
      </c>
      <c r="AE118" s="107" t="e">
        <f>VLOOKUP($A118,'S47'!$C:$BQ,40,0)</f>
        <v>#N/A</v>
      </c>
      <c r="AF118" s="107" t="e">
        <f>VLOOKUP($A118,'S47'!$C:$BQ,22,0)</f>
        <v>#N/A</v>
      </c>
      <c r="AG118" s="115" t="e">
        <f>VLOOKUP($A118,'S47'!$C:$BQ,29,0)</f>
        <v>#N/A</v>
      </c>
      <c r="AH118" s="115" t="e">
        <f>VLOOKUP($A118,'S47'!$C:$BQ,30,0)</f>
        <v>#N/A</v>
      </c>
      <c r="AI118" s="115" t="e">
        <f>VLOOKUP($A118,'S47'!$C:$BQ,52,0)</f>
        <v>#N/A</v>
      </c>
      <c r="AJ118" s="115" t="e">
        <f>VLOOKUP($A118,'S47'!$C:$BQ,59,0)</f>
        <v>#N/A</v>
      </c>
      <c r="AK118" s="115" t="e">
        <f>VLOOKUP($A118,'S47'!$C:$BQ,60,0)</f>
        <v>#N/A</v>
      </c>
      <c r="AL118" s="107" t="e">
        <f>VLOOKUP($A118,'S48'!$C:$BQ,32,0)</f>
        <v>#N/A</v>
      </c>
      <c r="AM118" s="107" t="e">
        <f>VLOOKUP($A118,'S48'!$C:$BQ,39,0)</f>
        <v>#N/A</v>
      </c>
      <c r="AN118" s="107" t="e">
        <f>VLOOKUP($A118,'S48'!$C:$BQ,40,0)</f>
        <v>#N/A</v>
      </c>
      <c r="AO118" s="107" t="e">
        <f>VLOOKUP($A118,'S48'!$C:$BQ,22,0)</f>
        <v>#N/A</v>
      </c>
      <c r="AP118" s="115" t="e">
        <f>VLOOKUP($A118,'S48'!$C:$BQ,29,0)</f>
        <v>#N/A</v>
      </c>
      <c r="AQ118" s="115" t="e">
        <f>VLOOKUP($A118,'S48'!$C:$BQ,30,0)</f>
        <v>#N/A</v>
      </c>
      <c r="AR118" s="115" t="e">
        <f>VLOOKUP($A118,'S48'!$C:$BQ,52,0)</f>
        <v>#N/A</v>
      </c>
      <c r="AS118" s="115" t="e">
        <f>VLOOKUP($A118,'S48'!$C:$BQ,59,0)</f>
        <v>#N/A</v>
      </c>
      <c r="AT118" s="115" t="e">
        <f>VLOOKUP($A118,'S48'!$C:$BQ,60,0)</f>
        <v>#N/A</v>
      </c>
      <c r="AU118" s="107" t="e">
        <f>VLOOKUP($A118,'S49'!$C:$BQ,32,0)</f>
        <v>#N/A</v>
      </c>
      <c r="AV118" s="107" t="e">
        <f>VLOOKUP($A118,'S49'!$C:$BQ,39,0)</f>
        <v>#N/A</v>
      </c>
      <c r="AW118" s="107" t="e">
        <f>VLOOKUP($A118,'S49'!$C:$BQ,40,0)</f>
        <v>#N/A</v>
      </c>
      <c r="AX118" s="107" t="e">
        <f>VLOOKUP($A118,'S49'!$C:$BQ,22,0)</f>
        <v>#N/A</v>
      </c>
      <c r="AY118" s="115" t="e">
        <f>VLOOKUP($A118,'S49'!$C:$BQ,29,0)</f>
        <v>#N/A</v>
      </c>
      <c r="AZ118" s="115" t="e">
        <f>VLOOKUP($A118,'S49'!$C:$BQ,30,0)</f>
        <v>#N/A</v>
      </c>
      <c r="BA118" s="115" t="e">
        <f>VLOOKUP($A118,'S49'!$C:$BQ,52,0)</f>
        <v>#N/A</v>
      </c>
      <c r="BB118" s="115" t="e">
        <f>VLOOKUP($A118,'S49'!$C:$BQ,59,0)</f>
        <v>#N/A</v>
      </c>
      <c r="BC118" s="115" t="e">
        <f>VLOOKUP($A118,'S49'!$C:$BQ,60,0)</f>
        <v>#N/A</v>
      </c>
      <c r="BD118" s="107" t="e">
        <f>VLOOKUP($A118,'S50'!$C:$BQ,32,0)</f>
        <v>#N/A</v>
      </c>
      <c r="BE118" s="107" t="e">
        <f>VLOOKUP($A118,'S50'!$C:$BQ,39,0)</f>
        <v>#N/A</v>
      </c>
      <c r="BF118" s="107" t="e">
        <f>VLOOKUP($A118,'S50'!$C:$BQ,40,0)</f>
        <v>#N/A</v>
      </c>
      <c r="BG118" s="107" t="e">
        <f>VLOOKUP($A118,'S50'!$C:$BQ,22,0)</f>
        <v>#N/A</v>
      </c>
      <c r="BH118" s="115" t="e">
        <f>VLOOKUP($A118,'S50'!$C:$BQ,29,0)</f>
        <v>#N/A</v>
      </c>
      <c r="BI118" s="115" t="e">
        <f>VLOOKUP($A118,'S50'!$C:$BQ,30,0)</f>
        <v>#N/A</v>
      </c>
      <c r="BJ118" s="115" t="e">
        <f>VLOOKUP($A118,'S50'!$C:$BQ,52,0)</f>
        <v>#N/A</v>
      </c>
      <c r="BK118" s="115" t="e">
        <f>VLOOKUP($A118,'S50'!$C:$BQ,59,0)</f>
        <v>#N/A</v>
      </c>
      <c r="BL118" s="115" t="e">
        <f>VLOOKUP($A118,'S50'!$C:$BQ,60,0)</f>
        <v>#N/A</v>
      </c>
    </row>
    <row r="119" spans="1:64" x14ac:dyDescent="0.2">
      <c r="A119" s="106" t="s">
        <v>182</v>
      </c>
      <c r="B119" s="107">
        <f>VLOOKUP($A119,'S0 remplacer avec S44'!$C:$BQ,32,0)</f>
        <v>171.75</v>
      </c>
      <c r="C119" s="107">
        <f>VLOOKUP($A119,'S0 remplacer avec S44'!$C:$BQ,39,0)</f>
        <v>34</v>
      </c>
      <c r="D119" s="107">
        <f>VLOOKUP($A119,'S0 remplacer avec S44'!$C:$BQ,40,0)</f>
        <v>75</v>
      </c>
      <c r="E119" s="107">
        <f>VLOOKUP($A119,'S0 remplacer avec S44'!$C:$BQ,22,0)</f>
        <v>1684.8502100000001</v>
      </c>
      <c r="F119" s="115">
        <f>VLOOKUP($A119,'S0 remplacer avec S44'!$C:$BQ,29,0)</f>
        <v>183</v>
      </c>
      <c r="G119" s="115">
        <f>VLOOKUP($A119,'S0 remplacer avec S44'!$C:$BQ,30,0)</f>
        <v>557</v>
      </c>
      <c r="H119" s="115">
        <f>VLOOKUP($A119,'S0 remplacer avec S44'!$C:$BQ,52,0)</f>
        <v>123</v>
      </c>
      <c r="I119" s="115">
        <f>VLOOKUP($A119,'S0 remplacer avec S44'!$C:$BQ,59,0)</f>
        <v>0</v>
      </c>
      <c r="J119" s="115">
        <f>VLOOKUP($A119,'S0 remplacer avec S44'!$C:$BQ,60,0)</f>
        <v>3</v>
      </c>
      <c r="K119" s="107" t="e">
        <f>VLOOKUP($A119,'S45'!$C:$BQ,32,0)</f>
        <v>#N/A</v>
      </c>
      <c r="L119" s="107" t="e">
        <f>VLOOKUP($A119,'S45'!$C:$BQ,39,0)</f>
        <v>#N/A</v>
      </c>
      <c r="M119" s="107" t="e">
        <f>VLOOKUP($A119,'S45'!$C:$BQ,40,0)</f>
        <v>#N/A</v>
      </c>
      <c r="N119" s="107" t="e">
        <f>VLOOKUP($A119,'S45'!$C:$BQ,22,0)</f>
        <v>#N/A</v>
      </c>
      <c r="O119" s="115" t="e">
        <f>VLOOKUP($A119,'S45'!$C:$BQ,29,0)</f>
        <v>#N/A</v>
      </c>
      <c r="P119" s="115" t="e">
        <f>VLOOKUP($A119,'S45'!$C:$BQ,30,0)</f>
        <v>#N/A</v>
      </c>
      <c r="Q119" s="115" t="e">
        <f>VLOOKUP($A119,'S45'!$C:$BQ,52,0)</f>
        <v>#N/A</v>
      </c>
      <c r="R119" s="115" t="e">
        <f>VLOOKUP($A119,'S45'!$C:$BQ,59,0)</f>
        <v>#N/A</v>
      </c>
      <c r="S119" s="115" t="e">
        <f>VLOOKUP($A119,'S45'!$C:$BQ,60,0)</f>
        <v>#N/A</v>
      </c>
      <c r="T119" s="107" t="e">
        <f>VLOOKUP($A119,'S46'!$C:$BQ,32,0)</f>
        <v>#N/A</v>
      </c>
      <c r="U119" s="107" t="e">
        <f>VLOOKUP($A119,'S46'!$C:$BQ,39,0)</f>
        <v>#N/A</v>
      </c>
      <c r="V119" s="107" t="e">
        <f>VLOOKUP($A119,'S46'!$C:$BQ,40,0)</f>
        <v>#N/A</v>
      </c>
      <c r="W119" s="107" t="e">
        <f>VLOOKUP($A119,'S46'!$C:$BQ,22,0)</f>
        <v>#N/A</v>
      </c>
      <c r="X119" s="115" t="e">
        <f>VLOOKUP($A119,'S46'!$C:$BQ,29,0)</f>
        <v>#N/A</v>
      </c>
      <c r="Y119" s="115" t="e">
        <f>VLOOKUP($A119,'S46'!$C:$BQ,30,0)</f>
        <v>#N/A</v>
      </c>
      <c r="Z119" s="115" t="e">
        <f>VLOOKUP($A119,'S46'!$C:$BQ,52,0)</f>
        <v>#N/A</v>
      </c>
      <c r="AA119" s="115" t="e">
        <f>VLOOKUP($A119,'S46'!$C:$BQ,59,0)</f>
        <v>#N/A</v>
      </c>
      <c r="AB119" s="115" t="e">
        <f>VLOOKUP($A119,'S46'!$C:$BQ,60,0)</f>
        <v>#N/A</v>
      </c>
      <c r="AC119" s="107" t="e">
        <f>VLOOKUP($A119,'S47'!$C:$BQ,32,0)</f>
        <v>#N/A</v>
      </c>
      <c r="AD119" s="107" t="e">
        <f>VLOOKUP($A119,'S47'!$C:$BQ,39,0)</f>
        <v>#N/A</v>
      </c>
      <c r="AE119" s="107" t="e">
        <f>VLOOKUP($A119,'S47'!$C:$BQ,40,0)</f>
        <v>#N/A</v>
      </c>
      <c r="AF119" s="107" t="e">
        <f>VLOOKUP($A119,'S47'!$C:$BQ,22,0)</f>
        <v>#N/A</v>
      </c>
      <c r="AG119" s="115" t="e">
        <f>VLOOKUP($A119,'S47'!$C:$BQ,29,0)</f>
        <v>#N/A</v>
      </c>
      <c r="AH119" s="115" t="e">
        <f>VLOOKUP($A119,'S47'!$C:$BQ,30,0)</f>
        <v>#N/A</v>
      </c>
      <c r="AI119" s="115" t="e">
        <f>VLOOKUP($A119,'S47'!$C:$BQ,52,0)</f>
        <v>#N/A</v>
      </c>
      <c r="AJ119" s="115" t="e">
        <f>VLOOKUP($A119,'S47'!$C:$BQ,59,0)</f>
        <v>#N/A</v>
      </c>
      <c r="AK119" s="115" t="e">
        <f>VLOOKUP($A119,'S47'!$C:$BQ,60,0)</f>
        <v>#N/A</v>
      </c>
      <c r="AL119" s="107" t="e">
        <f>VLOOKUP($A119,'S48'!$C:$BQ,32,0)</f>
        <v>#N/A</v>
      </c>
      <c r="AM119" s="107" t="e">
        <f>VLOOKUP($A119,'S48'!$C:$BQ,39,0)</f>
        <v>#N/A</v>
      </c>
      <c r="AN119" s="107" t="e">
        <f>VLOOKUP($A119,'S48'!$C:$BQ,40,0)</f>
        <v>#N/A</v>
      </c>
      <c r="AO119" s="107" t="e">
        <f>VLOOKUP($A119,'S48'!$C:$BQ,22,0)</f>
        <v>#N/A</v>
      </c>
      <c r="AP119" s="115" t="e">
        <f>VLOOKUP($A119,'S48'!$C:$BQ,29,0)</f>
        <v>#N/A</v>
      </c>
      <c r="AQ119" s="115" t="e">
        <f>VLOOKUP($A119,'S48'!$C:$BQ,30,0)</f>
        <v>#N/A</v>
      </c>
      <c r="AR119" s="115" t="e">
        <f>VLOOKUP($A119,'S48'!$C:$BQ,52,0)</f>
        <v>#N/A</v>
      </c>
      <c r="AS119" s="115" t="e">
        <f>VLOOKUP($A119,'S48'!$C:$BQ,59,0)</f>
        <v>#N/A</v>
      </c>
      <c r="AT119" s="115" t="e">
        <f>VLOOKUP($A119,'S48'!$C:$BQ,60,0)</f>
        <v>#N/A</v>
      </c>
      <c r="AU119" s="107" t="e">
        <f>VLOOKUP($A119,'S49'!$C:$BQ,32,0)</f>
        <v>#N/A</v>
      </c>
      <c r="AV119" s="107" t="e">
        <f>VLOOKUP($A119,'S49'!$C:$BQ,39,0)</f>
        <v>#N/A</v>
      </c>
      <c r="AW119" s="107" t="e">
        <f>VLOOKUP($A119,'S49'!$C:$BQ,40,0)</f>
        <v>#N/A</v>
      </c>
      <c r="AX119" s="107" t="e">
        <f>VLOOKUP($A119,'S49'!$C:$BQ,22,0)</f>
        <v>#N/A</v>
      </c>
      <c r="AY119" s="115" t="e">
        <f>VLOOKUP($A119,'S49'!$C:$BQ,29,0)</f>
        <v>#N/A</v>
      </c>
      <c r="AZ119" s="115" t="e">
        <f>VLOOKUP($A119,'S49'!$C:$BQ,30,0)</f>
        <v>#N/A</v>
      </c>
      <c r="BA119" s="115" t="e">
        <f>VLOOKUP($A119,'S49'!$C:$BQ,52,0)</f>
        <v>#N/A</v>
      </c>
      <c r="BB119" s="115" t="e">
        <f>VLOOKUP($A119,'S49'!$C:$BQ,59,0)</f>
        <v>#N/A</v>
      </c>
      <c r="BC119" s="115" t="e">
        <f>VLOOKUP($A119,'S49'!$C:$BQ,60,0)</f>
        <v>#N/A</v>
      </c>
      <c r="BD119" s="107" t="e">
        <f>VLOOKUP($A119,'S50'!$C:$BQ,32,0)</f>
        <v>#N/A</v>
      </c>
      <c r="BE119" s="107" t="e">
        <f>VLOOKUP($A119,'S50'!$C:$BQ,39,0)</f>
        <v>#N/A</v>
      </c>
      <c r="BF119" s="107" t="e">
        <f>VLOOKUP($A119,'S50'!$C:$BQ,40,0)</f>
        <v>#N/A</v>
      </c>
      <c r="BG119" s="107" t="e">
        <f>VLOOKUP($A119,'S50'!$C:$BQ,22,0)</f>
        <v>#N/A</v>
      </c>
      <c r="BH119" s="115" t="e">
        <f>VLOOKUP($A119,'S50'!$C:$BQ,29,0)</f>
        <v>#N/A</v>
      </c>
      <c r="BI119" s="115" t="e">
        <f>VLOOKUP($A119,'S50'!$C:$BQ,30,0)</f>
        <v>#N/A</v>
      </c>
      <c r="BJ119" s="115" t="e">
        <f>VLOOKUP($A119,'S50'!$C:$BQ,52,0)</f>
        <v>#N/A</v>
      </c>
      <c r="BK119" s="115" t="e">
        <f>VLOOKUP($A119,'S50'!$C:$BQ,59,0)</f>
        <v>#N/A</v>
      </c>
      <c r="BL119" s="115" t="e">
        <f>VLOOKUP($A119,'S50'!$C:$BQ,60,0)</f>
        <v>#N/A</v>
      </c>
    </row>
    <row r="120" spans="1:64" x14ac:dyDescent="0.2">
      <c r="A120" s="106" t="s">
        <v>183</v>
      </c>
      <c r="B120" s="107">
        <f>VLOOKUP($A120,'S0 remplacer avec S44'!$C:$BQ,32,0)</f>
        <v>144.25</v>
      </c>
      <c r="C120" s="107">
        <f>VLOOKUP($A120,'S0 remplacer avec S44'!$C:$BQ,39,0)</f>
        <v>12</v>
      </c>
      <c r="D120" s="107">
        <f>VLOOKUP($A120,'S0 remplacer avec S44'!$C:$BQ,40,0)</f>
        <v>43</v>
      </c>
      <c r="E120" s="107">
        <f>VLOOKUP($A120,'S0 remplacer avec S44'!$C:$BQ,22,0)</f>
        <v>1037.87886</v>
      </c>
      <c r="F120" s="115">
        <f>VLOOKUP($A120,'S0 remplacer avec S44'!$C:$BQ,29,0)</f>
        <v>382</v>
      </c>
      <c r="G120" s="115">
        <f>VLOOKUP($A120,'S0 remplacer avec S44'!$C:$BQ,30,0)</f>
        <v>665</v>
      </c>
      <c r="H120" s="115">
        <f>VLOOKUP($A120,'S0 remplacer avec S44'!$C:$BQ,52,0)</f>
        <v>78.2</v>
      </c>
      <c r="I120" s="115">
        <f>VLOOKUP($A120,'S0 remplacer avec S44'!$C:$BQ,59,0)</f>
        <v>2</v>
      </c>
      <c r="J120" s="115">
        <f>VLOOKUP($A120,'S0 remplacer avec S44'!$C:$BQ,60,0)</f>
        <v>17</v>
      </c>
      <c r="K120" s="107" t="e">
        <f>VLOOKUP($A120,'S45'!$C:$BQ,32,0)</f>
        <v>#N/A</v>
      </c>
      <c r="L120" s="107" t="e">
        <f>VLOOKUP($A120,'S45'!$C:$BQ,39,0)</f>
        <v>#N/A</v>
      </c>
      <c r="M120" s="107" t="e">
        <f>VLOOKUP($A120,'S45'!$C:$BQ,40,0)</f>
        <v>#N/A</v>
      </c>
      <c r="N120" s="107" t="e">
        <f>VLOOKUP($A120,'S45'!$C:$BQ,22,0)</f>
        <v>#N/A</v>
      </c>
      <c r="O120" s="115" t="e">
        <f>VLOOKUP($A120,'S45'!$C:$BQ,29,0)</f>
        <v>#N/A</v>
      </c>
      <c r="P120" s="115" t="e">
        <f>VLOOKUP($A120,'S45'!$C:$BQ,30,0)</f>
        <v>#N/A</v>
      </c>
      <c r="Q120" s="115" t="e">
        <f>VLOOKUP($A120,'S45'!$C:$BQ,52,0)</f>
        <v>#N/A</v>
      </c>
      <c r="R120" s="115" t="e">
        <f>VLOOKUP($A120,'S45'!$C:$BQ,59,0)</f>
        <v>#N/A</v>
      </c>
      <c r="S120" s="115" t="e">
        <f>VLOOKUP($A120,'S45'!$C:$BQ,60,0)</f>
        <v>#N/A</v>
      </c>
      <c r="T120" s="107" t="e">
        <f>VLOOKUP($A120,'S46'!$C:$BQ,32,0)</f>
        <v>#N/A</v>
      </c>
      <c r="U120" s="107" t="e">
        <f>VLOOKUP($A120,'S46'!$C:$BQ,39,0)</f>
        <v>#N/A</v>
      </c>
      <c r="V120" s="107" t="e">
        <f>VLOOKUP($A120,'S46'!$C:$BQ,40,0)</f>
        <v>#N/A</v>
      </c>
      <c r="W120" s="107" t="e">
        <f>VLOOKUP($A120,'S46'!$C:$BQ,22,0)</f>
        <v>#N/A</v>
      </c>
      <c r="X120" s="115" t="e">
        <f>VLOOKUP($A120,'S46'!$C:$BQ,29,0)</f>
        <v>#N/A</v>
      </c>
      <c r="Y120" s="115" t="e">
        <f>VLOOKUP($A120,'S46'!$C:$BQ,30,0)</f>
        <v>#N/A</v>
      </c>
      <c r="Z120" s="115" t="e">
        <f>VLOOKUP($A120,'S46'!$C:$BQ,52,0)</f>
        <v>#N/A</v>
      </c>
      <c r="AA120" s="115" t="e">
        <f>VLOOKUP($A120,'S46'!$C:$BQ,59,0)</f>
        <v>#N/A</v>
      </c>
      <c r="AB120" s="115" t="e">
        <f>VLOOKUP($A120,'S46'!$C:$BQ,60,0)</f>
        <v>#N/A</v>
      </c>
      <c r="AC120" s="107" t="e">
        <f>VLOOKUP($A120,'S47'!$C:$BQ,32,0)</f>
        <v>#N/A</v>
      </c>
      <c r="AD120" s="107" t="e">
        <f>VLOOKUP($A120,'S47'!$C:$BQ,39,0)</f>
        <v>#N/A</v>
      </c>
      <c r="AE120" s="107" t="e">
        <f>VLOOKUP($A120,'S47'!$C:$BQ,40,0)</f>
        <v>#N/A</v>
      </c>
      <c r="AF120" s="107" t="e">
        <f>VLOOKUP($A120,'S47'!$C:$BQ,22,0)</f>
        <v>#N/A</v>
      </c>
      <c r="AG120" s="115" t="e">
        <f>VLOOKUP($A120,'S47'!$C:$BQ,29,0)</f>
        <v>#N/A</v>
      </c>
      <c r="AH120" s="115" t="e">
        <f>VLOOKUP($A120,'S47'!$C:$BQ,30,0)</f>
        <v>#N/A</v>
      </c>
      <c r="AI120" s="115" t="e">
        <f>VLOOKUP($A120,'S47'!$C:$BQ,52,0)</f>
        <v>#N/A</v>
      </c>
      <c r="AJ120" s="115" t="e">
        <f>VLOOKUP($A120,'S47'!$C:$BQ,59,0)</f>
        <v>#N/A</v>
      </c>
      <c r="AK120" s="115" t="e">
        <f>VLOOKUP($A120,'S47'!$C:$BQ,60,0)</f>
        <v>#N/A</v>
      </c>
      <c r="AL120" s="107" t="e">
        <f>VLOOKUP($A120,'S48'!$C:$BQ,32,0)</f>
        <v>#N/A</v>
      </c>
      <c r="AM120" s="107" t="e">
        <f>VLOOKUP($A120,'S48'!$C:$BQ,39,0)</f>
        <v>#N/A</v>
      </c>
      <c r="AN120" s="107" t="e">
        <f>VLOOKUP($A120,'S48'!$C:$BQ,40,0)</f>
        <v>#N/A</v>
      </c>
      <c r="AO120" s="107" t="e">
        <f>VLOOKUP($A120,'S48'!$C:$BQ,22,0)</f>
        <v>#N/A</v>
      </c>
      <c r="AP120" s="115" t="e">
        <f>VLOOKUP($A120,'S48'!$C:$BQ,29,0)</f>
        <v>#N/A</v>
      </c>
      <c r="AQ120" s="115" t="e">
        <f>VLOOKUP($A120,'S48'!$C:$BQ,30,0)</f>
        <v>#N/A</v>
      </c>
      <c r="AR120" s="115" t="e">
        <f>VLOOKUP($A120,'S48'!$C:$BQ,52,0)</f>
        <v>#N/A</v>
      </c>
      <c r="AS120" s="115" t="e">
        <f>VLOOKUP($A120,'S48'!$C:$BQ,59,0)</f>
        <v>#N/A</v>
      </c>
      <c r="AT120" s="115" t="e">
        <f>VLOOKUP($A120,'S48'!$C:$BQ,60,0)</f>
        <v>#N/A</v>
      </c>
      <c r="AU120" s="107" t="e">
        <f>VLOOKUP($A120,'S49'!$C:$BQ,32,0)</f>
        <v>#N/A</v>
      </c>
      <c r="AV120" s="107" t="e">
        <f>VLOOKUP($A120,'S49'!$C:$BQ,39,0)</f>
        <v>#N/A</v>
      </c>
      <c r="AW120" s="107" t="e">
        <f>VLOOKUP($A120,'S49'!$C:$BQ,40,0)</f>
        <v>#N/A</v>
      </c>
      <c r="AX120" s="107" t="e">
        <f>VLOOKUP($A120,'S49'!$C:$BQ,22,0)</f>
        <v>#N/A</v>
      </c>
      <c r="AY120" s="115" t="e">
        <f>VLOOKUP($A120,'S49'!$C:$BQ,29,0)</f>
        <v>#N/A</v>
      </c>
      <c r="AZ120" s="115" t="e">
        <f>VLOOKUP($A120,'S49'!$C:$BQ,30,0)</f>
        <v>#N/A</v>
      </c>
      <c r="BA120" s="115" t="e">
        <f>VLOOKUP($A120,'S49'!$C:$BQ,52,0)</f>
        <v>#N/A</v>
      </c>
      <c r="BB120" s="115" t="e">
        <f>VLOOKUP($A120,'S49'!$C:$BQ,59,0)</f>
        <v>#N/A</v>
      </c>
      <c r="BC120" s="115" t="e">
        <f>VLOOKUP($A120,'S49'!$C:$BQ,60,0)</f>
        <v>#N/A</v>
      </c>
      <c r="BD120" s="107" t="e">
        <f>VLOOKUP($A120,'S50'!$C:$BQ,32,0)</f>
        <v>#N/A</v>
      </c>
      <c r="BE120" s="107" t="e">
        <f>VLOOKUP($A120,'S50'!$C:$BQ,39,0)</f>
        <v>#N/A</v>
      </c>
      <c r="BF120" s="107" t="e">
        <f>VLOOKUP($A120,'S50'!$C:$BQ,40,0)</f>
        <v>#N/A</v>
      </c>
      <c r="BG120" s="107" t="e">
        <f>VLOOKUP($A120,'S50'!$C:$BQ,22,0)</f>
        <v>#N/A</v>
      </c>
      <c r="BH120" s="115" t="e">
        <f>VLOOKUP($A120,'S50'!$C:$BQ,29,0)</f>
        <v>#N/A</v>
      </c>
      <c r="BI120" s="115" t="e">
        <f>VLOOKUP($A120,'S50'!$C:$BQ,30,0)</f>
        <v>#N/A</v>
      </c>
      <c r="BJ120" s="115" t="e">
        <f>VLOOKUP($A120,'S50'!$C:$BQ,52,0)</f>
        <v>#N/A</v>
      </c>
      <c r="BK120" s="115" t="e">
        <f>VLOOKUP($A120,'S50'!$C:$BQ,59,0)</f>
        <v>#N/A</v>
      </c>
      <c r="BL120" s="115" t="e">
        <f>VLOOKUP($A120,'S50'!$C:$BQ,60,0)</f>
        <v>#N/A</v>
      </c>
    </row>
    <row r="121" spans="1:64" x14ac:dyDescent="0.2">
      <c r="A121" s="106" t="s">
        <v>184</v>
      </c>
      <c r="B121" s="107">
        <f>VLOOKUP($A121,'S0 remplacer avec S44'!$C:$BQ,32,0)</f>
        <v>224.4</v>
      </c>
      <c r="C121" s="107">
        <f>VLOOKUP($A121,'S0 remplacer avec S44'!$C:$BQ,39,0)</f>
        <v>185</v>
      </c>
      <c r="D121" s="107">
        <f>VLOOKUP($A121,'S0 remplacer avec S44'!$C:$BQ,40,0)</f>
        <v>267</v>
      </c>
      <c r="E121" s="107">
        <f>VLOOKUP($A121,'S0 remplacer avec S44'!$C:$BQ,22,0)</f>
        <v>3625.1861549999999</v>
      </c>
      <c r="F121" s="115">
        <f>VLOOKUP($A121,'S0 remplacer avec S44'!$C:$BQ,29,0)</f>
        <v>95</v>
      </c>
      <c r="G121" s="115">
        <f>VLOOKUP($A121,'S0 remplacer avec S44'!$C:$BQ,30,0)</f>
        <v>839</v>
      </c>
      <c r="H121" s="115">
        <f>VLOOKUP($A121,'S0 remplacer avec S44'!$C:$BQ,52,0)</f>
        <v>206.6</v>
      </c>
      <c r="I121" s="115">
        <f>VLOOKUP($A121,'S0 remplacer avec S44'!$C:$BQ,59,0)</f>
        <v>2</v>
      </c>
      <c r="J121" s="115">
        <f>VLOOKUP($A121,'S0 remplacer avec S44'!$C:$BQ,60,0)</f>
        <v>43</v>
      </c>
      <c r="K121" s="107" t="e">
        <f>VLOOKUP($A121,'S45'!$C:$BQ,32,0)</f>
        <v>#N/A</v>
      </c>
      <c r="L121" s="107" t="e">
        <f>VLOOKUP($A121,'S45'!$C:$BQ,39,0)</f>
        <v>#N/A</v>
      </c>
      <c r="M121" s="107" t="e">
        <f>VLOOKUP($A121,'S45'!$C:$BQ,40,0)</f>
        <v>#N/A</v>
      </c>
      <c r="N121" s="107" t="e">
        <f>VLOOKUP($A121,'S45'!$C:$BQ,22,0)</f>
        <v>#N/A</v>
      </c>
      <c r="O121" s="115" t="e">
        <f>VLOOKUP($A121,'S45'!$C:$BQ,29,0)</f>
        <v>#N/A</v>
      </c>
      <c r="P121" s="115" t="e">
        <f>VLOOKUP($A121,'S45'!$C:$BQ,30,0)</f>
        <v>#N/A</v>
      </c>
      <c r="Q121" s="115" t="e">
        <f>VLOOKUP($A121,'S45'!$C:$BQ,52,0)</f>
        <v>#N/A</v>
      </c>
      <c r="R121" s="115" t="e">
        <f>VLOOKUP($A121,'S45'!$C:$BQ,59,0)</f>
        <v>#N/A</v>
      </c>
      <c r="S121" s="115" t="e">
        <f>VLOOKUP($A121,'S45'!$C:$BQ,60,0)</f>
        <v>#N/A</v>
      </c>
      <c r="T121" s="107" t="e">
        <f>VLOOKUP($A121,'S46'!$C:$BQ,32,0)</f>
        <v>#N/A</v>
      </c>
      <c r="U121" s="107" t="e">
        <f>VLOOKUP($A121,'S46'!$C:$BQ,39,0)</f>
        <v>#N/A</v>
      </c>
      <c r="V121" s="107" t="e">
        <f>VLOOKUP($A121,'S46'!$C:$BQ,40,0)</f>
        <v>#N/A</v>
      </c>
      <c r="W121" s="107" t="e">
        <f>VLOOKUP($A121,'S46'!$C:$BQ,22,0)</f>
        <v>#N/A</v>
      </c>
      <c r="X121" s="115" t="e">
        <f>VLOOKUP($A121,'S46'!$C:$BQ,29,0)</f>
        <v>#N/A</v>
      </c>
      <c r="Y121" s="115" t="e">
        <f>VLOOKUP($A121,'S46'!$C:$BQ,30,0)</f>
        <v>#N/A</v>
      </c>
      <c r="Z121" s="115" t="e">
        <f>VLOOKUP($A121,'S46'!$C:$BQ,52,0)</f>
        <v>#N/A</v>
      </c>
      <c r="AA121" s="115" t="e">
        <f>VLOOKUP($A121,'S46'!$C:$BQ,59,0)</f>
        <v>#N/A</v>
      </c>
      <c r="AB121" s="115" t="e">
        <f>VLOOKUP($A121,'S46'!$C:$BQ,60,0)</f>
        <v>#N/A</v>
      </c>
      <c r="AC121" s="107" t="e">
        <f>VLOOKUP($A121,'S47'!$C:$BQ,32,0)</f>
        <v>#N/A</v>
      </c>
      <c r="AD121" s="107" t="e">
        <f>VLOOKUP($A121,'S47'!$C:$BQ,39,0)</f>
        <v>#N/A</v>
      </c>
      <c r="AE121" s="107" t="e">
        <f>VLOOKUP($A121,'S47'!$C:$BQ,40,0)</f>
        <v>#N/A</v>
      </c>
      <c r="AF121" s="107" t="e">
        <f>VLOOKUP($A121,'S47'!$C:$BQ,22,0)</f>
        <v>#N/A</v>
      </c>
      <c r="AG121" s="115" t="e">
        <f>VLOOKUP($A121,'S47'!$C:$BQ,29,0)</f>
        <v>#N/A</v>
      </c>
      <c r="AH121" s="115" t="e">
        <f>VLOOKUP($A121,'S47'!$C:$BQ,30,0)</f>
        <v>#N/A</v>
      </c>
      <c r="AI121" s="115" t="e">
        <f>VLOOKUP($A121,'S47'!$C:$BQ,52,0)</f>
        <v>#N/A</v>
      </c>
      <c r="AJ121" s="115" t="e">
        <f>VLOOKUP($A121,'S47'!$C:$BQ,59,0)</f>
        <v>#N/A</v>
      </c>
      <c r="AK121" s="115" t="e">
        <f>VLOOKUP($A121,'S47'!$C:$BQ,60,0)</f>
        <v>#N/A</v>
      </c>
      <c r="AL121" s="107" t="e">
        <f>VLOOKUP($A121,'S48'!$C:$BQ,32,0)</f>
        <v>#N/A</v>
      </c>
      <c r="AM121" s="107" t="e">
        <f>VLOOKUP($A121,'S48'!$C:$BQ,39,0)</f>
        <v>#N/A</v>
      </c>
      <c r="AN121" s="107" t="e">
        <f>VLOOKUP($A121,'S48'!$C:$BQ,40,0)</f>
        <v>#N/A</v>
      </c>
      <c r="AO121" s="107" t="e">
        <f>VLOOKUP($A121,'S48'!$C:$BQ,22,0)</f>
        <v>#N/A</v>
      </c>
      <c r="AP121" s="115" t="e">
        <f>VLOOKUP($A121,'S48'!$C:$BQ,29,0)</f>
        <v>#N/A</v>
      </c>
      <c r="AQ121" s="115" t="e">
        <f>VLOOKUP($A121,'S48'!$C:$BQ,30,0)</f>
        <v>#N/A</v>
      </c>
      <c r="AR121" s="115" t="e">
        <f>VLOOKUP($A121,'S48'!$C:$BQ,52,0)</f>
        <v>#N/A</v>
      </c>
      <c r="AS121" s="115" t="e">
        <f>VLOOKUP($A121,'S48'!$C:$BQ,59,0)</f>
        <v>#N/A</v>
      </c>
      <c r="AT121" s="115" t="e">
        <f>VLOOKUP($A121,'S48'!$C:$BQ,60,0)</f>
        <v>#N/A</v>
      </c>
      <c r="AU121" s="107" t="e">
        <f>VLOOKUP($A121,'S49'!$C:$BQ,32,0)</f>
        <v>#N/A</v>
      </c>
      <c r="AV121" s="107" t="e">
        <f>VLOOKUP($A121,'S49'!$C:$BQ,39,0)</f>
        <v>#N/A</v>
      </c>
      <c r="AW121" s="107" t="e">
        <f>VLOOKUP($A121,'S49'!$C:$BQ,40,0)</f>
        <v>#N/A</v>
      </c>
      <c r="AX121" s="107" t="e">
        <f>VLOOKUP($A121,'S49'!$C:$BQ,22,0)</f>
        <v>#N/A</v>
      </c>
      <c r="AY121" s="115" t="e">
        <f>VLOOKUP($A121,'S49'!$C:$BQ,29,0)</f>
        <v>#N/A</v>
      </c>
      <c r="AZ121" s="115" t="e">
        <f>VLOOKUP($A121,'S49'!$C:$BQ,30,0)</f>
        <v>#N/A</v>
      </c>
      <c r="BA121" s="115" t="e">
        <f>VLOOKUP($A121,'S49'!$C:$BQ,52,0)</f>
        <v>#N/A</v>
      </c>
      <c r="BB121" s="115" t="e">
        <f>VLOOKUP($A121,'S49'!$C:$BQ,59,0)</f>
        <v>#N/A</v>
      </c>
      <c r="BC121" s="115" t="e">
        <f>VLOOKUP($A121,'S49'!$C:$BQ,60,0)</f>
        <v>#N/A</v>
      </c>
      <c r="BD121" s="107" t="e">
        <f>VLOOKUP($A121,'S50'!$C:$BQ,32,0)</f>
        <v>#N/A</v>
      </c>
      <c r="BE121" s="107" t="e">
        <f>VLOOKUP($A121,'S50'!$C:$BQ,39,0)</f>
        <v>#N/A</v>
      </c>
      <c r="BF121" s="107" t="e">
        <f>VLOOKUP($A121,'S50'!$C:$BQ,40,0)</f>
        <v>#N/A</v>
      </c>
      <c r="BG121" s="107" t="e">
        <f>VLOOKUP($A121,'S50'!$C:$BQ,22,0)</f>
        <v>#N/A</v>
      </c>
      <c r="BH121" s="115" t="e">
        <f>VLOOKUP($A121,'S50'!$C:$BQ,29,0)</f>
        <v>#N/A</v>
      </c>
      <c r="BI121" s="115" t="e">
        <f>VLOOKUP($A121,'S50'!$C:$BQ,30,0)</f>
        <v>#N/A</v>
      </c>
      <c r="BJ121" s="115" t="e">
        <f>VLOOKUP($A121,'S50'!$C:$BQ,52,0)</f>
        <v>#N/A</v>
      </c>
      <c r="BK121" s="115" t="e">
        <f>VLOOKUP($A121,'S50'!$C:$BQ,59,0)</f>
        <v>#N/A</v>
      </c>
      <c r="BL121" s="115" t="e">
        <f>VLOOKUP($A121,'S50'!$C:$BQ,60,0)</f>
        <v>#N/A</v>
      </c>
    </row>
    <row r="122" spans="1:64" x14ac:dyDescent="0.2">
      <c r="A122" s="106" t="s">
        <v>185</v>
      </c>
      <c r="B122" s="107">
        <f>VLOOKUP($A122,'S0 remplacer avec S44'!$C:$BQ,32,0)</f>
        <v>133.85</v>
      </c>
      <c r="C122" s="107">
        <f>VLOOKUP($A122,'S0 remplacer avec S44'!$C:$BQ,39,0)</f>
        <v>42</v>
      </c>
      <c r="D122" s="107">
        <f>VLOOKUP($A122,'S0 remplacer avec S44'!$C:$BQ,40,0)</f>
        <v>77</v>
      </c>
      <c r="E122" s="107">
        <f>VLOOKUP($A122,'S0 remplacer avec S44'!$C:$BQ,22,0)</f>
        <v>1257.339655</v>
      </c>
      <c r="F122" s="115">
        <f>VLOOKUP($A122,'S0 remplacer avec S44'!$C:$BQ,29,0)</f>
        <v>337</v>
      </c>
      <c r="G122" s="115">
        <f>VLOOKUP($A122,'S0 remplacer avec S44'!$C:$BQ,30,0)</f>
        <v>656</v>
      </c>
      <c r="H122" s="115">
        <f>VLOOKUP($A122,'S0 remplacer avec S44'!$C:$BQ,52,0)</f>
        <v>101</v>
      </c>
      <c r="I122" s="115">
        <f>VLOOKUP($A122,'S0 remplacer avec S44'!$C:$BQ,59,0)</f>
        <v>0</v>
      </c>
      <c r="J122" s="115">
        <f>VLOOKUP($A122,'S0 remplacer avec S44'!$C:$BQ,60,0)</f>
        <v>6</v>
      </c>
      <c r="K122" s="107" t="e">
        <f>VLOOKUP($A122,'S45'!$C:$BQ,32,0)</f>
        <v>#N/A</v>
      </c>
      <c r="L122" s="107" t="e">
        <f>VLOOKUP($A122,'S45'!$C:$BQ,39,0)</f>
        <v>#N/A</v>
      </c>
      <c r="M122" s="107" t="e">
        <f>VLOOKUP($A122,'S45'!$C:$BQ,40,0)</f>
        <v>#N/A</v>
      </c>
      <c r="N122" s="107" t="e">
        <f>VLOOKUP($A122,'S45'!$C:$BQ,22,0)</f>
        <v>#N/A</v>
      </c>
      <c r="O122" s="115" t="e">
        <f>VLOOKUP($A122,'S45'!$C:$BQ,29,0)</f>
        <v>#N/A</v>
      </c>
      <c r="P122" s="115" t="e">
        <f>VLOOKUP($A122,'S45'!$C:$BQ,30,0)</f>
        <v>#N/A</v>
      </c>
      <c r="Q122" s="115" t="e">
        <f>VLOOKUP($A122,'S45'!$C:$BQ,52,0)</f>
        <v>#N/A</v>
      </c>
      <c r="R122" s="115" t="e">
        <f>VLOOKUP($A122,'S45'!$C:$BQ,59,0)</f>
        <v>#N/A</v>
      </c>
      <c r="S122" s="115" t="e">
        <f>VLOOKUP($A122,'S45'!$C:$BQ,60,0)</f>
        <v>#N/A</v>
      </c>
      <c r="T122" s="107" t="e">
        <f>VLOOKUP($A122,'S46'!$C:$BQ,32,0)</f>
        <v>#N/A</v>
      </c>
      <c r="U122" s="107" t="e">
        <f>VLOOKUP($A122,'S46'!$C:$BQ,39,0)</f>
        <v>#N/A</v>
      </c>
      <c r="V122" s="107" t="e">
        <f>VLOOKUP($A122,'S46'!$C:$BQ,40,0)</f>
        <v>#N/A</v>
      </c>
      <c r="W122" s="107" t="e">
        <f>VLOOKUP($A122,'S46'!$C:$BQ,22,0)</f>
        <v>#N/A</v>
      </c>
      <c r="X122" s="115" t="e">
        <f>VLOOKUP($A122,'S46'!$C:$BQ,29,0)</f>
        <v>#N/A</v>
      </c>
      <c r="Y122" s="115" t="e">
        <f>VLOOKUP($A122,'S46'!$C:$BQ,30,0)</f>
        <v>#N/A</v>
      </c>
      <c r="Z122" s="115" t="e">
        <f>VLOOKUP($A122,'S46'!$C:$BQ,52,0)</f>
        <v>#N/A</v>
      </c>
      <c r="AA122" s="115" t="e">
        <f>VLOOKUP($A122,'S46'!$C:$BQ,59,0)</f>
        <v>#N/A</v>
      </c>
      <c r="AB122" s="115" t="e">
        <f>VLOOKUP($A122,'S46'!$C:$BQ,60,0)</f>
        <v>#N/A</v>
      </c>
      <c r="AC122" s="107" t="e">
        <f>VLOOKUP($A122,'S47'!$C:$BQ,32,0)</f>
        <v>#N/A</v>
      </c>
      <c r="AD122" s="107" t="e">
        <f>VLOOKUP($A122,'S47'!$C:$BQ,39,0)</f>
        <v>#N/A</v>
      </c>
      <c r="AE122" s="107" t="e">
        <f>VLOOKUP($A122,'S47'!$C:$BQ,40,0)</f>
        <v>#N/A</v>
      </c>
      <c r="AF122" s="107" t="e">
        <f>VLOOKUP($A122,'S47'!$C:$BQ,22,0)</f>
        <v>#N/A</v>
      </c>
      <c r="AG122" s="115" t="e">
        <f>VLOOKUP($A122,'S47'!$C:$BQ,29,0)</f>
        <v>#N/A</v>
      </c>
      <c r="AH122" s="115" t="e">
        <f>VLOOKUP($A122,'S47'!$C:$BQ,30,0)</f>
        <v>#N/A</v>
      </c>
      <c r="AI122" s="115" t="e">
        <f>VLOOKUP($A122,'S47'!$C:$BQ,52,0)</f>
        <v>#N/A</v>
      </c>
      <c r="AJ122" s="115" t="e">
        <f>VLOOKUP($A122,'S47'!$C:$BQ,59,0)</f>
        <v>#N/A</v>
      </c>
      <c r="AK122" s="115" t="e">
        <f>VLOOKUP($A122,'S47'!$C:$BQ,60,0)</f>
        <v>#N/A</v>
      </c>
      <c r="AL122" s="107" t="e">
        <f>VLOOKUP($A122,'S48'!$C:$BQ,32,0)</f>
        <v>#N/A</v>
      </c>
      <c r="AM122" s="107" t="e">
        <f>VLOOKUP($A122,'S48'!$C:$BQ,39,0)</f>
        <v>#N/A</v>
      </c>
      <c r="AN122" s="107" t="e">
        <f>VLOOKUP($A122,'S48'!$C:$BQ,40,0)</f>
        <v>#N/A</v>
      </c>
      <c r="AO122" s="107" t="e">
        <f>VLOOKUP($A122,'S48'!$C:$BQ,22,0)</f>
        <v>#N/A</v>
      </c>
      <c r="AP122" s="115" t="e">
        <f>VLOOKUP($A122,'S48'!$C:$BQ,29,0)</f>
        <v>#N/A</v>
      </c>
      <c r="AQ122" s="115" t="e">
        <f>VLOOKUP($A122,'S48'!$C:$BQ,30,0)</f>
        <v>#N/A</v>
      </c>
      <c r="AR122" s="115" t="e">
        <f>VLOOKUP($A122,'S48'!$C:$BQ,52,0)</f>
        <v>#N/A</v>
      </c>
      <c r="AS122" s="115" t="e">
        <f>VLOOKUP($A122,'S48'!$C:$BQ,59,0)</f>
        <v>#N/A</v>
      </c>
      <c r="AT122" s="115" t="e">
        <f>VLOOKUP($A122,'S48'!$C:$BQ,60,0)</f>
        <v>#N/A</v>
      </c>
      <c r="AU122" s="107" t="e">
        <f>VLOOKUP($A122,'S49'!$C:$BQ,32,0)</f>
        <v>#N/A</v>
      </c>
      <c r="AV122" s="107" t="e">
        <f>VLOOKUP($A122,'S49'!$C:$BQ,39,0)</f>
        <v>#N/A</v>
      </c>
      <c r="AW122" s="107" t="e">
        <f>VLOOKUP($A122,'S49'!$C:$BQ,40,0)</f>
        <v>#N/A</v>
      </c>
      <c r="AX122" s="107" t="e">
        <f>VLOOKUP($A122,'S49'!$C:$BQ,22,0)</f>
        <v>#N/A</v>
      </c>
      <c r="AY122" s="115" t="e">
        <f>VLOOKUP($A122,'S49'!$C:$BQ,29,0)</f>
        <v>#N/A</v>
      </c>
      <c r="AZ122" s="115" t="e">
        <f>VLOOKUP($A122,'S49'!$C:$BQ,30,0)</f>
        <v>#N/A</v>
      </c>
      <c r="BA122" s="115" t="e">
        <f>VLOOKUP($A122,'S49'!$C:$BQ,52,0)</f>
        <v>#N/A</v>
      </c>
      <c r="BB122" s="115" t="e">
        <f>VLOOKUP($A122,'S49'!$C:$BQ,59,0)</f>
        <v>#N/A</v>
      </c>
      <c r="BC122" s="115" t="e">
        <f>VLOOKUP($A122,'S49'!$C:$BQ,60,0)</f>
        <v>#N/A</v>
      </c>
      <c r="BD122" s="107" t="e">
        <f>VLOOKUP($A122,'S50'!$C:$BQ,32,0)</f>
        <v>#N/A</v>
      </c>
      <c r="BE122" s="107" t="e">
        <f>VLOOKUP($A122,'S50'!$C:$BQ,39,0)</f>
        <v>#N/A</v>
      </c>
      <c r="BF122" s="107" t="e">
        <f>VLOOKUP($A122,'S50'!$C:$BQ,40,0)</f>
        <v>#N/A</v>
      </c>
      <c r="BG122" s="107" t="e">
        <f>VLOOKUP($A122,'S50'!$C:$BQ,22,0)</f>
        <v>#N/A</v>
      </c>
      <c r="BH122" s="115" t="e">
        <f>VLOOKUP($A122,'S50'!$C:$BQ,29,0)</f>
        <v>#N/A</v>
      </c>
      <c r="BI122" s="115" t="e">
        <f>VLOOKUP($A122,'S50'!$C:$BQ,30,0)</f>
        <v>#N/A</v>
      </c>
      <c r="BJ122" s="115" t="e">
        <f>VLOOKUP($A122,'S50'!$C:$BQ,52,0)</f>
        <v>#N/A</v>
      </c>
      <c r="BK122" s="115" t="e">
        <f>VLOOKUP($A122,'S50'!$C:$BQ,59,0)</f>
        <v>#N/A</v>
      </c>
      <c r="BL122" s="115" t="e">
        <f>VLOOKUP($A122,'S50'!$C:$BQ,60,0)</f>
        <v>#N/A</v>
      </c>
    </row>
    <row r="123" spans="1:64" x14ac:dyDescent="0.2">
      <c r="A123" s="106" t="s">
        <v>186</v>
      </c>
      <c r="B123" s="107">
        <f>VLOOKUP($A123,'S0 remplacer avec S44'!$C:$BQ,32,0)</f>
        <v>251</v>
      </c>
      <c r="C123" s="107">
        <f>VLOOKUP($A123,'S0 remplacer avec S44'!$C:$BQ,39,0)</f>
        <v>148</v>
      </c>
      <c r="D123" s="107">
        <f>VLOOKUP($A123,'S0 remplacer avec S44'!$C:$BQ,40,0)</f>
        <v>228</v>
      </c>
      <c r="E123" s="107">
        <f>VLOOKUP($A123,'S0 remplacer avec S44'!$C:$BQ,22,0)</f>
        <v>2979.1891049999999</v>
      </c>
      <c r="F123" s="115">
        <f>VLOOKUP($A123,'S0 remplacer avec S44'!$C:$BQ,29,0)</f>
        <v>648</v>
      </c>
      <c r="G123" s="115">
        <f>VLOOKUP($A123,'S0 remplacer avec S44'!$C:$BQ,30,0)</f>
        <v>1373</v>
      </c>
      <c r="H123" s="115">
        <f>VLOOKUP($A123,'S0 remplacer avec S44'!$C:$BQ,52,0)</f>
        <v>213.6</v>
      </c>
      <c r="I123" s="115">
        <f>VLOOKUP($A123,'S0 remplacer avec S44'!$C:$BQ,59,0)</f>
        <v>0</v>
      </c>
      <c r="J123" s="115">
        <f>VLOOKUP($A123,'S0 remplacer avec S44'!$C:$BQ,60,0)</f>
        <v>30</v>
      </c>
      <c r="K123" s="107" t="e">
        <f>VLOOKUP($A123,'S45'!$C:$BQ,32,0)</f>
        <v>#N/A</v>
      </c>
      <c r="L123" s="107" t="e">
        <f>VLOOKUP($A123,'S45'!$C:$BQ,39,0)</f>
        <v>#N/A</v>
      </c>
      <c r="M123" s="107" t="e">
        <f>VLOOKUP($A123,'S45'!$C:$BQ,40,0)</f>
        <v>#N/A</v>
      </c>
      <c r="N123" s="107" t="e">
        <f>VLOOKUP($A123,'S45'!$C:$BQ,22,0)</f>
        <v>#N/A</v>
      </c>
      <c r="O123" s="115" t="e">
        <f>VLOOKUP($A123,'S45'!$C:$BQ,29,0)</f>
        <v>#N/A</v>
      </c>
      <c r="P123" s="115" t="e">
        <f>VLOOKUP($A123,'S45'!$C:$BQ,30,0)</f>
        <v>#N/A</v>
      </c>
      <c r="Q123" s="115" t="e">
        <f>VLOOKUP($A123,'S45'!$C:$BQ,52,0)</f>
        <v>#N/A</v>
      </c>
      <c r="R123" s="115" t="e">
        <f>VLOOKUP($A123,'S45'!$C:$BQ,59,0)</f>
        <v>#N/A</v>
      </c>
      <c r="S123" s="115" t="e">
        <f>VLOOKUP($A123,'S45'!$C:$BQ,60,0)</f>
        <v>#N/A</v>
      </c>
      <c r="T123" s="107" t="e">
        <f>VLOOKUP($A123,'S46'!$C:$BQ,32,0)</f>
        <v>#N/A</v>
      </c>
      <c r="U123" s="107" t="e">
        <f>VLOOKUP($A123,'S46'!$C:$BQ,39,0)</f>
        <v>#N/A</v>
      </c>
      <c r="V123" s="107" t="e">
        <f>VLOOKUP($A123,'S46'!$C:$BQ,40,0)</f>
        <v>#N/A</v>
      </c>
      <c r="W123" s="107" t="e">
        <f>VLOOKUP($A123,'S46'!$C:$BQ,22,0)</f>
        <v>#N/A</v>
      </c>
      <c r="X123" s="115" t="e">
        <f>VLOOKUP($A123,'S46'!$C:$BQ,29,0)</f>
        <v>#N/A</v>
      </c>
      <c r="Y123" s="115" t="e">
        <f>VLOOKUP($A123,'S46'!$C:$BQ,30,0)</f>
        <v>#N/A</v>
      </c>
      <c r="Z123" s="115" t="e">
        <f>VLOOKUP($A123,'S46'!$C:$BQ,52,0)</f>
        <v>#N/A</v>
      </c>
      <c r="AA123" s="115" t="e">
        <f>VLOOKUP($A123,'S46'!$C:$BQ,59,0)</f>
        <v>#N/A</v>
      </c>
      <c r="AB123" s="115" t="e">
        <f>VLOOKUP($A123,'S46'!$C:$BQ,60,0)</f>
        <v>#N/A</v>
      </c>
      <c r="AC123" s="107" t="e">
        <f>VLOOKUP($A123,'S47'!$C:$BQ,32,0)</f>
        <v>#N/A</v>
      </c>
      <c r="AD123" s="107" t="e">
        <f>VLOOKUP($A123,'S47'!$C:$BQ,39,0)</f>
        <v>#N/A</v>
      </c>
      <c r="AE123" s="107" t="e">
        <f>VLOOKUP($A123,'S47'!$C:$BQ,40,0)</f>
        <v>#N/A</v>
      </c>
      <c r="AF123" s="107" t="e">
        <f>VLOOKUP($A123,'S47'!$C:$BQ,22,0)</f>
        <v>#N/A</v>
      </c>
      <c r="AG123" s="115" t="e">
        <f>VLOOKUP($A123,'S47'!$C:$BQ,29,0)</f>
        <v>#N/A</v>
      </c>
      <c r="AH123" s="115" t="e">
        <f>VLOOKUP($A123,'S47'!$C:$BQ,30,0)</f>
        <v>#N/A</v>
      </c>
      <c r="AI123" s="115" t="e">
        <f>VLOOKUP($A123,'S47'!$C:$BQ,52,0)</f>
        <v>#N/A</v>
      </c>
      <c r="AJ123" s="115" t="e">
        <f>VLOOKUP($A123,'S47'!$C:$BQ,59,0)</f>
        <v>#N/A</v>
      </c>
      <c r="AK123" s="115" t="e">
        <f>VLOOKUP($A123,'S47'!$C:$BQ,60,0)</f>
        <v>#N/A</v>
      </c>
      <c r="AL123" s="107" t="e">
        <f>VLOOKUP($A123,'S48'!$C:$BQ,32,0)</f>
        <v>#N/A</v>
      </c>
      <c r="AM123" s="107" t="e">
        <f>VLOOKUP($A123,'S48'!$C:$BQ,39,0)</f>
        <v>#N/A</v>
      </c>
      <c r="AN123" s="107" t="e">
        <f>VLOOKUP($A123,'S48'!$C:$BQ,40,0)</f>
        <v>#N/A</v>
      </c>
      <c r="AO123" s="107" t="e">
        <f>VLOOKUP($A123,'S48'!$C:$BQ,22,0)</f>
        <v>#N/A</v>
      </c>
      <c r="AP123" s="115" t="e">
        <f>VLOOKUP($A123,'S48'!$C:$BQ,29,0)</f>
        <v>#N/A</v>
      </c>
      <c r="AQ123" s="115" t="e">
        <f>VLOOKUP($A123,'S48'!$C:$BQ,30,0)</f>
        <v>#N/A</v>
      </c>
      <c r="AR123" s="115" t="e">
        <f>VLOOKUP($A123,'S48'!$C:$BQ,52,0)</f>
        <v>#N/A</v>
      </c>
      <c r="AS123" s="115" t="e">
        <f>VLOOKUP($A123,'S48'!$C:$BQ,59,0)</f>
        <v>#N/A</v>
      </c>
      <c r="AT123" s="115" t="e">
        <f>VLOOKUP($A123,'S48'!$C:$BQ,60,0)</f>
        <v>#N/A</v>
      </c>
      <c r="AU123" s="107" t="e">
        <f>VLOOKUP($A123,'S49'!$C:$BQ,32,0)</f>
        <v>#N/A</v>
      </c>
      <c r="AV123" s="107" t="e">
        <f>VLOOKUP($A123,'S49'!$C:$BQ,39,0)</f>
        <v>#N/A</v>
      </c>
      <c r="AW123" s="107" t="e">
        <f>VLOOKUP($A123,'S49'!$C:$BQ,40,0)</f>
        <v>#N/A</v>
      </c>
      <c r="AX123" s="107" t="e">
        <f>VLOOKUP($A123,'S49'!$C:$BQ,22,0)</f>
        <v>#N/A</v>
      </c>
      <c r="AY123" s="115" t="e">
        <f>VLOOKUP($A123,'S49'!$C:$BQ,29,0)</f>
        <v>#N/A</v>
      </c>
      <c r="AZ123" s="115" t="e">
        <f>VLOOKUP($A123,'S49'!$C:$BQ,30,0)</f>
        <v>#N/A</v>
      </c>
      <c r="BA123" s="115" t="e">
        <f>VLOOKUP($A123,'S49'!$C:$BQ,52,0)</f>
        <v>#N/A</v>
      </c>
      <c r="BB123" s="115" t="e">
        <f>VLOOKUP($A123,'S49'!$C:$BQ,59,0)</f>
        <v>#N/A</v>
      </c>
      <c r="BC123" s="115" t="e">
        <f>VLOOKUP($A123,'S49'!$C:$BQ,60,0)</f>
        <v>#N/A</v>
      </c>
      <c r="BD123" s="107" t="e">
        <f>VLOOKUP($A123,'S50'!$C:$BQ,32,0)</f>
        <v>#N/A</v>
      </c>
      <c r="BE123" s="107" t="e">
        <f>VLOOKUP($A123,'S50'!$C:$BQ,39,0)</f>
        <v>#N/A</v>
      </c>
      <c r="BF123" s="107" t="e">
        <f>VLOOKUP($A123,'S50'!$C:$BQ,40,0)</f>
        <v>#N/A</v>
      </c>
      <c r="BG123" s="107" t="e">
        <f>VLOOKUP($A123,'S50'!$C:$BQ,22,0)</f>
        <v>#N/A</v>
      </c>
      <c r="BH123" s="115" t="e">
        <f>VLOOKUP($A123,'S50'!$C:$BQ,29,0)</f>
        <v>#N/A</v>
      </c>
      <c r="BI123" s="115" t="e">
        <f>VLOOKUP($A123,'S50'!$C:$BQ,30,0)</f>
        <v>#N/A</v>
      </c>
      <c r="BJ123" s="115" t="e">
        <f>VLOOKUP($A123,'S50'!$C:$BQ,52,0)</f>
        <v>#N/A</v>
      </c>
      <c r="BK123" s="115" t="e">
        <f>VLOOKUP($A123,'S50'!$C:$BQ,59,0)</f>
        <v>#N/A</v>
      </c>
      <c r="BL123" s="115" t="e">
        <f>VLOOKUP($A123,'S50'!$C:$BQ,60,0)</f>
        <v>#N/A</v>
      </c>
    </row>
    <row r="124" spans="1:64" x14ac:dyDescent="0.2">
      <c r="A124" s="106" t="s">
        <v>188</v>
      </c>
      <c r="B124" s="107">
        <f>VLOOKUP($A124,'S0 remplacer avec S44'!$C:$BQ,32,0)</f>
        <v>183.5</v>
      </c>
      <c r="C124" s="107">
        <f>VLOOKUP($A124,'S0 remplacer avec S44'!$C:$BQ,39,0)</f>
        <v>1</v>
      </c>
      <c r="D124" s="107">
        <f>VLOOKUP($A124,'S0 remplacer avec S44'!$C:$BQ,40,0)</f>
        <v>38</v>
      </c>
      <c r="E124" s="107">
        <f>VLOOKUP($A124,'S0 remplacer avec S44'!$C:$BQ,22,0)</f>
        <v>1965.5979</v>
      </c>
      <c r="F124" s="115">
        <f>VLOOKUP($A124,'S0 remplacer avec S44'!$C:$BQ,29,0)</f>
        <v>0</v>
      </c>
      <c r="G124" s="115">
        <f>VLOOKUP($A124,'S0 remplacer avec S44'!$C:$BQ,30,0)</f>
        <v>44</v>
      </c>
      <c r="H124" s="115">
        <f>VLOOKUP($A124,'S0 remplacer avec S44'!$C:$BQ,52,0)</f>
        <v>125.4</v>
      </c>
      <c r="I124" s="115">
        <f>VLOOKUP($A124,'S0 remplacer avec S44'!$C:$BQ,59,0)</f>
        <v>0</v>
      </c>
      <c r="J124" s="115">
        <f>VLOOKUP($A124,'S0 remplacer avec S44'!$C:$BQ,60,0)</f>
        <v>0</v>
      </c>
      <c r="K124" s="107" t="e">
        <f>VLOOKUP($A124,'S45'!$C:$BQ,32,0)</f>
        <v>#N/A</v>
      </c>
      <c r="L124" s="107" t="e">
        <f>VLOOKUP($A124,'S45'!$C:$BQ,39,0)</f>
        <v>#N/A</v>
      </c>
      <c r="M124" s="107" t="e">
        <f>VLOOKUP($A124,'S45'!$C:$BQ,40,0)</f>
        <v>#N/A</v>
      </c>
      <c r="N124" s="107" t="e">
        <f>VLOOKUP($A124,'S45'!$C:$BQ,22,0)</f>
        <v>#N/A</v>
      </c>
      <c r="O124" s="115" t="e">
        <f>VLOOKUP($A124,'S45'!$C:$BQ,29,0)</f>
        <v>#N/A</v>
      </c>
      <c r="P124" s="115" t="e">
        <f>VLOOKUP($A124,'S45'!$C:$BQ,30,0)</f>
        <v>#N/A</v>
      </c>
      <c r="Q124" s="115" t="e">
        <f>VLOOKUP($A124,'S45'!$C:$BQ,52,0)</f>
        <v>#N/A</v>
      </c>
      <c r="R124" s="115" t="e">
        <f>VLOOKUP($A124,'S45'!$C:$BQ,59,0)</f>
        <v>#N/A</v>
      </c>
      <c r="S124" s="115" t="e">
        <f>VLOOKUP($A124,'S45'!$C:$BQ,60,0)</f>
        <v>#N/A</v>
      </c>
      <c r="T124" s="107" t="e">
        <f>VLOOKUP($A124,'S46'!$C:$BQ,32,0)</f>
        <v>#N/A</v>
      </c>
      <c r="U124" s="107" t="e">
        <f>VLOOKUP($A124,'S46'!$C:$BQ,39,0)</f>
        <v>#N/A</v>
      </c>
      <c r="V124" s="107" t="e">
        <f>VLOOKUP($A124,'S46'!$C:$BQ,40,0)</f>
        <v>#N/A</v>
      </c>
      <c r="W124" s="107" t="e">
        <f>VLOOKUP($A124,'S46'!$C:$BQ,22,0)</f>
        <v>#N/A</v>
      </c>
      <c r="X124" s="115" t="e">
        <f>VLOOKUP($A124,'S46'!$C:$BQ,29,0)</f>
        <v>#N/A</v>
      </c>
      <c r="Y124" s="115" t="e">
        <f>VLOOKUP($A124,'S46'!$C:$BQ,30,0)</f>
        <v>#N/A</v>
      </c>
      <c r="Z124" s="115" t="e">
        <f>VLOOKUP($A124,'S46'!$C:$BQ,52,0)</f>
        <v>#N/A</v>
      </c>
      <c r="AA124" s="115" t="e">
        <f>VLOOKUP($A124,'S46'!$C:$BQ,59,0)</f>
        <v>#N/A</v>
      </c>
      <c r="AB124" s="115" t="e">
        <f>VLOOKUP($A124,'S46'!$C:$BQ,60,0)</f>
        <v>#N/A</v>
      </c>
      <c r="AC124" s="107" t="e">
        <f>VLOOKUP($A124,'S47'!$C:$BQ,32,0)</f>
        <v>#N/A</v>
      </c>
      <c r="AD124" s="107" t="e">
        <f>VLOOKUP($A124,'S47'!$C:$BQ,39,0)</f>
        <v>#N/A</v>
      </c>
      <c r="AE124" s="107" t="e">
        <f>VLOOKUP($A124,'S47'!$C:$BQ,40,0)</f>
        <v>#N/A</v>
      </c>
      <c r="AF124" s="107" t="e">
        <f>VLOOKUP($A124,'S47'!$C:$BQ,22,0)</f>
        <v>#N/A</v>
      </c>
      <c r="AG124" s="115" t="e">
        <f>VLOOKUP($A124,'S47'!$C:$BQ,29,0)</f>
        <v>#N/A</v>
      </c>
      <c r="AH124" s="115" t="e">
        <f>VLOOKUP($A124,'S47'!$C:$BQ,30,0)</f>
        <v>#N/A</v>
      </c>
      <c r="AI124" s="115" t="e">
        <f>VLOOKUP($A124,'S47'!$C:$BQ,52,0)</f>
        <v>#N/A</v>
      </c>
      <c r="AJ124" s="115" t="e">
        <f>VLOOKUP($A124,'S47'!$C:$BQ,59,0)</f>
        <v>#N/A</v>
      </c>
      <c r="AK124" s="115" t="e">
        <f>VLOOKUP($A124,'S47'!$C:$BQ,60,0)</f>
        <v>#N/A</v>
      </c>
      <c r="AL124" s="107" t="e">
        <f>VLOOKUP($A124,'S48'!$C:$BQ,32,0)</f>
        <v>#N/A</v>
      </c>
      <c r="AM124" s="107" t="e">
        <f>VLOOKUP($A124,'S48'!$C:$BQ,39,0)</f>
        <v>#N/A</v>
      </c>
      <c r="AN124" s="107" t="e">
        <f>VLOOKUP($A124,'S48'!$C:$BQ,40,0)</f>
        <v>#N/A</v>
      </c>
      <c r="AO124" s="107" t="e">
        <f>VLOOKUP($A124,'S48'!$C:$BQ,22,0)</f>
        <v>#N/A</v>
      </c>
      <c r="AP124" s="115" t="e">
        <f>VLOOKUP($A124,'S48'!$C:$BQ,29,0)</f>
        <v>#N/A</v>
      </c>
      <c r="AQ124" s="115" t="e">
        <f>VLOOKUP($A124,'S48'!$C:$BQ,30,0)</f>
        <v>#N/A</v>
      </c>
      <c r="AR124" s="115" t="e">
        <f>VLOOKUP($A124,'S48'!$C:$BQ,52,0)</f>
        <v>#N/A</v>
      </c>
      <c r="AS124" s="115" t="e">
        <f>VLOOKUP($A124,'S48'!$C:$BQ,59,0)</f>
        <v>#N/A</v>
      </c>
      <c r="AT124" s="115" t="e">
        <f>VLOOKUP($A124,'S48'!$C:$BQ,60,0)</f>
        <v>#N/A</v>
      </c>
      <c r="AU124" s="107" t="e">
        <f>VLOOKUP($A124,'S49'!$C:$BQ,32,0)</f>
        <v>#N/A</v>
      </c>
      <c r="AV124" s="107" t="e">
        <f>VLOOKUP($A124,'S49'!$C:$BQ,39,0)</f>
        <v>#N/A</v>
      </c>
      <c r="AW124" s="107" t="e">
        <f>VLOOKUP($A124,'S49'!$C:$BQ,40,0)</f>
        <v>#N/A</v>
      </c>
      <c r="AX124" s="107" t="e">
        <f>VLOOKUP($A124,'S49'!$C:$BQ,22,0)</f>
        <v>#N/A</v>
      </c>
      <c r="AY124" s="115" t="e">
        <f>VLOOKUP($A124,'S49'!$C:$BQ,29,0)</f>
        <v>#N/A</v>
      </c>
      <c r="AZ124" s="115" t="e">
        <f>VLOOKUP($A124,'S49'!$C:$BQ,30,0)</f>
        <v>#N/A</v>
      </c>
      <c r="BA124" s="115" t="e">
        <f>VLOOKUP($A124,'S49'!$C:$BQ,52,0)</f>
        <v>#N/A</v>
      </c>
      <c r="BB124" s="115" t="e">
        <f>VLOOKUP($A124,'S49'!$C:$BQ,59,0)</f>
        <v>#N/A</v>
      </c>
      <c r="BC124" s="115" t="e">
        <f>VLOOKUP($A124,'S49'!$C:$BQ,60,0)</f>
        <v>#N/A</v>
      </c>
      <c r="BD124" s="107" t="e">
        <f>VLOOKUP($A124,'S50'!$C:$BQ,32,0)</f>
        <v>#N/A</v>
      </c>
      <c r="BE124" s="107" t="e">
        <f>VLOOKUP($A124,'S50'!$C:$BQ,39,0)</f>
        <v>#N/A</v>
      </c>
      <c r="BF124" s="107" t="e">
        <f>VLOOKUP($A124,'S50'!$C:$BQ,40,0)</f>
        <v>#N/A</v>
      </c>
      <c r="BG124" s="107" t="e">
        <f>VLOOKUP($A124,'S50'!$C:$BQ,22,0)</f>
        <v>#N/A</v>
      </c>
      <c r="BH124" s="115" t="e">
        <f>VLOOKUP($A124,'S50'!$C:$BQ,29,0)</f>
        <v>#N/A</v>
      </c>
      <c r="BI124" s="115" t="e">
        <f>VLOOKUP($A124,'S50'!$C:$BQ,30,0)</f>
        <v>#N/A</v>
      </c>
      <c r="BJ124" s="115" t="e">
        <f>VLOOKUP($A124,'S50'!$C:$BQ,52,0)</f>
        <v>#N/A</v>
      </c>
      <c r="BK124" s="115" t="e">
        <f>VLOOKUP($A124,'S50'!$C:$BQ,59,0)</f>
        <v>#N/A</v>
      </c>
      <c r="BL124" s="115" t="e">
        <f>VLOOKUP($A124,'S50'!$C:$BQ,60,0)</f>
        <v>#N/A</v>
      </c>
    </row>
    <row r="125" spans="1:64" x14ac:dyDescent="0.2">
      <c r="A125" s="106" t="s">
        <v>189</v>
      </c>
      <c r="B125" s="107">
        <f>VLOOKUP($A125,'S0 remplacer avec S44'!$C:$BQ,32,0)</f>
        <v>364.55</v>
      </c>
      <c r="C125" s="107">
        <f>VLOOKUP($A125,'S0 remplacer avec S44'!$C:$BQ,39,0)</f>
        <v>173</v>
      </c>
      <c r="D125" s="107">
        <f>VLOOKUP($A125,'S0 remplacer avec S44'!$C:$BQ,40,0)</f>
        <v>281</v>
      </c>
      <c r="E125" s="107">
        <f>VLOOKUP($A125,'S0 remplacer avec S44'!$C:$BQ,22,0)</f>
        <v>4201.0185750000001</v>
      </c>
      <c r="F125" s="115">
        <f>VLOOKUP($A125,'S0 remplacer avec S44'!$C:$BQ,29,0)</f>
        <v>686</v>
      </c>
      <c r="G125" s="115">
        <f>VLOOKUP($A125,'S0 remplacer avec S44'!$C:$BQ,30,0)</f>
        <v>1663</v>
      </c>
      <c r="H125" s="115">
        <f>VLOOKUP($A125,'S0 remplacer avec S44'!$C:$BQ,52,0)</f>
        <v>405.2</v>
      </c>
      <c r="I125" s="115">
        <f>VLOOKUP($A125,'S0 remplacer avec S44'!$C:$BQ,59,0)</f>
        <v>0</v>
      </c>
      <c r="J125" s="115">
        <f>VLOOKUP($A125,'S0 remplacer avec S44'!$C:$BQ,60,0)</f>
        <v>0</v>
      </c>
      <c r="K125" s="107" t="e">
        <f>VLOOKUP($A125,'S45'!$C:$BQ,32,0)</f>
        <v>#N/A</v>
      </c>
      <c r="L125" s="107" t="e">
        <f>VLOOKUP($A125,'S45'!$C:$BQ,39,0)</f>
        <v>#N/A</v>
      </c>
      <c r="M125" s="107" t="e">
        <f>VLOOKUP($A125,'S45'!$C:$BQ,40,0)</f>
        <v>#N/A</v>
      </c>
      <c r="N125" s="107" t="e">
        <f>VLOOKUP($A125,'S45'!$C:$BQ,22,0)</f>
        <v>#N/A</v>
      </c>
      <c r="O125" s="115" t="e">
        <f>VLOOKUP($A125,'S45'!$C:$BQ,29,0)</f>
        <v>#N/A</v>
      </c>
      <c r="P125" s="115" t="e">
        <f>VLOOKUP($A125,'S45'!$C:$BQ,30,0)</f>
        <v>#N/A</v>
      </c>
      <c r="Q125" s="115" t="e">
        <f>VLOOKUP($A125,'S45'!$C:$BQ,52,0)</f>
        <v>#N/A</v>
      </c>
      <c r="R125" s="115" t="e">
        <f>VLOOKUP($A125,'S45'!$C:$BQ,59,0)</f>
        <v>#N/A</v>
      </c>
      <c r="S125" s="115" t="e">
        <f>VLOOKUP($A125,'S45'!$C:$BQ,60,0)</f>
        <v>#N/A</v>
      </c>
      <c r="T125" s="107" t="e">
        <f>VLOOKUP($A125,'S46'!$C:$BQ,32,0)</f>
        <v>#N/A</v>
      </c>
      <c r="U125" s="107" t="e">
        <f>VLOOKUP($A125,'S46'!$C:$BQ,39,0)</f>
        <v>#N/A</v>
      </c>
      <c r="V125" s="107" t="e">
        <f>VLOOKUP($A125,'S46'!$C:$BQ,40,0)</f>
        <v>#N/A</v>
      </c>
      <c r="W125" s="107" t="e">
        <f>VLOOKUP($A125,'S46'!$C:$BQ,22,0)</f>
        <v>#N/A</v>
      </c>
      <c r="X125" s="115" t="e">
        <f>VLOOKUP($A125,'S46'!$C:$BQ,29,0)</f>
        <v>#N/A</v>
      </c>
      <c r="Y125" s="115" t="e">
        <f>VLOOKUP($A125,'S46'!$C:$BQ,30,0)</f>
        <v>#N/A</v>
      </c>
      <c r="Z125" s="115" t="e">
        <f>VLOOKUP($A125,'S46'!$C:$BQ,52,0)</f>
        <v>#N/A</v>
      </c>
      <c r="AA125" s="115" t="e">
        <f>VLOOKUP($A125,'S46'!$C:$BQ,59,0)</f>
        <v>#N/A</v>
      </c>
      <c r="AB125" s="115" t="e">
        <f>VLOOKUP($A125,'S46'!$C:$BQ,60,0)</f>
        <v>#N/A</v>
      </c>
      <c r="AC125" s="107" t="e">
        <f>VLOOKUP($A125,'S47'!$C:$BQ,32,0)</f>
        <v>#N/A</v>
      </c>
      <c r="AD125" s="107" t="e">
        <f>VLOOKUP($A125,'S47'!$C:$BQ,39,0)</f>
        <v>#N/A</v>
      </c>
      <c r="AE125" s="107" t="e">
        <f>VLOOKUP($A125,'S47'!$C:$BQ,40,0)</f>
        <v>#N/A</v>
      </c>
      <c r="AF125" s="107" t="e">
        <f>VLOOKUP($A125,'S47'!$C:$BQ,22,0)</f>
        <v>#N/A</v>
      </c>
      <c r="AG125" s="115" t="e">
        <f>VLOOKUP($A125,'S47'!$C:$BQ,29,0)</f>
        <v>#N/A</v>
      </c>
      <c r="AH125" s="115" t="e">
        <f>VLOOKUP($A125,'S47'!$C:$BQ,30,0)</f>
        <v>#N/A</v>
      </c>
      <c r="AI125" s="115" t="e">
        <f>VLOOKUP($A125,'S47'!$C:$BQ,52,0)</f>
        <v>#N/A</v>
      </c>
      <c r="AJ125" s="115" t="e">
        <f>VLOOKUP($A125,'S47'!$C:$BQ,59,0)</f>
        <v>#N/A</v>
      </c>
      <c r="AK125" s="115" t="e">
        <f>VLOOKUP($A125,'S47'!$C:$BQ,60,0)</f>
        <v>#N/A</v>
      </c>
      <c r="AL125" s="107" t="e">
        <f>VLOOKUP($A125,'S48'!$C:$BQ,32,0)</f>
        <v>#N/A</v>
      </c>
      <c r="AM125" s="107" t="e">
        <f>VLOOKUP($A125,'S48'!$C:$BQ,39,0)</f>
        <v>#N/A</v>
      </c>
      <c r="AN125" s="107" t="e">
        <f>VLOOKUP($A125,'S48'!$C:$BQ,40,0)</f>
        <v>#N/A</v>
      </c>
      <c r="AO125" s="107" t="e">
        <f>VLOOKUP($A125,'S48'!$C:$BQ,22,0)</f>
        <v>#N/A</v>
      </c>
      <c r="AP125" s="115" t="e">
        <f>VLOOKUP($A125,'S48'!$C:$BQ,29,0)</f>
        <v>#N/A</v>
      </c>
      <c r="AQ125" s="115" t="e">
        <f>VLOOKUP($A125,'S48'!$C:$BQ,30,0)</f>
        <v>#N/A</v>
      </c>
      <c r="AR125" s="115" t="e">
        <f>VLOOKUP($A125,'S48'!$C:$BQ,52,0)</f>
        <v>#N/A</v>
      </c>
      <c r="AS125" s="115" t="e">
        <f>VLOOKUP($A125,'S48'!$C:$BQ,59,0)</f>
        <v>#N/A</v>
      </c>
      <c r="AT125" s="115" t="e">
        <f>VLOOKUP($A125,'S48'!$C:$BQ,60,0)</f>
        <v>#N/A</v>
      </c>
      <c r="AU125" s="107" t="e">
        <f>VLOOKUP($A125,'S49'!$C:$BQ,32,0)</f>
        <v>#N/A</v>
      </c>
      <c r="AV125" s="107" t="e">
        <f>VLOOKUP($A125,'S49'!$C:$BQ,39,0)</f>
        <v>#N/A</v>
      </c>
      <c r="AW125" s="107" t="e">
        <f>VLOOKUP($A125,'S49'!$C:$BQ,40,0)</f>
        <v>#N/A</v>
      </c>
      <c r="AX125" s="107" t="e">
        <f>VLOOKUP($A125,'S49'!$C:$BQ,22,0)</f>
        <v>#N/A</v>
      </c>
      <c r="AY125" s="115" t="e">
        <f>VLOOKUP($A125,'S49'!$C:$BQ,29,0)</f>
        <v>#N/A</v>
      </c>
      <c r="AZ125" s="115" t="e">
        <f>VLOOKUP($A125,'S49'!$C:$BQ,30,0)</f>
        <v>#N/A</v>
      </c>
      <c r="BA125" s="115" t="e">
        <f>VLOOKUP($A125,'S49'!$C:$BQ,52,0)</f>
        <v>#N/A</v>
      </c>
      <c r="BB125" s="115" t="e">
        <f>VLOOKUP($A125,'S49'!$C:$BQ,59,0)</f>
        <v>#N/A</v>
      </c>
      <c r="BC125" s="115" t="e">
        <f>VLOOKUP($A125,'S49'!$C:$BQ,60,0)</f>
        <v>#N/A</v>
      </c>
      <c r="BD125" s="107" t="e">
        <f>VLOOKUP($A125,'S50'!$C:$BQ,32,0)</f>
        <v>#N/A</v>
      </c>
      <c r="BE125" s="107" t="e">
        <f>VLOOKUP($A125,'S50'!$C:$BQ,39,0)</f>
        <v>#N/A</v>
      </c>
      <c r="BF125" s="107" t="e">
        <f>VLOOKUP($A125,'S50'!$C:$BQ,40,0)</f>
        <v>#N/A</v>
      </c>
      <c r="BG125" s="107" t="e">
        <f>VLOOKUP($A125,'S50'!$C:$BQ,22,0)</f>
        <v>#N/A</v>
      </c>
      <c r="BH125" s="115" t="e">
        <f>VLOOKUP($A125,'S50'!$C:$BQ,29,0)</f>
        <v>#N/A</v>
      </c>
      <c r="BI125" s="115" t="e">
        <f>VLOOKUP($A125,'S50'!$C:$BQ,30,0)</f>
        <v>#N/A</v>
      </c>
      <c r="BJ125" s="115" t="e">
        <f>VLOOKUP($A125,'S50'!$C:$BQ,52,0)</f>
        <v>#N/A</v>
      </c>
      <c r="BK125" s="115" t="e">
        <f>VLOOKUP($A125,'S50'!$C:$BQ,59,0)</f>
        <v>#N/A</v>
      </c>
      <c r="BL125" s="115" t="e">
        <f>VLOOKUP($A125,'S50'!$C:$BQ,60,0)</f>
        <v>#N/A</v>
      </c>
    </row>
    <row r="126" spans="1:64" x14ac:dyDescent="0.2">
      <c r="A126" s="106" t="s">
        <v>187</v>
      </c>
      <c r="B126" s="107">
        <f>VLOOKUP($A126,'S0 remplacer avec S44'!$C:$BQ,32,0)</f>
        <v>299</v>
      </c>
      <c r="C126" s="107">
        <f>VLOOKUP($A126,'S0 remplacer avec S44'!$C:$BQ,39,0)</f>
        <v>0</v>
      </c>
      <c r="D126" s="107">
        <f>VLOOKUP($A126,'S0 remplacer avec S44'!$C:$BQ,40,0)</f>
        <v>16</v>
      </c>
      <c r="E126" s="107">
        <f>VLOOKUP($A126,'S0 remplacer avec S44'!$C:$BQ,22,0)</f>
        <v>2772.46371</v>
      </c>
      <c r="F126" s="115">
        <f>VLOOKUP($A126,'S0 remplacer avec S44'!$C:$BQ,29,0)</f>
        <v>0</v>
      </c>
      <c r="G126" s="115">
        <f>VLOOKUP($A126,'S0 remplacer avec S44'!$C:$BQ,30,0)</f>
        <v>84</v>
      </c>
      <c r="H126" s="115">
        <f>VLOOKUP($A126,'S0 remplacer avec S44'!$C:$BQ,52,0)</f>
        <v>229.8</v>
      </c>
      <c r="I126" s="115">
        <f>VLOOKUP($A126,'S0 remplacer avec S44'!$C:$BQ,59,0)</f>
        <v>0</v>
      </c>
      <c r="J126" s="115">
        <f>VLOOKUP($A126,'S0 remplacer avec S44'!$C:$BQ,60,0)</f>
        <v>0</v>
      </c>
      <c r="K126" s="107" t="e">
        <f>VLOOKUP($A126,'S45'!$C:$BQ,32,0)</f>
        <v>#N/A</v>
      </c>
      <c r="L126" s="107" t="e">
        <f>VLOOKUP($A126,'S45'!$C:$BQ,39,0)</f>
        <v>#N/A</v>
      </c>
      <c r="M126" s="107" t="e">
        <f>VLOOKUP($A126,'S45'!$C:$BQ,40,0)</f>
        <v>#N/A</v>
      </c>
      <c r="N126" s="107" t="e">
        <f>VLOOKUP($A126,'S45'!$C:$BQ,22,0)</f>
        <v>#N/A</v>
      </c>
      <c r="O126" s="115" t="e">
        <f>VLOOKUP($A126,'S45'!$C:$BQ,29,0)</f>
        <v>#N/A</v>
      </c>
      <c r="P126" s="115" t="e">
        <f>VLOOKUP($A126,'S45'!$C:$BQ,30,0)</f>
        <v>#N/A</v>
      </c>
      <c r="Q126" s="115" t="e">
        <f>VLOOKUP($A126,'S45'!$C:$BQ,52,0)</f>
        <v>#N/A</v>
      </c>
      <c r="R126" s="115" t="e">
        <f>VLOOKUP($A126,'S45'!$C:$BQ,59,0)</f>
        <v>#N/A</v>
      </c>
      <c r="S126" s="115" t="e">
        <f>VLOOKUP($A126,'S45'!$C:$BQ,60,0)</f>
        <v>#N/A</v>
      </c>
      <c r="T126" s="107" t="e">
        <f>VLOOKUP($A126,'S46'!$C:$BQ,32,0)</f>
        <v>#N/A</v>
      </c>
      <c r="U126" s="107" t="e">
        <f>VLOOKUP($A126,'S46'!$C:$BQ,39,0)</f>
        <v>#N/A</v>
      </c>
      <c r="V126" s="107" t="e">
        <f>VLOOKUP($A126,'S46'!$C:$BQ,40,0)</f>
        <v>#N/A</v>
      </c>
      <c r="W126" s="107" t="e">
        <f>VLOOKUP($A126,'S46'!$C:$BQ,22,0)</f>
        <v>#N/A</v>
      </c>
      <c r="X126" s="115" t="e">
        <f>VLOOKUP($A126,'S46'!$C:$BQ,29,0)</f>
        <v>#N/A</v>
      </c>
      <c r="Y126" s="115" t="e">
        <f>VLOOKUP($A126,'S46'!$C:$BQ,30,0)</f>
        <v>#N/A</v>
      </c>
      <c r="Z126" s="115" t="e">
        <f>VLOOKUP($A126,'S46'!$C:$BQ,52,0)</f>
        <v>#N/A</v>
      </c>
      <c r="AA126" s="115" t="e">
        <f>VLOOKUP($A126,'S46'!$C:$BQ,59,0)</f>
        <v>#N/A</v>
      </c>
      <c r="AB126" s="115" t="e">
        <f>VLOOKUP($A126,'S46'!$C:$BQ,60,0)</f>
        <v>#N/A</v>
      </c>
      <c r="AC126" s="107" t="e">
        <f>VLOOKUP($A126,'S47'!$C:$BQ,32,0)</f>
        <v>#N/A</v>
      </c>
      <c r="AD126" s="107" t="e">
        <f>VLOOKUP($A126,'S47'!$C:$BQ,39,0)</f>
        <v>#N/A</v>
      </c>
      <c r="AE126" s="107" t="e">
        <f>VLOOKUP($A126,'S47'!$C:$BQ,40,0)</f>
        <v>#N/A</v>
      </c>
      <c r="AF126" s="107" t="e">
        <f>VLOOKUP($A126,'S47'!$C:$BQ,22,0)</f>
        <v>#N/A</v>
      </c>
      <c r="AG126" s="115" t="e">
        <f>VLOOKUP($A126,'S47'!$C:$BQ,29,0)</f>
        <v>#N/A</v>
      </c>
      <c r="AH126" s="115" t="e">
        <f>VLOOKUP($A126,'S47'!$C:$BQ,30,0)</f>
        <v>#N/A</v>
      </c>
      <c r="AI126" s="115" t="e">
        <f>VLOOKUP($A126,'S47'!$C:$BQ,52,0)</f>
        <v>#N/A</v>
      </c>
      <c r="AJ126" s="115" t="e">
        <f>VLOOKUP($A126,'S47'!$C:$BQ,59,0)</f>
        <v>#N/A</v>
      </c>
      <c r="AK126" s="115" t="e">
        <f>VLOOKUP($A126,'S47'!$C:$BQ,60,0)</f>
        <v>#N/A</v>
      </c>
      <c r="AL126" s="107" t="e">
        <f>VLOOKUP($A126,'S48'!$C:$BQ,32,0)</f>
        <v>#N/A</v>
      </c>
      <c r="AM126" s="107" t="e">
        <f>VLOOKUP($A126,'S48'!$C:$BQ,39,0)</f>
        <v>#N/A</v>
      </c>
      <c r="AN126" s="107" t="e">
        <f>VLOOKUP($A126,'S48'!$C:$BQ,40,0)</f>
        <v>#N/A</v>
      </c>
      <c r="AO126" s="107" t="e">
        <f>VLOOKUP($A126,'S48'!$C:$BQ,22,0)</f>
        <v>#N/A</v>
      </c>
      <c r="AP126" s="115" t="e">
        <f>VLOOKUP($A126,'S48'!$C:$BQ,29,0)</f>
        <v>#N/A</v>
      </c>
      <c r="AQ126" s="115" t="e">
        <f>VLOOKUP($A126,'S48'!$C:$BQ,30,0)</f>
        <v>#N/A</v>
      </c>
      <c r="AR126" s="115" t="e">
        <f>VLOOKUP($A126,'S48'!$C:$BQ,52,0)</f>
        <v>#N/A</v>
      </c>
      <c r="AS126" s="115" t="e">
        <f>VLOOKUP($A126,'S48'!$C:$BQ,59,0)</f>
        <v>#N/A</v>
      </c>
      <c r="AT126" s="115" t="e">
        <f>VLOOKUP($A126,'S48'!$C:$BQ,60,0)</f>
        <v>#N/A</v>
      </c>
      <c r="AU126" s="107" t="e">
        <f>VLOOKUP($A126,'S49'!$C:$BQ,32,0)</f>
        <v>#N/A</v>
      </c>
      <c r="AV126" s="107" t="e">
        <f>VLOOKUP($A126,'S49'!$C:$BQ,39,0)</f>
        <v>#N/A</v>
      </c>
      <c r="AW126" s="107" t="e">
        <f>VLOOKUP($A126,'S49'!$C:$BQ,40,0)</f>
        <v>#N/A</v>
      </c>
      <c r="AX126" s="107" t="e">
        <f>VLOOKUP($A126,'S49'!$C:$BQ,22,0)</f>
        <v>#N/A</v>
      </c>
      <c r="AY126" s="115" t="e">
        <f>VLOOKUP($A126,'S49'!$C:$BQ,29,0)</f>
        <v>#N/A</v>
      </c>
      <c r="AZ126" s="115" t="e">
        <f>VLOOKUP($A126,'S49'!$C:$BQ,30,0)</f>
        <v>#N/A</v>
      </c>
      <c r="BA126" s="115" t="e">
        <f>VLOOKUP($A126,'S49'!$C:$BQ,52,0)</f>
        <v>#N/A</v>
      </c>
      <c r="BB126" s="115" t="e">
        <f>VLOOKUP($A126,'S49'!$C:$BQ,59,0)</f>
        <v>#N/A</v>
      </c>
      <c r="BC126" s="115" t="e">
        <f>VLOOKUP($A126,'S49'!$C:$BQ,60,0)</f>
        <v>#N/A</v>
      </c>
      <c r="BD126" s="107" t="e">
        <f>VLOOKUP($A126,'S50'!$C:$BQ,32,0)</f>
        <v>#N/A</v>
      </c>
      <c r="BE126" s="107" t="e">
        <f>VLOOKUP($A126,'S50'!$C:$BQ,39,0)</f>
        <v>#N/A</v>
      </c>
      <c r="BF126" s="107" t="e">
        <f>VLOOKUP($A126,'S50'!$C:$BQ,40,0)</f>
        <v>#N/A</v>
      </c>
      <c r="BG126" s="107" t="e">
        <f>VLOOKUP($A126,'S50'!$C:$BQ,22,0)</f>
        <v>#N/A</v>
      </c>
      <c r="BH126" s="115" t="e">
        <f>VLOOKUP($A126,'S50'!$C:$BQ,29,0)</f>
        <v>#N/A</v>
      </c>
      <c r="BI126" s="115" t="e">
        <f>VLOOKUP($A126,'S50'!$C:$BQ,30,0)</f>
        <v>#N/A</v>
      </c>
      <c r="BJ126" s="115" t="e">
        <f>VLOOKUP($A126,'S50'!$C:$BQ,52,0)</f>
        <v>#N/A</v>
      </c>
      <c r="BK126" s="115" t="e">
        <f>VLOOKUP($A126,'S50'!$C:$BQ,59,0)</f>
        <v>#N/A</v>
      </c>
      <c r="BL126" s="115" t="e">
        <f>VLOOKUP($A126,'S50'!$C:$BQ,60,0)</f>
        <v>#N/A</v>
      </c>
    </row>
    <row r="127" spans="1:64" x14ac:dyDescent="0.2">
      <c r="A127" s="106" t="s">
        <v>190</v>
      </c>
      <c r="B127" s="107">
        <f>VLOOKUP($A127,'S0 remplacer avec S44'!$C:$BQ,32,0)</f>
        <v>112.9</v>
      </c>
      <c r="C127" s="107">
        <f>VLOOKUP($A127,'S0 remplacer avec S44'!$C:$BQ,39,0)</f>
        <v>89</v>
      </c>
      <c r="D127" s="107">
        <f>VLOOKUP($A127,'S0 remplacer avec S44'!$C:$BQ,40,0)</f>
        <v>129</v>
      </c>
      <c r="E127" s="107">
        <f>VLOOKUP($A127,'S0 remplacer avec S44'!$C:$BQ,22,0)</f>
        <v>1278.6325650000001</v>
      </c>
      <c r="F127" s="115">
        <f>VLOOKUP($A127,'S0 remplacer avec S44'!$C:$BQ,29,0)</f>
        <v>554</v>
      </c>
      <c r="G127" s="115">
        <f>VLOOKUP($A127,'S0 remplacer avec S44'!$C:$BQ,30,0)</f>
        <v>920</v>
      </c>
      <c r="H127" s="115">
        <f>VLOOKUP($A127,'S0 remplacer avec S44'!$C:$BQ,52,0)</f>
        <v>119</v>
      </c>
      <c r="I127" s="115">
        <f>VLOOKUP($A127,'S0 remplacer avec S44'!$C:$BQ,59,0)</f>
        <v>0</v>
      </c>
      <c r="J127" s="115">
        <f>VLOOKUP($A127,'S0 remplacer avec S44'!$C:$BQ,60,0)</f>
        <v>4</v>
      </c>
      <c r="K127" s="107" t="e">
        <f>VLOOKUP($A127,'S45'!$C:$BQ,32,0)</f>
        <v>#N/A</v>
      </c>
      <c r="L127" s="107" t="e">
        <f>VLOOKUP($A127,'S45'!$C:$BQ,39,0)</f>
        <v>#N/A</v>
      </c>
      <c r="M127" s="107" t="e">
        <f>VLOOKUP($A127,'S45'!$C:$BQ,40,0)</f>
        <v>#N/A</v>
      </c>
      <c r="N127" s="107" t="e">
        <f>VLOOKUP($A127,'S45'!$C:$BQ,22,0)</f>
        <v>#N/A</v>
      </c>
      <c r="O127" s="115" t="e">
        <f>VLOOKUP($A127,'S45'!$C:$BQ,29,0)</f>
        <v>#N/A</v>
      </c>
      <c r="P127" s="115" t="e">
        <f>VLOOKUP($A127,'S45'!$C:$BQ,30,0)</f>
        <v>#N/A</v>
      </c>
      <c r="Q127" s="115" t="e">
        <f>VLOOKUP($A127,'S45'!$C:$BQ,52,0)</f>
        <v>#N/A</v>
      </c>
      <c r="R127" s="115" t="e">
        <f>VLOOKUP($A127,'S45'!$C:$BQ,59,0)</f>
        <v>#N/A</v>
      </c>
      <c r="S127" s="115" t="e">
        <f>VLOOKUP($A127,'S45'!$C:$BQ,60,0)</f>
        <v>#N/A</v>
      </c>
      <c r="T127" s="107" t="e">
        <f>VLOOKUP($A127,'S46'!$C:$BQ,32,0)</f>
        <v>#N/A</v>
      </c>
      <c r="U127" s="107" t="e">
        <f>VLOOKUP($A127,'S46'!$C:$BQ,39,0)</f>
        <v>#N/A</v>
      </c>
      <c r="V127" s="107" t="e">
        <f>VLOOKUP($A127,'S46'!$C:$BQ,40,0)</f>
        <v>#N/A</v>
      </c>
      <c r="W127" s="107" t="e">
        <f>VLOOKUP($A127,'S46'!$C:$BQ,22,0)</f>
        <v>#N/A</v>
      </c>
      <c r="X127" s="115" t="e">
        <f>VLOOKUP($A127,'S46'!$C:$BQ,29,0)</f>
        <v>#N/A</v>
      </c>
      <c r="Y127" s="115" t="e">
        <f>VLOOKUP($A127,'S46'!$C:$BQ,30,0)</f>
        <v>#N/A</v>
      </c>
      <c r="Z127" s="115" t="e">
        <f>VLOOKUP($A127,'S46'!$C:$BQ,52,0)</f>
        <v>#N/A</v>
      </c>
      <c r="AA127" s="115" t="e">
        <f>VLOOKUP($A127,'S46'!$C:$BQ,59,0)</f>
        <v>#N/A</v>
      </c>
      <c r="AB127" s="115" t="e">
        <f>VLOOKUP($A127,'S46'!$C:$BQ,60,0)</f>
        <v>#N/A</v>
      </c>
      <c r="AC127" s="107" t="e">
        <f>VLOOKUP($A127,'S47'!$C:$BQ,32,0)</f>
        <v>#N/A</v>
      </c>
      <c r="AD127" s="107" t="e">
        <f>VLOOKUP($A127,'S47'!$C:$BQ,39,0)</f>
        <v>#N/A</v>
      </c>
      <c r="AE127" s="107" t="e">
        <f>VLOOKUP($A127,'S47'!$C:$BQ,40,0)</f>
        <v>#N/A</v>
      </c>
      <c r="AF127" s="107" t="e">
        <f>VLOOKUP($A127,'S47'!$C:$BQ,22,0)</f>
        <v>#N/A</v>
      </c>
      <c r="AG127" s="115" t="e">
        <f>VLOOKUP($A127,'S47'!$C:$BQ,29,0)</f>
        <v>#N/A</v>
      </c>
      <c r="AH127" s="115" t="e">
        <f>VLOOKUP($A127,'S47'!$C:$BQ,30,0)</f>
        <v>#N/A</v>
      </c>
      <c r="AI127" s="115" t="e">
        <f>VLOOKUP($A127,'S47'!$C:$BQ,52,0)</f>
        <v>#N/A</v>
      </c>
      <c r="AJ127" s="115" t="e">
        <f>VLOOKUP($A127,'S47'!$C:$BQ,59,0)</f>
        <v>#N/A</v>
      </c>
      <c r="AK127" s="115" t="e">
        <f>VLOOKUP($A127,'S47'!$C:$BQ,60,0)</f>
        <v>#N/A</v>
      </c>
      <c r="AL127" s="107" t="e">
        <f>VLOOKUP($A127,'S48'!$C:$BQ,32,0)</f>
        <v>#N/A</v>
      </c>
      <c r="AM127" s="107" t="e">
        <f>VLOOKUP($A127,'S48'!$C:$BQ,39,0)</f>
        <v>#N/A</v>
      </c>
      <c r="AN127" s="107" t="e">
        <f>VLOOKUP($A127,'S48'!$C:$BQ,40,0)</f>
        <v>#N/A</v>
      </c>
      <c r="AO127" s="107" t="e">
        <f>VLOOKUP($A127,'S48'!$C:$BQ,22,0)</f>
        <v>#N/A</v>
      </c>
      <c r="AP127" s="115" t="e">
        <f>VLOOKUP($A127,'S48'!$C:$BQ,29,0)</f>
        <v>#N/A</v>
      </c>
      <c r="AQ127" s="115" t="e">
        <f>VLOOKUP($A127,'S48'!$C:$BQ,30,0)</f>
        <v>#N/A</v>
      </c>
      <c r="AR127" s="115" t="e">
        <f>VLOOKUP($A127,'S48'!$C:$BQ,52,0)</f>
        <v>#N/A</v>
      </c>
      <c r="AS127" s="115" t="e">
        <f>VLOOKUP($A127,'S48'!$C:$BQ,59,0)</f>
        <v>#N/A</v>
      </c>
      <c r="AT127" s="115" t="e">
        <f>VLOOKUP($A127,'S48'!$C:$BQ,60,0)</f>
        <v>#N/A</v>
      </c>
      <c r="AU127" s="107" t="e">
        <f>VLOOKUP($A127,'S49'!$C:$BQ,32,0)</f>
        <v>#N/A</v>
      </c>
      <c r="AV127" s="107" t="e">
        <f>VLOOKUP($A127,'S49'!$C:$BQ,39,0)</f>
        <v>#N/A</v>
      </c>
      <c r="AW127" s="107" t="e">
        <f>VLOOKUP($A127,'S49'!$C:$BQ,40,0)</f>
        <v>#N/A</v>
      </c>
      <c r="AX127" s="107" t="e">
        <f>VLOOKUP($A127,'S49'!$C:$BQ,22,0)</f>
        <v>#N/A</v>
      </c>
      <c r="AY127" s="115" t="e">
        <f>VLOOKUP($A127,'S49'!$C:$BQ,29,0)</f>
        <v>#N/A</v>
      </c>
      <c r="AZ127" s="115" t="e">
        <f>VLOOKUP($A127,'S49'!$C:$BQ,30,0)</f>
        <v>#N/A</v>
      </c>
      <c r="BA127" s="115" t="e">
        <f>VLOOKUP($A127,'S49'!$C:$BQ,52,0)</f>
        <v>#N/A</v>
      </c>
      <c r="BB127" s="115" t="e">
        <f>VLOOKUP($A127,'S49'!$C:$BQ,59,0)</f>
        <v>#N/A</v>
      </c>
      <c r="BC127" s="115" t="e">
        <f>VLOOKUP($A127,'S49'!$C:$BQ,60,0)</f>
        <v>#N/A</v>
      </c>
      <c r="BD127" s="107" t="e">
        <f>VLOOKUP($A127,'S50'!$C:$BQ,32,0)</f>
        <v>#N/A</v>
      </c>
      <c r="BE127" s="107" t="e">
        <f>VLOOKUP($A127,'S50'!$C:$BQ,39,0)</f>
        <v>#N/A</v>
      </c>
      <c r="BF127" s="107" t="e">
        <f>VLOOKUP($A127,'S50'!$C:$BQ,40,0)</f>
        <v>#N/A</v>
      </c>
      <c r="BG127" s="107" t="e">
        <f>VLOOKUP($A127,'S50'!$C:$BQ,22,0)</f>
        <v>#N/A</v>
      </c>
      <c r="BH127" s="115" t="e">
        <f>VLOOKUP($A127,'S50'!$C:$BQ,29,0)</f>
        <v>#N/A</v>
      </c>
      <c r="BI127" s="115" t="e">
        <f>VLOOKUP($A127,'S50'!$C:$BQ,30,0)</f>
        <v>#N/A</v>
      </c>
      <c r="BJ127" s="115" t="e">
        <f>VLOOKUP($A127,'S50'!$C:$BQ,52,0)</f>
        <v>#N/A</v>
      </c>
      <c r="BK127" s="115" t="e">
        <f>VLOOKUP($A127,'S50'!$C:$BQ,59,0)</f>
        <v>#N/A</v>
      </c>
      <c r="BL127" s="115" t="e">
        <f>VLOOKUP($A127,'S50'!$C:$BQ,60,0)</f>
        <v>#N/A</v>
      </c>
    </row>
    <row r="128" spans="1:64" x14ac:dyDescent="0.2">
      <c r="A128" s="106" t="s">
        <v>191</v>
      </c>
      <c r="B128" s="107">
        <f>VLOOKUP($A128,'S0 remplacer avec S44'!$C:$BQ,32,0)</f>
        <v>242.1</v>
      </c>
      <c r="C128" s="107">
        <f>VLOOKUP($A128,'S0 remplacer avec S44'!$C:$BQ,39,0)</f>
        <v>0</v>
      </c>
      <c r="D128" s="107">
        <f>VLOOKUP($A128,'S0 remplacer avec S44'!$C:$BQ,40,0)</f>
        <v>35</v>
      </c>
      <c r="E128" s="107">
        <f>VLOOKUP($A128,'S0 remplacer avec S44'!$C:$BQ,22,0)</f>
        <v>1963.9371000000001</v>
      </c>
      <c r="F128" s="115">
        <f>VLOOKUP($A128,'S0 remplacer avec S44'!$C:$BQ,29,0)</f>
        <v>136</v>
      </c>
      <c r="G128" s="115">
        <f>VLOOKUP($A128,'S0 remplacer avec S44'!$C:$BQ,30,0)</f>
        <v>556</v>
      </c>
      <c r="H128" s="115">
        <f>VLOOKUP($A128,'S0 remplacer avec S44'!$C:$BQ,52,0)</f>
        <v>130.6</v>
      </c>
      <c r="I128" s="115">
        <f>VLOOKUP($A128,'S0 remplacer avec S44'!$C:$BQ,59,0)</f>
        <v>0</v>
      </c>
      <c r="J128" s="115">
        <f>VLOOKUP($A128,'S0 remplacer avec S44'!$C:$BQ,60,0)</f>
        <v>11</v>
      </c>
      <c r="K128" s="107" t="e">
        <f>VLOOKUP($A128,'S45'!$C:$BQ,32,0)</f>
        <v>#N/A</v>
      </c>
      <c r="L128" s="107" t="e">
        <f>VLOOKUP($A128,'S45'!$C:$BQ,39,0)</f>
        <v>#N/A</v>
      </c>
      <c r="M128" s="107" t="e">
        <f>VLOOKUP($A128,'S45'!$C:$BQ,40,0)</f>
        <v>#N/A</v>
      </c>
      <c r="N128" s="107" t="e">
        <f>VLOOKUP($A128,'S45'!$C:$BQ,22,0)</f>
        <v>#N/A</v>
      </c>
      <c r="O128" s="115" t="e">
        <f>VLOOKUP($A128,'S45'!$C:$BQ,29,0)</f>
        <v>#N/A</v>
      </c>
      <c r="P128" s="115" t="e">
        <f>VLOOKUP($A128,'S45'!$C:$BQ,30,0)</f>
        <v>#N/A</v>
      </c>
      <c r="Q128" s="115" t="e">
        <f>VLOOKUP($A128,'S45'!$C:$BQ,52,0)</f>
        <v>#N/A</v>
      </c>
      <c r="R128" s="115" t="e">
        <f>VLOOKUP($A128,'S45'!$C:$BQ,59,0)</f>
        <v>#N/A</v>
      </c>
      <c r="S128" s="115" t="e">
        <f>VLOOKUP($A128,'S45'!$C:$BQ,60,0)</f>
        <v>#N/A</v>
      </c>
      <c r="T128" s="107" t="e">
        <f>VLOOKUP($A128,'S46'!$C:$BQ,32,0)</f>
        <v>#N/A</v>
      </c>
      <c r="U128" s="107" t="e">
        <f>VLOOKUP($A128,'S46'!$C:$BQ,39,0)</f>
        <v>#N/A</v>
      </c>
      <c r="V128" s="107" t="e">
        <f>VLOOKUP($A128,'S46'!$C:$BQ,40,0)</f>
        <v>#N/A</v>
      </c>
      <c r="W128" s="107" t="e">
        <f>VLOOKUP($A128,'S46'!$C:$BQ,22,0)</f>
        <v>#N/A</v>
      </c>
      <c r="X128" s="115" t="e">
        <f>VLOOKUP($A128,'S46'!$C:$BQ,29,0)</f>
        <v>#N/A</v>
      </c>
      <c r="Y128" s="115" t="e">
        <f>VLOOKUP($A128,'S46'!$C:$BQ,30,0)</f>
        <v>#N/A</v>
      </c>
      <c r="Z128" s="115" t="e">
        <f>VLOOKUP($A128,'S46'!$C:$BQ,52,0)</f>
        <v>#N/A</v>
      </c>
      <c r="AA128" s="115" t="e">
        <f>VLOOKUP($A128,'S46'!$C:$BQ,59,0)</f>
        <v>#N/A</v>
      </c>
      <c r="AB128" s="115" t="e">
        <f>VLOOKUP($A128,'S46'!$C:$BQ,60,0)</f>
        <v>#N/A</v>
      </c>
      <c r="AC128" s="107" t="e">
        <f>VLOOKUP($A128,'S47'!$C:$BQ,32,0)</f>
        <v>#N/A</v>
      </c>
      <c r="AD128" s="107" t="e">
        <f>VLOOKUP($A128,'S47'!$C:$BQ,39,0)</f>
        <v>#N/A</v>
      </c>
      <c r="AE128" s="107" t="e">
        <f>VLOOKUP($A128,'S47'!$C:$BQ,40,0)</f>
        <v>#N/A</v>
      </c>
      <c r="AF128" s="107" t="e">
        <f>VLOOKUP($A128,'S47'!$C:$BQ,22,0)</f>
        <v>#N/A</v>
      </c>
      <c r="AG128" s="115" t="e">
        <f>VLOOKUP($A128,'S47'!$C:$BQ,29,0)</f>
        <v>#N/A</v>
      </c>
      <c r="AH128" s="115" t="e">
        <f>VLOOKUP($A128,'S47'!$C:$BQ,30,0)</f>
        <v>#N/A</v>
      </c>
      <c r="AI128" s="115" t="e">
        <f>VLOOKUP($A128,'S47'!$C:$BQ,52,0)</f>
        <v>#N/A</v>
      </c>
      <c r="AJ128" s="115" t="e">
        <f>VLOOKUP($A128,'S47'!$C:$BQ,59,0)</f>
        <v>#N/A</v>
      </c>
      <c r="AK128" s="115" t="e">
        <f>VLOOKUP($A128,'S47'!$C:$BQ,60,0)</f>
        <v>#N/A</v>
      </c>
      <c r="AL128" s="107" t="e">
        <f>VLOOKUP($A128,'S48'!$C:$BQ,32,0)</f>
        <v>#N/A</v>
      </c>
      <c r="AM128" s="107" t="e">
        <f>VLOOKUP($A128,'S48'!$C:$BQ,39,0)</f>
        <v>#N/A</v>
      </c>
      <c r="AN128" s="107" t="e">
        <f>VLOOKUP($A128,'S48'!$C:$BQ,40,0)</f>
        <v>#N/A</v>
      </c>
      <c r="AO128" s="107" t="e">
        <f>VLOOKUP($A128,'S48'!$C:$BQ,22,0)</f>
        <v>#N/A</v>
      </c>
      <c r="AP128" s="115" t="e">
        <f>VLOOKUP($A128,'S48'!$C:$BQ,29,0)</f>
        <v>#N/A</v>
      </c>
      <c r="AQ128" s="115" t="e">
        <f>VLOOKUP($A128,'S48'!$C:$BQ,30,0)</f>
        <v>#N/A</v>
      </c>
      <c r="AR128" s="115" t="e">
        <f>VLOOKUP($A128,'S48'!$C:$BQ,52,0)</f>
        <v>#N/A</v>
      </c>
      <c r="AS128" s="115" t="e">
        <f>VLOOKUP($A128,'S48'!$C:$BQ,59,0)</f>
        <v>#N/A</v>
      </c>
      <c r="AT128" s="115" t="e">
        <f>VLOOKUP($A128,'S48'!$C:$BQ,60,0)</f>
        <v>#N/A</v>
      </c>
      <c r="AU128" s="107" t="e">
        <f>VLOOKUP($A128,'S49'!$C:$BQ,32,0)</f>
        <v>#N/A</v>
      </c>
      <c r="AV128" s="107" t="e">
        <f>VLOOKUP($A128,'S49'!$C:$BQ,39,0)</f>
        <v>#N/A</v>
      </c>
      <c r="AW128" s="107" t="e">
        <f>VLOOKUP($A128,'S49'!$C:$BQ,40,0)</f>
        <v>#N/A</v>
      </c>
      <c r="AX128" s="107" t="e">
        <f>VLOOKUP($A128,'S49'!$C:$BQ,22,0)</f>
        <v>#N/A</v>
      </c>
      <c r="AY128" s="115" t="e">
        <f>VLOOKUP($A128,'S49'!$C:$BQ,29,0)</f>
        <v>#N/A</v>
      </c>
      <c r="AZ128" s="115" t="e">
        <f>VLOOKUP($A128,'S49'!$C:$BQ,30,0)</f>
        <v>#N/A</v>
      </c>
      <c r="BA128" s="115" t="e">
        <f>VLOOKUP($A128,'S49'!$C:$BQ,52,0)</f>
        <v>#N/A</v>
      </c>
      <c r="BB128" s="115" t="e">
        <f>VLOOKUP($A128,'S49'!$C:$BQ,59,0)</f>
        <v>#N/A</v>
      </c>
      <c r="BC128" s="115" t="e">
        <f>VLOOKUP($A128,'S49'!$C:$BQ,60,0)</f>
        <v>#N/A</v>
      </c>
      <c r="BD128" s="107" t="e">
        <f>VLOOKUP($A128,'S50'!$C:$BQ,32,0)</f>
        <v>#N/A</v>
      </c>
      <c r="BE128" s="107" t="e">
        <f>VLOOKUP($A128,'S50'!$C:$BQ,39,0)</f>
        <v>#N/A</v>
      </c>
      <c r="BF128" s="107" t="e">
        <f>VLOOKUP($A128,'S50'!$C:$BQ,40,0)</f>
        <v>#N/A</v>
      </c>
      <c r="BG128" s="107" t="e">
        <f>VLOOKUP($A128,'S50'!$C:$BQ,22,0)</f>
        <v>#N/A</v>
      </c>
      <c r="BH128" s="115" t="e">
        <f>VLOOKUP($A128,'S50'!$C:$BQ,29,0)</f>
        <v>#N/A</v>
      </c>
      <c r="BI128" s="115" t="e">
        <f>VLOOKUP($A128,'S50'!$C:$BQ,30,0)</f>
        <v>#N/A</v>
      </c>
      <c r="BJ128" s="115" t="e">
        <f>VLOOKUP($A128,'S50'!$C:$BQ,52,0)</f>
        <v>#N/A</v>
      </c>
      <c r="BK128" s="115" t="e">
        <f>VLOOKUP($A128,'S50'!$C:$BQ,59,0)</f>
        <v>#N/A</v>
      </c>
      <c r="BL128" s="115" t="e">
        <f>VLOOKUP($A128,'S50'!$C:$BQ,60,0)</f>
        <v>#N/A</v>
      </c>
    </row>
    <row r="129" spans="1:64" x14ac:dyDescent="0.2">
      <c r="A129" s="106" t="s">
        <v>192</v>
      </c>
      <c r="B129" s="107">
        <f>VLOOKUP($A129,'S0 remplacer avec S44'!$C:$BQ,32,0)</f>
        <v>220.15</v>
      </c>
      <c r="C129" s="107">
        <f>VLOOKUP($A129,'S0 remplacer avec S44'!$C:$BQ,39,0)</f>
        <v>0</v>
      </c>
      <c r="D129" s="107">
        <f>VLOOKUP($A129,'S0 remplacer avec S44'!$C:$BQ,40,0)</f>
        <v>0</v>
      </c>
      <c r="E129" s="107">
        <f>VLOOKUP($A129,'S0 remplacer avec S44'!$C:$BQ,22,0)</f>
        <v>1439.0324450000001</v>
      </c>
      <c r="F129" s="115">
        <f>VLOOKUP($A129,'S0 remplacer avec S44'!$C:$BQ,29,0)</f>
        <v>178</v>
      </c>
      <c r="G129" s="115">
        <f>VLOOKUP($A129,'S0 remplacer avec S44'!$C:$BQ,30,0)</f>
        <v>501</v>
      </c>
      <c r="H129" s="115">
        <f>VLOOKUP($A129,'S0 remplacer avec S44'!$C:$BQ,52,0)</f>
        <v>130</v>
      </c>
      <c r="I129" s="115">
        <f>VLOOKUP($A129,'S0 remplacer avec S44'!$C:$BQ,59,0)</f>
        <v>0</v>
      </c>
      <c r="J129" s="115">
        <f>VLOOKUP($A129,'S0 remplacer avec S44'!$C:$BQ,60,0)</f>
        <v>0</v>
      </c>
      <c r="K129" s="107" t="e">
        <f>VLOOKUP($A129,'S45'!$C:$BQ,32,0)</f>
        <v>#N/A</v>
      </c>
      <c r="L129" s="107" t="e">
        <f>VLOOKUP($A129,'S45'!$C:$BQ,39,0)</f>
        <v>#N/A</v>
      </c>
      <c r="M129" s="107" t="e">
        <f>VLOOKUP($A129,'S45'!$C:$BQ,40,0)</f>
        <v>#N/A</v>
      </c>
      <c r="N129" s="107" t="e">
        <f>VLOOKUP($A129,'S45'!$C:$BQ,22,0)</f>
        <v>#N/A</v>
      </c>
      <c r="O129" s="115" t="e">
        <f>VLOOKUP($A129,'S45'!$C:$BQ,29,0)</f>
        <v>#N/A</v>
      </c>
      <c r="P129" s="115" t="e">
        <f>VLOOKUP($A129,'S45'!$C:$BQ,30,0)</f>
        <v>#N/A</v>
      </c>
      <c r="Q129" s="115" t="e">
        <f>VLOOKUP($A129,'S45'!$C:$BQ,52,0)</f>
        <v>#N/A</v>
      </c>
      <c r="R129" s="115" t="e">
        <f>VLOOKUP($A129,'S45'!$C:$BQ,59,0)</f>
        <v>#N/A</v>
      </c>
      <c r="S129" s="115" t="e">
        <f>VLOOKUP($A129,'S45'!$C:$BQ,60,0)</f>
        <v>#N/A</v>
      </c>
      <c r="T129" s="107" t="e">
        <f>VLOOKUP($A129,'S46'!$C:$BQ,32,0)</f>
        <v>#N/A</v>
      </c>
      <c r="U129" s="107" t="e">
        <f>VLOOKUP($A129,'S46'!$C:$BQ,39,0)</f>
        <v>#N/A</v>
      </c>
      <c r="V129" s="107" t="e">
        <f>VLOOKUP($A129,'S46'!$C:$BQ,40,0)</f>
        <v>#N/A</v>
      </c>
      <c r="W129" s="107" t="e">
        <f>VLOOKUP($A129,'S46'!$C:$BQ,22,0)</f>
        <v>#N/A</v>
      </c>
      <c r="X129" s="115" t="e">
        <f>VLOOKUP($A129,'S46'!$C:$BQ,29,0)</f>
        <v>#N/A</v>
      </c>
      <c r="Y129" s="115" t="e">
        <f>VLOOKUP($A129,'S46'!$C:$BQ,30,0)</f>
        <v>#N/A</v>
      </c>
      <c r="Z129" s="115" t="e">
        <f>VLOOKUP($A129,'S46'!$C:$BQ,52,0)</f>
        <v>#N/A</v>
      </c>
      <c r="AA129" s="115" t="e">
        <f>VLOOKUP($A129,'S46'!$C:$BQ,59,0)</f>
        <v>#N/A</v>
      </c>
      <c r="AB129" s="115" t="e">
        <f>VLOOKUP($A129,'S46'!$C:$BQ,60,0)</f>
        <v>#N/A</v>
      </c>
      <c r="AC129" s="107" t="e">
        <f>VLOOKUP($A129,'S47'!$C:$BQ,32,0)</f>
        <v>#N/A</v>
      </c>
      <c r="AD129" s="107" t="e">
        <f>VLOOKUP($A129,'S47'!$C:$BQ,39,0)</f>
        <v>#N/A</v>
      </c>
      <c r="AE129" s="107" t="e">
        <f>VLOOKUP($A129,'S47'!$C:$BQ,40,0)</f>
        <v>#N/A</v>
      </c>
      <c r="AF129" s="107" t="e">
        <f>VLOOKUP($A129,'S47'!$C:$BQ,22,0)</f>
        <v>#N/A</v>
      </c>
      <c r="AG129" s="115" t="e">
        <f>VLOOKUP($A129,'S47'!$C:$BQ,29,0)</f>
        <v>#N/A</v>
      </c>
      <c r="AH129" s="115" t="e">
        <f>VLOOKUP($A129,'S47'!$C:$BQ,30,0)</f>
        <v>#N/A</v>
      </c>
      <c r="AI129" s="115" t="e">
        <f>VLOOKUP($A129,'S47'!$C:$BQ,52,0)</f>
        <v>#N/A</v>
      </c>
      <c r="AJ129" s="115" t="e">
        <f>VLOOKUP($A129,'S47'!$C:$BQ,59,0)</f>
        <v>#N/A</v>
      </c>
      <c r="AK129" s="115" t="e">
        <f>VLOOKUP($A129,'S47'!$C:$BQ,60,0)</f>
        <v>#N/A</v>
      </c>
      <c r="AL129" s="107" t="e">
        <f>VLOOKUP($A129,'S48'!$C:$BQ,32,0)</f>
        <v>#N/A</v>
      </c>
      <c r="AM129" s="107" t="e">
        <f>VLOOKUP($A129,'S48'!$C:$BQ,39,0)</f>
        <v>#N/A</v>
      </c>
      <c r="AN129" s="107" t="e">
        <f>VLOOKUP($A129,'S48'!$C:$BQ,40,0)</f>
        <v>#N/A</v>
      </c>
      <c r="AO129" s="107" t="e">
        <f>VLOOKUP($A129,'S48'!$C:$BQ,22,0)</f>
        <v>#N/A</v>
      </c>
      <c r="AP129" s="115" t="e">
        <f>VLOOKUP($A129,'S48'!$C:$BQ,29,0)</f>
        <v>#N/A</v>
      </c>
      <c r="AQ129" s="115" t="e">
        <f>VLOOKUP($A129,'S48'!$C:$BQ,30,0)</f>
        <v>#N/A</v>
      </c>
      <c r="AR129" s="115" t="e">
        <f>VLOOKUP($A129,'S48'!$C:$BQ,52,0)</f>
        <v>#N/A</v>
      </c>
      <c r="AS129" s="115" t="e">
        <f>VLOOKUP($A129,'S48'!$C:$BQ,59,0)</f>
        <v>#N/A</v>
      </c>
      <c r="AT129" s="115" t="e">
        <f>VLOOKUP($A129,'S48'!$C:$BQ,60,0)</f>
        <v>#N/A</v>
      </c>
      <c r="AU129" s="107" t="e">
        <f>VLOOKUP($A129,'S49'!$C:$BQ,32,0)</f>
        <v>#N/A</v>
      </c>
      <c r="AV129" s="107" t="e">
        <f>VLOOKUP($A129,'S49'!$C:$BQ,39,0)</f>
        <v>#N/A</v>
      </c>
      <c r="AW129" s="107" t="e">
        <f>VLOOKUP($A129,'S49'!$C:$BQ,40,0)</f>
        <v>#N/A</v>
      </c>
      <c r="AX129" s="107" t="e">
        <f>VLOOKUP($A129,'S49'!$C:$BQ,22,0)</f>
        <v>#N/A</v>
      </c>
      <c r="AY129" s="115" t="e">
        <f>VLOOKUP($A129,'S49'!$C:$BQ,29,0)</f>
        <v>#N/A</v>
      </c>
      <c r="AZ129" s="115" t="e">
        <f>VLOOKUP($A129,'S49'!$C:$BQ,30,0)</f>
        <v>#N/A</v>
      </c>
      <c r="BA129" s="115" t="e">
        <f>VLOOKUP($A129,'S49'!$C:$BQ,52,0)</f>
        <v>#N/A</v>
      </c>
      <c r="BB129" s="115" t="e">
        <f>VLOOKUP($A129,'S49'!$C:$BQ,59,0)</f>
        <v>#N/A</v>
      </c>
      <c r="BC129" s="115" t="e">
        <f>VLOOKUP($A129,'S49'!$C:$BQ,60,0)</f>
        <v>#N/A</v>
      </c>
      <c r="BD129" s="107" t="e">
        <f>VLOOKUP($A129,'S50'!$C:$BQ,32,0)</f>
        <v>#N/A</v>
      </c>
      <c r="BE129" s="107" t="e">
        <f>VLOOKUP($A129,'S50'!$C:$BQ,39,0)</f>
        <v>#N/A</v>
      </c>
      <c r="BF129" s="107" t="e">
        <f>VLOOKUP($A129,'S50'!$C:$BQ,40,0)</f>
        <v>#N/A</v>
      </c>
      <c r="BG129" s="107" t="e">
        <f>VLOOKUP($A129,'S50'!$C:$BQ,22,0)</f>
        <v>#N/A</v>
      </c>
      <c r="BH129" s="115" t="e">
        <f>VLOOKUP($A129,'S50'!$C:$BQ,29,0)</f>
        <v>#N/A</v>
      </c>
      <c r="BI129" s="115" t="e">
        <f>VLOOKUP($A129,'S50'!$C:$BQ,30,0)</f>
        <v>#N/A</v>
      </c>
      <c r="BJ129" s="115" t="e">
        <f>VLOOKUP($A129,'S50'!$C:$BQ,52,0)</f>
        <v>#N/A</v>
      </c>
      <c r="BK129" s="115" t="e">
        <f>VLOOKUP($A129,'S50'!$C:$BQ,59,0)</f>
        <v>#N/A</v>
      </c>
      <c r="BL129" s="115" t="e">
        <f>VLOOKUP($A129,'S50'!$C:$BQ,60,0)</f>
        <v>#N/A</v>
      </c>
    </row>
    <row r="130" spans="1:64" x14ac:dyDescent="0.2">
      <c r="A130" s="106" t="s">
        <v>193</v>
      </c>
      <c r="B130" s="107">
        <f>VLOOKUP($A130,'S0 remplacer avec S44'!$C:$BQ,32,0)</f>
        <v>134.30000000000001</v>
      </c>
      <c r="C130" s="107">
        <f>VLOOKUP($A130,'S0 remplacer avec S44'!$C:$BQ,39,0)</f>
        <v>0</v>
      </c>
      <c r="D130" s="107">
        <f>VLOOKUP($A130,'S0 remplacer avec S44'!$C:$BQ,40,0)</f>
        <v>14</v>
      </c>
      <c r="E130" s="107">
        <f>VLOOKUP($A130,'S0 remplacer avec S44'!$C:$BQ,22,0)</f>
        <v>1786.96288</v>
      </c>
      <c r="F130" s="115">
        <f>VLOOKUP($A130,'S0 remplacer avec S44'!$C:$BQ,29,0)</f>
        <v>0</v>
      </c>
      <c r="G130" s="115">
        <f>VLOOKUP($A130,'S0 remplacer avec S44'!$C:$BQ,30,0)</f>
        <v>0</v>
      </c>
      <c r="H130" s="115">
        <f>VLOOKUP($A130,'S0 remplacer avec S44'!$C:$BQ,52,0)</f>
        <v>95.6</v>
      </c>
      <c r="I130" s="115">
        <f>VLOOKUP($A130,'S0 remplacer avec S44'!$C:$BQ,59,0)</f>
        <v>0</v>
      </c>
      <c r="J130" s="115">
        <f>VLOOKUP($A130,'S0 remplacer avec S44'!$C:$BQ,60,0)</f>
        <v>0</v>
      </c>
      <c r="K130" s="107" t="e">
        <f>VLOOKUP($A130,'S45'!$C:$BQ,32,0)</f>
        <v>#N/A</v>
      </c>
      <c r="L130" s="107" t="e">
        <f>VLOOKUP($A130,'S45'!$C:$BQ,39,0)</f>
        <v>#N/A</v>
      </c>
      <c r="M130" s="107" t="e">
        <f>VLOOKUP($A130,'S45'!$C:$BQ,40,0)</f>
        <v>#N/A</v>
      </c>
      <c r="N130" s="107" t="e">
        <f>VLOOKUP($A130,'S45'!$C:$BQ,22,0)</f>
        <v>#N/A</v>
      </c>
      <c r="O130" s="115" t="e">
        <f>VLOOKUP($A130,'S45'!$C:$BQ,29,0)</f>
        <v>#N/A</v>
      </c>
      <c r="P130" s="115" t="e">
        <f>VLOOKUP($A130,'S45'!$C:$BQ,30,0)</f>
        <v>#N/A</v>
      </c>
      <c r="Q130" s="115" t="e">
        <f>VLOOKUP($A130,'S45'!$C:$BQ,52,0)</f>
        <v>#N/A</v>
      </c>
      <c r="R130" s="115" t="e">
        <f>VLOOKUP($A130,'S45'!$C:$BQ,59,0)</f>
        <v>#N/A</v>
      </c>
      <c r="S130" s="115" t="e">
        <f>VLOOKUP($A130,'S45'!$C:$BQ,60,0)</f>
        <v>#N/A</v>
      </c>
      <c r="T130" s="107" t="e">
        <f>VLOOKUP($A130,'S46'!$C:$BQ,32,0)</f>
        <v>#N/A</v>
      </c>
      <c r="U130" s="107" t="e">
        <f>VLOOKUP($A130,'S46'!$C:$BQ,39,0)</f>
        <v>#N/A</v>
      </c>
      <c r="V130" s="107" t="e">
        <f>VLOOKUP($A130,'S46'!$C:$BQ,40,0)</f>
        <v>#N/A</v>
      </c>
      <c r="W130" s="107" t="e">
        <f>VLOOKUP($A130,'S46'!$C:$BQ,22,0)</f>
        <v>#N/A</v>
      </c>
      <c r="X130" s="115" t="e">
        <f>VLOOKUP($A130,'S46'!$C:$BQ,29,0)</f>
        <v>#N/A</v>
      </c>
      <c r="Y130" s="115" t="e">
        <f>VLOOKUP($A130,'S46'!$C:$BQ,30,0)</f>
        <v>#N/A</v>
      </c>
      <c r="Z130" s="115" t="e">
        <f>VLOOKUP($A130,'S46'!$C:$BQ,52,0)</f>
        <v>#N/A</v>
      </c>
      <c r="AA130" s="115" t="e">
        <f>VLOOKUP($A130,'S46'!$C:$BQ,59,0)</f>
        <v>#N/A</v>
      </c>
      <c r="AB130" s="115" t="e">
        <f>VLOOKUP($A130,'S46'!$C:$BQ,60,0)</f>
        <v>#N/A</v>
      </c>
      <c r="AC130" s="107" t="e">
        <f>VLOOKUP($A130,'S47'!$C:$BQ,32,0)</f>
        <v>#N/A</v>
      </c>
      <c r="AD130" s="107" t="e">
        <f>VLOOKUP($A130,'S47'!$C:$BQ,39,0)</f>
        <v>#N/A</v>
      </c>
      <c r="AE130" s="107" t="e">
        <f>VLOOKUP($A130,'S47'!$C:$BQ,40,0)</f>
        <v>#N/A</v>
      </c>
      <c r="AF130" s="107" t="e">
        <f>VLOOKUP($A130,'S47'!$C:$BQ,22,0)</f>
        <v>#N/A</v>
      </c>
      <c r="AG130" s="115" t="e">
        <f>VLOOKUP($A130,'S47'!$C:$BQ,29,0)</f>
        <v>#N/A</v>
      </c>
      <c r="AH130" s="115" t="e">
        <f>VLOOKUP($A130,'S47'!$C:$BQ,30,0)</f>
        <v>#N/A</v>
      </c>
      <c r="AI130" s="115" t="e">
        <f>VLOOKUP($A130,'S47'!$C:$BQ,52,0)</f>
        <v>#N/A</v>
      </c>
      <c r="AJ130" s="115" t="e">
        <f>VLOOKUP($A130,'S47'!$C:$BQ,59,0)</f>
        <v>#N/A</v>
      </c>
      <c r="AK130" s="115" t="e">
        <f>VLOOKUP($A130,'S47'!$C:$BQ,60,0)</f>
        <v>#N/A</v>
      </c>
      <c r="AL130" s="107" t="e">
        <f>VLOOKUP($A130,'S48'!$C:$BQ,32,0)</f>
        <v>#N/A</v>
      </c>
      <c r="AM130" s="107" t="e">
        <f>VLOOKUP($A130,'S48'!$C:$BQ,39,0)</f>
        <v>#N/A</v>
      </c>
      <c r="AN130" s="107" t="e">
        <f>VLOOKUP($A130,'S48'!$C:$BQ,40,0)</f>
        <v>#N/A</v>
      </c>
      <c r="AO130" s="107" t="e">
        <f>VLOOKUP($A130,'S48'!$C:$BQ,22,0)</f>
        <v>#N/A</v>
      </c>
      <c r="AP130" s="115" t="e">
        <f>VLOOKUP($A130,'S48'!$C:$BQ,29,0)</f>
        <v>#N/A</v>
      </c>
      <c r="AQ130" s="115" t="e">
        <f>VLOOKUP($A130,'S48'!$C:$BQ,30,0)</f>
        <v>#N/A</v>
      </c>
      <c r="AR130" s="115" t="e">
        <f>VLOOKUP($A130,'S48'!$C:$BQ,52,0)</f>
        <v>#N/A</v>
      </c>
      <c r="AS130" s="115" t="e">
        <f>VLOOKUP($A130,'S48'!$C:$BQ,59,0)</f>
        <v>#N/A</v>
      </c>
      <c r="AT130" s="115" t="e">
        <f>VLOOKUP($A130,'S48'!$C:$BQ,60,0)</f>
        <v>#N/A</v>
      </c>
      <c r="AU130" s="107" t="e">
        <f>VLOOKUP($A130,'S49'!$C:$BQ,32,0)</f>
        <v>#N/A</v>
      </c>
      <c r="AV130" s="107" t="e">
        <f>VLOOKUP($A130,'S49'!$C:$BQ,39,0)</f>
        <v>#N/A</v>
      </c>
      <c r="AW130" s="107" t="e">
        <f>VLOOKUP($A130,'S49'!$C:$BQ,40,0)</f>
        <v>#N/A</v>
      </c>
      <c r="AX130" s="107" t="e">
        <f>VLOOKUP($A130,'S49'!$C:$BQ,22,0)</f>
        <v>#N/A</v>
      </c>
      <c r="AY130" s="115" t="e">
        <f>VLOOKUP($A130,'S49'!$C:$BQ,29,0)</f>
        <v>#N/A</v>
      </c>
      <c r="AZ130" s="115" t="e">
        <f>VLOOKUP($A130,'S49'!$C:$BQ,30,0)</f>
        <v>#N/A</v>
      </c>
      <c r="BA130" s="115" t="e">
        <f>VLOOKUP($A130,'S49'!$C:$BQ,52,0)</f>
        <v>#N/A</v>
      </c>
      <c r="BB130" s="115" t="e">
        <f>VLOOKUP($A130,'S49'!$C:$BQ,59,0)</f>
        <v>#N/A</v>
      </c>
      <c r="BC130" s="115" t="e">
        <f>VLOOKUP($A130,'S49'!$C:$BQ,60,0)</f>
        <v>#N/A</v>
      </c>
      <c r="BD130" s="107" t="e">
        <f>VLOOKUP($A130,'S50'!$C:$BQ,32,0)</f>
        <v>#N/A</v>
      </c>
      <c r="BE130" s="107" t="e">
        <f>VLOOKUP($A130,'S50'!$C:$BQ,39,0)</f>
        <v>#N/A</v>
      </c>
      <c r="BF130" s="107" t="e">
        <f>VLOOKUP($A130,'S50'!$C:$BQ,40,0)</f>
        <v>#N/A</v>
      </c>
      <c r="BG130" s="107" t="e">
        <f>VLOOKUP($A130,'S50'!$C:$BQ,22,0)</f>
        <v>#N/A</v>
      </c>
      <c r="BH130" s="115" t="e">
        <f>VLOOKUP($A130,'S50'!$C:$BQ,29,0)</f>
        <v>#N/A</v>
      </c>
      <c r="BI130" s="115" t="e">
        <f>VLOOKUP($A130,'S50'!$C:$BQ,30,0)</f>
        <v>#N/A</v>
      </c>
      <c r="BJ130" s="115" t="e">
        <f>VLOOKUP($A130,'S50'!$C:$BQ,52,0)</f>
        <v>#N/A</v>
      </c>
      <c r="BK130" s="115" t="e">
        <f>VLOOKUP($A130,'S50'!$C:$BQ,59,0)</f>
        <v>#N/A</v>
      </c>
      <c r="BL130" s="115" t="e">
        <f>VLOOKUP($A130,'S50'!$C:$BQ,60,0)</f>
        <v>#N/A</v>
      </c>
    </row>
    <row r="131" spans="1:64" x14ac:dyDescent="0.2">
      <c r="A131" s="106" t="s">
        <v>194</v>
      </c>
      <c r="B131" s="107">
        <f>VLOOKUP($A131,'S0 remplacer avec S44'!$C:$BQ,32,0)</f>
        <v>372.4</v>
      </c>
      <c r="C131" s="107">
        <f>VLOOKUP($A131,'S0 remplacer avec S44'!$C:$BQ,39,0)</f>
        <v>5</v>
      </c>
      <c r="D131" s="107">
        <f>VLOOKUP($A131,'S0 remplacer avec S44'!$C:$BQ,40,0)</f>
        <v>81</v>
      </c>
      <c r="E131" s="107">
        <f>VLOOKUP($A131,'S0 remplacer avec S44'!$C:$BQ,22,0)</f>
        <v>2431.5339399999998</v>
      </c>
      <c r="F131" s="115">
        <f>VLOOKUP($A131,'S0 remplacer avec S44'!$C:$BQ,29,0)</f>
        <v>1001</v>
      </c>
      <c r="G131" s="115">
        <f>VLOOKUP($A131,'S0 remplacer avec S44'!$C:$BQ,30,0)</f>
        <v>1688</v>
      </c>
      <c r="H131" s="115">
        <f>VLOOKUP($A131,'S0 remplacer avec S44'!$C:$BQ,52,0)</f>
        <v>215.2</v>
      </c>
      <c r="I131" s="115">
        <f>VLOOKUP($A131,'S0 remplacer avec S44'!$C:$BQ,59,0)</f>
        <v>0</v>
      </c>
      <c r="J131" s="115">
        <f>VLOOKUP($A131,'S0 remplacer avec S44'!$C:$BQ,60,0)</f>
        <v>15</v>
      </c>
      <c r="K131" s="107" t="e">
        <f>VLOOKUP($A131,'S45'!$C:$BQ,32,0)</f>
        <v>#N/A</v>
      </c>
      <c r="L131" s="107" t="e">
        <f>VLOOKUP($A131,'S45'!$C:$BQ,39,0)</f>
        <v>#N/A</v>
      </c>
      <c r="M131" s="107" t="e">
        <f>VLOOKUP($A131,'S45'!$C:$BQ,40,0)</f>
        <v>#N/A</v>
      </c>
      <c r="N131" s="107" t="e">
        <f>VLOOKUP($A131,'S45'!$C:$BQ,22,0)</f>
        <v>#N/A</v>
      </c>
      <c r="O131" s="115" t="e">
        <f>VLOOKUP($A131,'S45'!$C:$BQ,29,0)</f>
        <v>#N/A</v>
      </c>
      <c r="P131" s="115" t="e">
        <f>VLOOKUP($A131,'S45'!$C:$BQ,30,0)</f>
        <v>#N/A</v>
      </c>
      <c r="Q131" s="115" t="e">
        <f>VLOOKUP($A131,'S45'!$C:$BQ,52,0)</f>
        <v>#N/A</v>
      </c>
      <c r="R131" s="115" t="e">
        <f>VLOOKUP($A131,'S45'!$C:$BQ,59,0)</f>
        <v>#N/A</v>
      </c>
      <c r="S131" s="115" t="e">
        <f>VLOOKUP($A131,'S45'!$C:$BQ,60,0)</f>
        <v>#N/A</v>
      </c>
      <c r="T131" s="107" t="e">
        <f>VLOOKUP($A131,'S46'!$C:$BQ,32,0)</f>
        <v>#N/A</v>
      </c>
      <c r="U131" s="107" t="e">
        <f>VLOOKUP($A131,'S46'!$C:$BQ,39,0)</f>
        <v>#N/A</v>
      </c>
      <c r="V131" s="107" t="e">
        <f>VLOOKUP($A131,'S46'!$C:$BQ,40,0)</f>
        <v>#N/A</v>
      </c>
      <c r="W131" s="107" t="e">
        <f>VLOOKUP($A131,'S46'!$C:$BQ,22,0)</f>
        <v>#N/A</v>
      </c>
      <c r="X131" s="115" t="e">
        <f>VLOOKUP($A131,'S46'!$C:$BQ,29,0)</f>
        <v>#N/A</v>
      </c>
      <c r="Y131" s="115" t="e">
        <f>VLOOKUP($A131,'S46'!$C:$BQ,30,0)</f>
        <v>#N/A</v>
      </c>
      <c r="Z131" s="115" t="e">
        <f>VLOOKUP($A131,'S46'!$C:$BQ,52,0)</f>
        <v>#N/A</v>
      </c>
      <c r="AA131" s="115" t="e">
        <f>VLOOKUP($A131,'S46'!$C:$BQ,59,0)</f>
        <v>#N/A</v>
      </c>
      <c r="AB131" s="115" t="e">
        <f>VLOOKUP($A131,'S46'!$C:$BQ,60,0)</f>
        <v>#N/A</v>
      </c>
      <c r="AC131" s="107" t="e">
        <f>VLOOKUP($A131,'S47'!$C:$BQ,32,0)</f>
        <v>#N/A</v>
      </c>
      <c r="AD131" s="107" t="e">
        <f>VLOOKUP($A131,'S47'!$C:$BQ,39,0)</f>
        <v>#N/A</v>
      </c>
      <c r="AE131" s="107" t="e">
        <f>VLOOKUP($A131,'S47'!$C:$BQ,40,0)</f>
        <v>#N/A</v>
      </c>
      <c r="AF131" s="107" t="e">
        <f>VLOOKUP($A131,'S47'!$C:$BQ,22,0)</f>
        <v>#N/A</v>
      </c>
      <c r="AG131" s="115" t="e">
        <f>VLOOKUP($A131,'S47'!$C:$BQ,29,0)</f>
        <v>#N/A</v>
      </c>
      <c r="AH131" s="115" t="e">
        <f>VLOOKUP($A131,'S47'!$C:$BQ,30,0)</f>
        <v>#N/A</v>
      </c>
      <c r="AI131" s="115" t="e">
        <f>VLOOKUP($A131,'S47'!$C:$BQ,52,0)</f>
        <v>#N/A</v>
      </c>
      <c r="AJ131" s="115" t="e">
        <f>VLOOKUP($A131,'S47'!$C:$BQ,59,0)</f>
        <v>#N/A</v>
      </c>
      <c r="AK131" s="115" t="e">
        <f>VLOOKUP($A131,'S47'!$C:$BQ,60,0)</f>
        <v>#N/A</v>
      </c>
      <c r="AL131" s="107" t="e">
        <f>VLOOKUP($A131,'S48'!$C:$BQ,32,0)</f>
        <v>#N/A</v>
      </c>
      <c r="AM131" s="107" t="e">
        <f>VLOOKUP($A131,'S48'!$C:$BQ,39,0)</f>
        <v>#N/A</v>
      </c>
      <c r="AN131" s="107" t="e">
        <f>VLOOKUP($A131,'S48'!$C:$BQ,40,0)</f>
        <v>#N/A</v>
      </c>
      <c r="AO131" s="107" t="e">
        <f>VLOOKUP($A131,'S48'!$C:$BQ,22,0)</f>
        <v>#N/A</v>
      </c>
      <c r="AP131" s="115" t="e">
        <f>VLOOKUP($A131,'S48'!$C:$BQ,29,0)</f>
        <v>#N/A</v>
      </c>
      <c r="AQ131" s="115" t="e">
        <f>VLOOKUP($A131,'S48'!$C:$BQ,30,0)</f>
        <v>#N/A</v>
      </c>
      <c r="AR131" s="115" t="e">
        <f>VLOOKUP($A131,'S48'!$C:$BQ,52,0)</f>
        <v>#N/A</v>
      </c>
      <c r="AS131" s="115" t="e">
        <f>VLOOKUP($A131,'S48'!$C:$BQ,59,0)</f>
        <v>#N/A</v>
      </c>
      <c r="AT131" s="115" t="e">
        <f>VLOOKUP($A131,'S48'!$C:$BQ,60,0)</f>
        <v>#N/A</v>
      </c>
      <c r="AU131" s="107" t="e">
        <f>VLOOKUP($A131,'S49'!$C:$BQ,32,0)</f>
        <v>#N/A</v>
      </c>
      <c r="AV131" s="107" t="e">
        <f>VLOOKUP($A131,'S49'!$C:$BQ,39,0)</f>
        <v>#N/A</v>
      </c>
      <c r="AW131" s="107" t="e">
        <f>VLOOKUP($A131,'S49'!$C:$BQ,40,0)</f>
        <v>#N/A</v>
      </c>
      <c r="AX131" s="107" t="e">
        <f>VLOOKUP($A131,'S49'!$C:$BQ,22,0)</f>
        <v>#N/A</v>
      </c>
      <c r="AY131" s="115" t="e">
        <f>VLOOKUP($A131,'S49'!$C:$BQ,29,0)</f>
        <v>#N/A</v>
      </c>
      <c r="AZ131" s="115" t="e">
        <f>VLOOKUP($A131,'S49'!$C:$BQ,30,0)</f>
        <v>#N/A</v>
      </c>
      <c r="BA131" s="115" t="e">
        <f>VLOOKUP($A131,'S49'!$C:$BQ,52,0)</f>
        <v>#N/A</v>
      </c>
      <c r="BB131" s="115" t="e">
        <f>VLOOKUP($A131,'S49'!$C:$BQ,59,0)</f>
        <v>#N/A</v>
      </c>
      <c r="BC131" s="115" t="e">
        <f>VLOOKUP($A131,'S49'!$C:$BQ,60,0)</f>
        <v>#N/A</v>
      </c>
      <c r="BD131" s="107" t="e">
        <f>VLOOKUP($A131,'S50'!$C:$BQ,32,0)</f>
        <v>#N/A</v>
      </c>
      <c r="BE131" s="107" t="e">
        <f>VLOOKUP($A131,'S50'!$C:$BQ,39,0)</f>
        <v>#N/A</v>
      </c>
      <c r="BF131" s="107" t="e">
        <f>VLOOKUP($A131,'S50'!$C:$BQ,40,0)</f>
        <v>#N/A</v>
      </c>
      <c r="BG131" s="107" t="e">
        <f>VLOOKUP($A131,'S50'!$C:$BQ,22,0)</f>
        <v>#N/A</v>
      </c>
      <c r="BH131" s="115" t="e">
        <f>VLOOKUP($A131,'S50'!$C:$BQ,29,0)</f>
        <v>#N/A</v>
      </c>
      <c r="BI131" s="115" t="e">
        <f>VLOOKUP($A131,'S50'!$C:$BQ,30,0)</f>
        <v>#N/A</v>
      </c>
      <c r="BJ131" s="115" t="e">
        <f>VLOOKUP($A131,'S50'!$C:$BQ,52,0)</f>
        <v>#N/A</v>
      </c>
      <c r="BK131" s="115" t="e">
        <f>VLOOKUP($A131,'S50'!$C:$BQ,59,0)</f>
        <v>#N/A</v>
      </c>
      <c r="BL131" s="115" t="e">
        <f>VLOOKUP($A131,'S50'!$C:$BQ,60,0)</f>
        <v>#N/A</v>
      </c>
    </row>
    <row r="132" spans="1:64" x14ac:dyDescent="0.2">
      <c r="A132" s="106" t="s">
        <v>195</v>
      </c>
      <c r="B132" s="107">
        <f>VLOOKUP($A132,'S0 remplacer avec S44'!$C:$BQ,32,0)</f>
        <v>268.2</v>
      </c>
      <c r="C132" s="107">
        <f>VLOOKUP($A132,'S0 remplacer avec S44'!$C:$BQ,39,0)</f>
        <v>0</v>
      </c>
      <c r="D132" s="107">
        <f>VLOOKUP($A132,'S0 remplacer avec S44'!$C:$BQ,40,0)</f>
        <v>25</v>
      </c>
      <c r="E132" s="107">
        <f>VLOOKUP($A132,'S0 remplacer avec S44'!$C:$BQ,22,0)</f>
        <v>2605.9686649999999</v>
      </c>
      <c r="F132" s="115">
        <f>VLOOKUP($A132,'S0 remplacer avec S44'!$C:$BQ,29,0)</f>
        <v>0</v>
      </c>
      <c r="G132" s="115">
        <f>VLOOKUP($A132,'S0 remplacer avec S44'!$C:$BQ,30,0)</f>
        <v>58</v>
      </c>
      <c r="H132" s="115">
        <f>VLOOKUP($A132,'S0 remplacer avec S44'!$C:$BQ,52,0)</f>
        <v>212.8</v>
      </c>
      <c r="I132" s="115">
        <f>VLOOKUP($A132,'S0 remplacer avec S44'!$C:$BQ,59,0)</f>
        <v>0</v>
      </c>
      <c r="J132" s="115">
        <f>VLOOKUP($A132,'S0 remplacer avec S44'!$C:$BQ,60,0)</f>
        <v>0</v>
      </c>
      <c r="K132" s="107" t="e">
        <f>VLOOKUP($A132,'S45'!$C:$BQ,32,0)</f>
        <v>#N/A</v>
      </c>
      <c r="L132" s="107" t="e">
        <f>VLOOKUP($A132,'S45'!$C:$BQ,39,0)</f>
        <v>#N/A</v>
      </c>
      <c r="M132" s="107" t="e">
        <f>VLOOKUP($A132,'S45'!$C:$BQ,40,0)</f>
        <v>#N/A</v>
      </c>
      <c r="N132" s="107" t="e">
        <f>VLOOKUP($A132,'S45'!$C:$BQ,22,0)</f>
        <v>#N/A</v>
      </c>
      <c r="O132" s="115" t="e">
        <f>VLOOKUP($A132,'S45'!$C:$BQ,29,0)</f>
        <v>#N/A</v>
      </c>
      <c r="P132" s="115" t="e">
        <f>VLOOKUP($A132,'S45'!$C:$BQ,30,0)</f>
        <v>#N/A</v>
      </c>
      <c r="Q132" s="115" t="e">
        <f>VLOOKUP($A132,'S45'!$C:$BQ,52,0)</f>
        <v>#N/A</v>
      </c>
      <c r="R132" s="115" t="e">
        <f>VLOOKUP($A132,'S45'!$C:$BQ,59,0)</f>
        <v>#N/A</v>
      </c>
      <c r="S132" s="115" t="e">
        <f>VLOOKUP($A132,'S45'!$C:$BQ,60,0)</f>
        <v>#N/A</v>
      </c>
      <c r="T132" s="107" t="e">
        <f>VLOOKUP($A132,'S46'!$C:$BQ,32,0)</f>
        <v>#N/A</v>
      </c>
      <c r="U132" s="107" t="e">
        <f>VLOOKUP($A132,'S46'!$C:$BQ,39,0)</f>
        <v>#N/A</v>
      </c>
      <c r="V132" s="107" t="e">
        <f>VLOOKUP($A132,'S46'!$C:$BQ,40,0)</f>
        <v>#N/A</v>
      </c>
      <c r="W132" s="107" t="e">
        <f>VLOOKUP($A132,'S46'!$C:$BQ,22,0)</f>
        <v>#N/A</v>
      </c>
      <c r="X132" s="115" t="e">
        <f>VLOOKUP($A132,'S46'!$C:$BQ,29,0)</f>
        <v>#N/A</v>
      </c>
      <c r="Y132" s="115" t="e">
        <f>VLOOKUP($A132,'S46'!$C:$BQ,30,0)</f>
        <v>#N/A</v>
      </c>
      <c r="Z132" s="115" t="e">
        <f>VLOOKUP($A132,'S46'!$C:$BQ,52,0)</f>
        <v>#N/A</v>
      </c>
      <c r="AA132" s="115" t="e">
        <f>VLOOKUP($A132,'S46'!$C:$BQ,59,0)</f>
        <v>#N/A</v>
      </c>
      <c r="AB132" s="115" t="e">
        <f>VLOOKUP($A132,'S46'!$C:$BQ,60,0)</f>
        <v>#N/A</v>
      </c>
      <c r="AC132" s="107" t="e">
        <f>VLOOKUP($A132,'S47'!$C:$BQ,32,0)</f>
        <v>#N/A</v>
      </c>
      <c r="AD132" s="107" t="e">
        <f>VLOOKUP($A132,'S47'!$C:$BQ,39,0)</f>
        <v>#N/A</v>
      </c>
      <c r="AE132" s="107" t="e">
        <f>VLOOKUP($A132,'S47'!$C:$BQ,40,0)</f>
        <v>#N/A</v>
      </c>
      <c r="AF132" s="107" t="e">
        <f>VLOOKUP($A132,'S47'!$C:$BQ,22,0)</f>
        <v>#N/A</v>
      </c>
      <c r="AG132" s="115" t="e">
        <f>VLOOKUP($A132,'S47'!$C:$BQ,29,0)</f>
        <v>#N/A</v>
      </c>
      <c r="AH132" s="115" t="e">
        <f>VLOOKUP($A132,'S47'!$C:$BQ,30,0)</f>
        <v>#N/A</v>
      </c>
      <c r="AI132" s="115" t="e">
        <f>VLOOKUP($A132,'S47'!$C:$BQ,52,0)</f>
        <v>#N/A</v>
      </c>
      <c r="AJ132" s="115" t="e">
        <f>VLOOKUP($A132,'S47'!$C:$BQ,59,0)</f>
        <v>#N/A</v>
      </c>
      <c r="AK132" s="115" t="e">
        <f>VLOOKUP($A132,'S47'!$C:$BQ,60,0)</f>
        <v>#N/A</v>
      </c>
      <c r="AL132" s="107" t="e">
        <f>VLOOKUP($A132,'S48'!$C:$BQ,32,0)</f>
        <v>#N/A</v>
      </c>
      <c r="AM132" s="107" t="e">
        <f>VLOOKUP($A132,'S48'!$C:$BQ,39,0)</f>
        <v>#N/A</v>
      </c>
      <c r="AN132" s="107" t="e">
        <f>VLOOKUP($A132,'S48'!$C:$BQ,40,0)</f>
        <v>#N/A</v>
      </c>
      <c r="AO132" s="107" t="e">
        <f>VLOOKUP($A132,'S48'!$C:$BQ,22,0)</f>
        <v>#N/A</v>
      </c>
      <c r="AP132" s="115" t="e">
        <f>VLOOKUP($A132,'S48'!$C:$BQ,29,0)</f>
        <v>#N/A</v>
      </c>
      <c r="AQ132" s="115" t="e">
        <f>VLOOKUP($A132,'S48'!$C:$BQ,30,0)</f>
        <v>#N/A</v>
      </c>
      <c r="AR132" s="115" t="e">
        <f>VLOOKUP($A132,'S48'!$C:$BQ,52,0)</f>
        <v>#N/A</v>
      </c>
      <c r="AS132" s="115" t="e">
        <f>VLOOKUP($A132,'S48'!$C:$BQ,59,0)</f>
        <v>#N/A</v>
      </c>
      <c r="AT132" s="115" t="e">
        <f>VLOOKUP($A132,'S48'!$C:$BQ,60,0)</f>
        <v>#N/A</v>
      </c>
      <c r="AU132" s="107" t="e">
        <f>VLOOKUP($A132,'S49'!$C:$BQ,32,0)</f>
        <v>#N/A</v>
      </c>
      <c r="AV132" s="107" t="e">
        <f>VLOOKUP($A132,'S49'!$C:$BQ,39,0)</f>
        <v>#N/A</v>
      </c>
      <c r="AW132" s="107" t="e">
        <f>VLOOKUP($A132,'S49'!$C:$BQ,40,0)</f>
        <v>#N/A</v>
      </c>
      <c r="AX132" s="107" t="e">
        <f>VLOOKUP($A132,'S49'!$C:$BQ,22,0)</f>
        <v>#N/A</v>
      </c>
      <c r="AY132" s="115" t="e">
        <f>VLOOKUP($A132,'S49'!$C:$BQ,29,0)</f>
        <v>#N/A</v>
      </c>
      <c r="AZ132" s="115" t="e">
        <f>VLOOKUP($A132,'S49'!$C:$BQ,30,0)</f>
        <v>#N/A</v>
      </c>
      <c r="BA132" s="115" t="e">
        <f>VLOOKUP($A132,'S49'!$C:$BQ,52,0)</f>
        <v>#N/A</v>
      </c>
      <c r="BB132" s="115" t="e">
        <f>VLOOKUP($A132,'S49'!$C:$BQ,59,0)</f>
        <v>#N/A</v>
      </c>
      <c r="BC132" s="115" t="e">
        <f>VLOOKUP($A132,'S49'!$C:$BQ,60,0)</f>
        <v>#N/A</v>
      </c>
      <c r="BD132" s="107" t="e">
        <f>VLOOKUP($A132,'S50'!$C:$BQ,32,0)</f>
        <v>#N/A</v>
      </c>
      <c r="BE132" s="107" t="e">
        <f>VLOOKUP($A132,'S50'!$C:$BQ,39,0)</f>
        <v>#N/A</v>
      </c>
      <c r="BF132" s="107" t="e">
        <f>VLOOKUP($A132,'S50'!$C:$BQ,40,0)</f>
        <v>#N/A</v>
      </c>
      <c r="BG132" s="107" t="e">
        <f>VLOOKUP($A132,'S50'!$C:$BQ,22,0)</f>
        <v>#N/A</v>
      </c>
      <c r="BH132" s="115" t="e">
        <f>VLOOKUP($A132,'S50'!$C:$BQ,29,0)</f>
        <v>#N/A</v>
      </c>
      <c r="BI132" s="115" t="e">
        <f>VLOOKUP($A132,'S50'!$C:$BQ,30,0)</f>
        <v>#N/A</v>
      </c>
      <c r="BJ132" s="115" t="e">
        <f>VLOOKUP($A132,'S50'!$C:$BQ,52,0)</f>
        <v>#N/A</v>
      </c>
      <c r="BK132" s="115" t="e">
        <f>VLOOKUP($A132,'S50'!$C:$BQ,59,0)</f>
        <v>#N/A</v>
      </c>
      <c r="BL132" s="115" t="e">
        <f>VLOOKUP($A132,'S50'!$C:$BQ,60,0)</f>
        <v>#N/A</v>
      </c>
    </row>
    <row r="133" spans="1:64" x14ac:dyDescent="0.2">
      <c r="A133" s="106" t="s">
        <v>196</v>
      </c>
      <c r="B133" s="107">
        <f>VLOOKUP($A133,'S0 remplacer avec S44'!$C:$BQ,32,0)</f>
        <v>147.85</v>
      </c>
      <c r="C133" s="107">
        <f>VLOOKUP($A133,'S0 remplacer avec S44'!$C:$BQ,39,0)</f>
        <v>28</v>
      </c>
      <c r="D133" s="107">
        <f>VLOOKUP($A133,'S0 remplacer avec S44'!$C:$BQ,40,0)</f>
        <v>63</v>
      </c>
      <c r="E133" s="107">
        <f>VLOOKUP($A133,'S0 remplacer avec S44'!$C:$BQ,22,0)</f>
        <v>1659.5316399999999</v>
      </c>
      <c r="F133" s="115">
        <f>VLOOKUP($A133,'S0 remplacer avec S44'!$C:$BQ,29,0)</f>
        <v>0</v>
      </c>
      <c r="G133" s="115">
        <f>VLOOKUP($A133,'S0 remplacer avec S44'!$C:$BQ,30,0)</f>
        <v>253</v>
      </c>
      <c r="H133" s="115">
        <f>VLOOKUP($A133,'S0 remplacer avec S44'!$C:$BQ,52,0)</f>
        <v>105.6</v>
      </c>
      <c r="I133" s="115">
        <f>VLOOKUP($A133,'S0 remplacer avec S44'!$C:$BQ,59,0)</f>
        <v>0</v>
      </c>
      <c r="J133" s="115">
        <f>VLOOKUP($A133,'S0 remplacer avec S44'!$C:$BQ,60,0)</f>
        <v>2</v>
      </c>
      <c r="K133" s="107" t="e">
        <f>VLOOKUP($A133,'S45'!$C:$BQ,32,0)</f>
        <v>#N/A</v>
      </c>
      <c r="L133" s="107" t="e">
        <f>VLOOKUP($A133,'S45'!$C:$BQ,39,0)</f>
        <v>#N/A</v>
      </c>
      <c r="M133" s="107" t="e">
        <f>VLOOKUP($A133,'S45'!$C:$BQ,40,0)</f>
        <v>#N/A</v>
      </c>
      <c r="N133" s="107" t="e">
        <f>VLOOKUP($A133,'S45'!$C:$BQ,22,0)</f>
        <v>#N/A</v>
      </c>
      <c r="O133" s="115" t="e">
        <f>VLOOKUP($A133,'S45'!$C:$BQ,29,0)</f>
        <v>#N/A</v>
      </c>
      <c r="P133" s="115" t="e">
        <f>VLOOKUP($A133,'S45'!$C:$BQ,30,0)</f>
        <v>#N/A</v>
      </c>
      <c r="Q133" s="115" t="e">
        <f>VLOOKUP($A133,'S45'!$C:$BQ,52,0)</f>
        <v>#N/A</v>
      </c>
      <c r="R133" s="115" t="e">
        <f>VLOOKUP($A133,'S45'!$C:$BQ,59,0)</f>
        <v>#N/A</v>
      </c>
      <c r="S133" s="115" t="e">
        <f>VLOOKUP($A133,'S45'!$C:$BQ,60,0)</f>
        <v>#N/A</v>
      </c>
      <c r="T133" s="107" t="e">
        <f>VLOOKUP($A133,'S46'!$C:$BQ,32,0)</f>
        <v>#N/A</v>
      </c>
      <c r="U133" s="107" t="e">
        <f>VLOOKUP($A133,'S46'!$C:$BQ,39,0)</f>
        <v>#N/A</v>
      </c>
      <c r="V133" s="107" t="e">
        <f>VLOOKUP($A133,'S46'!$C:$BQ,40,0)</f>
        <v>#N/A</v>
      </c>
      <c r="W133" s="107" t="e">
        <f>VLOOKUP($A133,'S46'!$C:$BQ,22,0)</f>
        <v>#N/A</v>
      </c>
      <c r="X133" s="115" t="e">
        <f>VLOOKUP($A133,'S46'!$C:$BQ,29,0)</f>
        <v>#N/A</v>
      </c>
      <c r="Y133" s="115" t="e">
        <f>VLOOKUP($A133,'S46'!$C:$BQ,30,0)</f>
        <v>#N/A</v>
      </c>
      <c r="Z133" s="115" t="e">
        <f>VLOOKUP($A133,'S46'!$C:$BQ,52,0)</f>
        <v>#N/A</v>
      </c>
      <c r="AA133" s="115" t="e">
        <f>VLOOKUP($A133,'S46'!$C:$BQ,59,0)</f>
        <v>#N/A</v>
      </c>
      <c r="AB133" s="115" t="e">
        <f>VLOOKUP($A133,'S46'!$C:$BQ,60,0)</f>
        <v>#N/A</v>
      </c>
      <c r="AC133" s="107" t="e">
        <f>VLOOKUP($A133,'S47'!$C:$BQ,32,0)</f>
        <v>#N/A</v>
      </c>
      <c r="AD133" s="107" t="e">
        <f>VLOOKUP($A133,'S47'!$C:$BQ,39,0)</f>
        <v>#N/A</v>
      </c>
      <c r="AE133" s="107" t="e">
        <f>VLOOKUP($A133,'S47'!$C:$BQ,40,0)</f>
        <v>#N/A</v>
      </c>
      <c r="AF133" s="107" t="e">
        <f>VLOOKUP($A133,'S47'!$C:$BQ,22,0)</f>
        <v>#N/A</v>
      </c>
      <c r="AG133" s="115" t="e">
        <f>VLOOKUP($A133,'S47'!$C:$BQ,29,0)</f>
        <v>#N/A</v>
      </c>
      <c r="AH133" s="115" t="e">
        <f>VLOOKUP($A133,'S47'!$C:$BQ,30,0)</f>
        <v>#N/A</v>
      </c>
      <c r="AI133" s="115" t="e">
        <f>VLOOKUP($A133,'S47'!$C:$BQ,52,0)</f>
        <v>#N/A</v>
      </c>
      <c r="AJ133" s="115" t="e">
        <f>VLOOKUP($A133,'S47'!$C:$BQ,59,0)</f>
        <v>#N/A</v>
      </c>
      <c r="AK133" s="115" t="e">
        <f>VLOOKUP($A133,'S47'!$C:$BQ,60,0)</f>
        <v>#N/A</v>
      </c>
      <c r="AL133" s="107" t="e">
        <f>VLOOKUP($A133,'S48'!$C:$BQ,32,0)</f>
        <v>#N/A</v>
      </c>
      <c r="AM133" s="107" t="e">
        <f>VLOOKUP($A133,'S48'!$C:$BQ,39,0)</f>
        <v>#N/A</v>
      </c>
      <c r="AN133" s="107" t="e">
        <f>VLOOKUP($A133,'S48'!$C:$BQ,40,0)</f>
        <v>#N/A</v>
      </c>
      <c r="AO133" s="107" t="e">
        <f>VLOOKUP($A133,'S48'!$C:$BQ,22,0)</f>
        <v>#N/A</v>
      </c>
      <c r="AP133" s="115" t="e">
        <f>VLOOKUP($A133,'S48'!$C:$BQ,29,0)</f>
        <v>#N/A</v>
      </c>
      <c r="AQ133" s="115" t="e">
        <f>VLOOKUP($A133,'S48'!$C:$BQ,30,0)</f>
        <v>#N/A</v>
      </c>
      <c r="AR133" s="115" t="e">
        <f>VLOOKUP($A133,'S48'!$C:$BQ,52,0)</f>
        <v>#N/A</v>
      </c>
      <c r="AS133" s="115" t="e">
        <f>VLOOKUP($A133,'S48'!$C:$BQ,59,0)</f>
        <v>#N/A</v>
      </c>
      <c r="AT133" s="115" t="e">
        <f>VLOOKUP($A133,'S48'!$C:$BQ,60,0)</f>
        <v>#N/A</v>
      </c>
      <c r="AU133" s="107" t="e">
        <f>VLOOKUP($A133,'S49'!$C:$BQ,32,0)</f>
        <v>#N/A</v>
      </c>
      <c r="AV133" s="107" t="e">
        <f>VLOOKUP($A133,'S49'!$C:$BQ,39,0)</f>
        <v>#N/A</v>
      </c>
      <c r="AW133" s="107" t="e">
        <f>VLOOKUP($A133,'S49'!$C:$BQ,40,0)</f>
        <v>#N/A</v>
      </c>
      <c r="AX133" s="107" t="e">
        <f>VLOOKUP($A133,'S49'!$C:$BQ,22,0)</f>
        <v>#N/A</v>
      </c>
      <c r="AY133" s="115" t="e">
        <f>VLOOKUP($A133,'S49'!$C:$BQ,29,0)</f>
        <v>#N/A</v>
      </c>
      <c r="AZ133" s="115" t="e">
        <f>VLOOKUP($A133,'S49'!$C:$BQ,30,0)</f>
        <v>#N/A</v>
      </c>
      <c r="BA133" s="115" t="e">
        <f>VLOOKUP($A133,'S49'!$C:$BQ,52,0)</f>
        <v>#N/A</v>
      </c>
      <c r="BB133" s="115" t="e">
        <f>VLOOKUP($A133,'S49'!$C:$BQ,59,0)</f>
        <v>#N/A</v>
      </c>
      <c r="BC133" s="115" t="e">
        <f>VLOOKUP($A133,'S49'!$C:$BQ,60,0)</f>
        <v>#N/A</v>
      </c>
      <c r="BD133" s="107" t="e">
        <f>VLOOKUP($A133,'S50'!$C:$BQ,32,0)</f>
        <v>#N/A</v>
      </c>
      <c r="BE133" s="107" t="e">
        <f>VLOOKUP($A133,'S50'!$C:$BQ,39,0)</f>
        <v>#N/A</v>
      </c>
      <c r="BF133" s="107" t="e">
        <f>VLOOKUP($A133,'S50'!$C:$BQ,40,0)</f>
        <v>#N/A</v>
      </c>
      <c r="BG133" s="107" t="e">
        <f>VLOOKUP($A133,'S50'!$C:$BQ,22,0)</f>
        <v>#N/A</v>
      </c>
      <c r="BH133" s="115" t="e">
        <f>VLOOKUP($A133,'S50'!$C:$BQ,29,0)</f>
        <v>#N/A</v>
      </c>
      <c r="BI133" s="115" t="e">
        <f>VLOOKUP($A133,'S50'!$C:$BQ,30,0)</f>
        <v>#N/A</v>
      </c>
      <c r="BJ133" s="115" t="e">
        <f>VLOOKUP($A133,'S50'!$C:$BQ,52,0)</f>
        <v>#N/A</v>
      </c>
      <c r="BK133" s="115" t="e">
        <f>VLOOKUP($A133,'S50'!$C:$BQ,59,0)</f>
        <v>#N/A</v>
      </c>
      <c r="BL133" s="115" t="e">
        <f>VLOOKUP($A133,'S50'!$C:$BQ,60,0)</f>
        <v>#N/A</v>
      </c>
    </row>
    <row r="134" spans="1:64" x14ac:dyDescent="0.2">
      <c r="A134" s="106" t="s">
        <v>197</v>
      </c>
      <c r="B134" s="107">
        <f>VLOOKUP($A134,'S0 remplacer avec S44'!$C:$BQ,32,0)</f>
        <v>390.5</v>
      </c>
      <c r="C134" s="107">
        <f>VLOOKUP($A134,'S0 remplacer avec S44'!$C:$BQ,39,0)</f>
        <v>158</v>
      </c>
      <c r="D134" s="107">
        <f>VLOOKUP($A134,'S0 remplacer avec S44'!$C:$BQ,40,0)</f>
        <v>268</v>
      </c>
      <c r="E134" s="107">
        <f>VLOOKUP($A134,'S0 remplacer avec S44'!$C:$BQ,22,0)</f>
        <v>4431.7639150000005</v>
      </c>
      <c r="F134" s="115">
        <f>VLOOKUP($A134,'S0 remplacer avec S44'!$C:$BQ,29,0)</f>
        <v>553</v>
      </c>
      <c r="G134" s="115">
        <f>VLOOKUP($A134,'S0 remplacer avec S44'!$C:$BQ,30,0)</f>
        <v>1550</v>
      </c>
      <c r="H134" s="115">
        <f>VLOOKUP($A134,'S0 remplacer avec S44'!$C:$BQ,52,0)</f>
        <v>293.8</v>
      </c>
      <c r="I134" s="115">
        <f>VLOOKUP($A134,'S0 remplacer avec S44'!$C:$BQ,59,0)</f>
        <v>0</v>
      </c>
      <c r="J134" s="115">
        <f>VLOOKUP($A134,'S0 remplacer avec S44'!$C:$BQ,60,0)</f>
        <v>41</v>
      </c>
      <c r="K134" s="107" t="e">
        <f>VLOOKUP($A134,'S45'!$C:$BQ,32,0)</f>
        <v>#N/A</v>
      </c>
      <c r="L134" s="107" t="e">
        <f>VLOOKUP($A134,'S45'!$C:$BQ,39,0)</f>
        <v>#N/A</v>
      </c>
      <c r="M134" s="107" t="e">
        <f>VLOOKUP($A134,'S45'!$C:$BQ,40,0)</f>
        <v>#N/A</v>
      </c>
      <c r="N134" s="107" t="e">
        <f>VLOOKUP($A134,'S45'!$C:$BQ,22,0)</f>
        <v>#N/A</v>
      </c>
      <c r="O134" s="115" t="e">
        <f>VLOOKUP($A134,'S45'!$C:$BQ,29,0)</f>
        <v>#N/A</v>
      </c>
      <c r="P134" s="115" t="e">
        <f>VLOOKUP($A134,'S45'!$C:$BQ,30,0)</f>
        <v>#N/A</v>
      </c>
      <c r="Q134" s="115" t="e">
        <f>VLOOKUP($A134,'S45'!$C:$BQ,52,0)</f>
        <v>#N/A</v>
      </c>
      <c r="R134" s="115" t="e">
        <f>VLOOKUP($A134,'S45'!$C:$BQ,59,0)</f>
        <v>#N/A</v>
      </c>
      <c r="S134" s="115" t="e">
        <f>VLOOKUP($A134,'S45'!$C:$BQ,60,0)</f>
        <v>#N/A</v>
      </c>
      <c r="T134" s="107" t="e">
        <f>VLOOKUP($A134,'S46'!$C:$BQ,32,0)</f>
        <v>#N/A</v>
      </c>
      <c r="U134" s="107" t="e">
        <f>VLOOKUP($A134,'S46'!$C:$BQ,39,0)</f>
        <v>#N/A</v>
      </c>
      <c r="V134" s="107" t="e">
        <f>VLOOKUP($A134,'S46'!$C:$BQ,40,0)</f>
        <v>#N/A</v>
      </c>
      <c r="W134" s="107" t="e">
        <f>VLOOKUP($A134,'S46'!$C:$BQ,22,0)</f>
        <v>#N/A</v>
      </c>
      <c r="X134" s="115" t="e">
        <f>VLOOKUP($A134,'S46'!$C:$BQ,29,0)</f>
        <v>#N/A</v>
      </c>
      <c r="Y134" s="115" t="e">
        <f>VLOOKUP($A134,'S46'!$C:$BQ,30,0)</f>
        <v>#N/A</v>
      </c>
      <c r="Z134" s="115" t="e">
        <f>VLOOKUP($A134,'S46'!$C:$BQ,52,0)</f>
        <v>#N/A</v>
      </c>
      <c r="AA134" s="115" t="e">
        <f>VLOOKUP($A134,'S46'!$C:$BQ,59,0)</f>
        <v>#N/A</v>
      </c>
      <c r="AB134" s="115" t="e">
        <f>VLOOKUP($A134,'S46'!$C:$BQ,60,0)</f>
        <v>#N/A</v>
      </c>
      <c r="AC134" s="107" t="e">
        <f>VLOOKUP($A134,'S47'!$C:$BQ,32,0)</f>
        <v>#N/A</v>
      </c>
      <c r="AD134" s="107" t="e">
        <f>VLOOKUP($A134,'S47'!$C:$BQ,39,0)</f>
        <v>#N/A</v>
      </c>
      <c r="AE134" s="107" t="e">
        <f>VLOOKUP($A134,'S47'!$C:$BQ,40,0)</f>
        <v>#N/A</v>
      </c>
      <c r="AF134" s="107" t="e">
        <f>VLOOKUP($A134,'S47'!$C:$BQ,22,0)</f>
        <v>#N/A</v>
      </c>
      <c r="AG134" s="115" t="e">
        <f>VLOOKUP($A134,'S47'!$C:$BQ,29,0)</f>
        <v>#N/A</v>
      </c>
      <c r="AH134" s="115" t="e">
        <f>VLOOKUP($A134,'S47'!$C:$BQ,30,0)</f>
        <v>#N/A</v>
      </c>
      <c r="AI134" s="115" t="e">
        <f>VLOOKUP($A134,'S47'!$C:$BQ,52,0)</f>
        <v>#N/A</v>
      </c>
      <c r="AJ134" s="115" t="e">
        <f>VLOOKUP($A134,'S47'!$C:$BQ,59,0)</f>
        <v>#N/A</v>
      </c>
      <c r="AK134" s="115" t="e">
        <f>VLOOKUP($A134,'S47'!$C:$BQ,60,0)</f>
        <v>#N/A</v>
      </c>
      <c r="AL134" s="107" t="e">
        <f>VLOOKUP($A134,'S48'!$C:$BQ,32,0)</f>
        <v>#N/A</v>
      </c>
      <c r="AM134" s="107" t="e">
        <f>VLOOKUP($A134,'S48'!$C:$BQ,39,0)</f>
        <v>#N/A</v>
      </c>
      <c r="AN134" s="107" t="e">
        <f>VLOOKUP($A134,'S48'!$C:$BQ,40,0)</f>
        <v>#N/A</v>
      </c>
      <c r="AO134" s="107" t="e">
        <f>VLOOKUP($A134,'S48'!$C:$BQ,22,0)</f>
        <v>#N/A</v>
      </c>
      <c r="AP134" s="115" t="e">
        <f>VLOOKUP($A134,'S48'!$C:$BQ,29,0)</f>
        <v>#N/A</v>
      </c>
      <c r="AQ134" s="115" t="e">
        <f>VLOOKUP($A134,'S48'!$C:$BQ,30,0)</f>
        <v>#N/A</v>
      </c>
      <c r="AR134" s="115" t="e">
        <f>VLOOKUP($A134,'S48'!$C:$BQ,52,0)</f>
        <v>#N/A</v>
      </c>
      <c r="AS134" s="115" t="e">
        <f>VLOOKUP($A134,'S48'!$C:$BQ,59,0)</f>
        <v>#N/A</v>
      </c>
      <c r="AT134" s="115" t="e">
        <f>VLOOKUP($A134,'S48'!$C:$BQ,60,0)</f>
        <v>#N/A</v>
      </c>
      <c r="AU134" s="107" t="e">
        <f>VLOOKUP($A134,'S49'!$C:$BQ,32,0)</f>
        <v>#N/A</v>
      </c>
      <c r="AV134" s="107" t="e">
        <f>VLOOKUP($A134,'S49'!$C:$BQ,39,0)</f>
        <v>#N/A</v>
      </c>
      <c r="AW134" s="107" t="e">
        <f>VLOOKUP($A134,'S49'!$C:$BQ,40,0)</f>
        <v>#N/A</v>
      </c>
      <c r="AX134" s="107" t="e">
        <f>VLOOKUP($A134,'S49'!$C:$BQ,22,0)</f>
        <v>#N/A</v>
      </c>
      <c r="AY134" s="115" t="e">
        <f>VLOOKUP($A134,'S49'!$C:$BQ,29,0)</f>
        <v>#N/A</v>
      </c>
      <c r="AZ134" s="115" t="e">
        <f>VLOOKUP($A134,'S49'!$C:$BQ,30,0)</f>
        <v>#N/A</v>
      </c>
      <c r="BA134" s="115" t="e">
        <f>VLOOKUP($A134,'S49'!$C:$BQ,52,0)</f>
        <v>#N/A</v>
      </c>
      <c r="BB134" s="115" t="e">
        <f>VLOOKUP($A134,'S49'!$C:$BQ,59,0)</f>
        <v>#N/A</v>
      </c>
      <c r="BC134" s="115" t="e">
        <f>VLOOKUP($A134,'S49'!$C:$BQ,60,0)</f>
        <v>#N/A</v>
      </c>
      <c r="BD134" s="107" t="e">
        <f>VLOOKUP($A134,'S50'!$C:$BQ,32,0)</f>
        <v>#N/A</v>
      </c>
      <c r="BE134" s="107" t="e">
        <f>VLOOKUP($A134,'S50'!$C:$BQ,39,0)</f>
        <v>#N/A</v>
      </c>
      <c r="BF134" s="107" t="e">
        <f>VLOOKUP($A134,'S50'!$C:$BQ,40,0)</f>
        <v>#N/A</v>
      </c>
      <c r="BG134" s="107" t="e">
        <f>VLOOKUP($A134,'S50'!$C:$BQ,22,0)</f>
        <v>#N/A</v>
      </c>
      <c r="BH134" s="115" t="e">
        <f>VLOOKUP($A134,'S50'!$C:$BQ,29,0)</f>
        <v>#N/A</v>
      </c>
      <c r="BI134" s="115" t="e">
        <f>VLOOKUP($A134,'S50'!$C:$BQ,30,0)</f>
        <v>#N/A</v>
      </c>
      <c r="BJ134" s="115" t="e">
        <f>VLOOKUP($A134,'S50'!$C:$BQ,52,0)</f>
        <v>#N/A</v>
      </c>
      <c r="BK134" s="115" t="e">
        <f>VLOOKUP($A134,'S50'!$C:$BQ,59,0)</f>
        <v>#N/A</v>
      </c>
      <c r="BL134" s="115" t="e">
        <f>VLOOKUP($A134,'S50'!$C:$BQ,60,0)</f>
        <v>#N/A</v>
      </c>
    </row>
    <row r="135" spans="1:64" x14ac:dyDescent="0.2">
      <c r="A135" s="106" t="s">
        <v>198</v>
      </c>
      <c r="B135" s="107">
        <f>VLOOKUP($A135,'S0 remplacer avec S44'!$C:$BQ,32,0)</f>
        <v>255.8</v>
      </c>
      <c r="C135" s="107">
        <f>VLOOKUP($A135,'S0 remplacer avec S44'!$C:$BQ,39,0)</f>
        <v>0</v>
      </c>
      <c r="D135" s="107">
        <f>VLOOKUP($A135,'S0 remplacer avec S44'!$C:$BQ,40,0)</f>
        <v>0</v>
      </c>
      <c r="E135" s="107">
        <f>VLOOKUP($A135,'S0 remplacer avec S44'!$C:$BQ,22,0)</f>
        <v>1966.0537899999999</v>
      </c>
      <c r="F135" s="115">
        <f>VLOOKUP($A135,'S0 remplacer avec S44'!$C:$BQ,29,0)</f>
        <v>0</v>
      </c>
      <c r="G135" s="115">
        <f>VLOOKUP($A135,'S0 remplacer avec S44'!$C:$BQ,30,0)</f>
        <v>46</v>
      </c>
      <c r="H135" s="115">
        <f>VLOOKUP($A135,'S0 remplacer avec S44'!$C:$BQ,52,0)</f>
        <v>147.80000000000001</v>
      </c>
      <c r="I135" s="115">
        <f>VLOOKUP($A135,'S0 remplacer avec S44'!$C:$BQ,59,0)</f>
        <v>0</v>
      </c>
      <c r="J135" s="115">
        <f>VLOOKUP($A135,'S0 remplacer avec S44'!$C:$BQ,60,0)</f>
        <v>0</v>
      </c>
      <c r="K135" s="107" t="e">
        <f>VLOOKUP($A135,'S45'!$C:$BQ,32,0)</f>
        <v>#N/A</v>
      </c>
      <c r="L135" s="107" t="e">
        <f>VLOOKUP($A135,'S45'!$C:$BQ,39,0)</f>
        <v>#N/A</v>
      </c>
      <c r="M135" s="107" t="e">
        <f>VLOOKUP($A135,'S45'!$C:$BQ,40,0)</f>
        <v>#N/A</v>
      </c>
      <c r="N135" s="107" t="e">
        <f>VLOOKUP($A135,'S45'!$C:$BQ,22,0)</f>
        <v>#N/A</v>
      </c>
      <c r="O135" s="115" t="e">
        <f>VLOOKUP($A135,'S45'!$C:$BQ,29,0)</f>
        <v>#N/A</v>
      </c>
      <c r="P135" s="115" t="e">
        <f>VLOOKUP($A135,'S45'!$C:$BQ,30,0)</f>
        <v>#N/A</v>
      </c>
      <c r="Q135" s="115" t="e">
        <f>VLOOKUP($A135,'S45'!$C:$BQ,52,0)</f>
        <v>#N/A</v>
      </c>
      <c r="R135" s="115" t="e">
        <f>VLOOKUP($A135,'S45'!$C:$BQ,59,0)</f>
        <v>#N/A</v>
      </c>
      <c r="S135" s="115" t="e">
        <f>VLOOKUP($A135,'S45'!$C:$BQ,60,0)</f>
        <v>#N/A</v>
      </c>
      <c r="T135" s="107" t="e">
        <f>VLOOKUP($A135,'S46'!$C:$BQ,32,0)</f>
        <v>#N/A</v>
      </c>
      <c r="U135" s="107" t="e">
        <f>VLOOKUP($A135,'S46'!$C:$BQ,39,0)</f>
        <v>#N/A</v>
      </c>
      <c r="V135" s="107" t="e">
        <f>VLOOKUP($A135,'S46'!$C:$BQ,40,0)</f>
        <v>#N/A</v>
      </c>
      <c r="W135" s="107" t="e">
        <f>VLOOKUP($A135,'S46'!$C:$BQ,22,0)</f>
        <v>#N/A</v>
      </c>
      <c r="X135" s="115" t="e">
        <f>VLOOKUP($A135,'S46'!$C:$BQ,29,0)</f>
        <v>#N/A</v>
      </c>
      <c r="Y135" s="115" t="e">
        <f>VLOOKUP($A135,'S46'!$C:$BQ,30,0)</f>
        <v>#N/A</v>
      </c>
      <c r="Z135" s="115" t="e">
        <f>VLOOKUP($A135,'S46'!$C:$BQ,52,0)</f>
        <v>#N/A</v>
      </c>
      <c r="AA135" s="115" t="e">
        <f>VLOOKUP($A135,'S46'!$C:$BQ,59,0)</f>
        <v>#N/A</v>
      </c>
      <c r="AB135" s="115" t="e">
        <f>VLOOKUP($A135,'S46'!$C:$BQ,60,0)</f>
        <v>#N/A</v>
      </c>
      <c r="AC135" s="107" t="e">
        <f>VLOOKUP($A135,'S47'!$C:$BQ,32,0)</f>
        <v>#N/A</v>
      </c>
      <c r="AD135" s="107" t="e">
        <f>VLOOKUP($A135,'S47'!$C:$BQ,39,0)</f>
        <v>#N/A</v>
      </c>
      <c r="AE135" s="107" t="e">
        <f>VLOOKUP($A135,'S47'!$C:$BQ,40,0)</f>
        <v>#N/A</v>
      </c>
      <c r="AF135" s="107" t="e">
        <f>VLOOKUP($A135,'S47'!$C:$BQ,22,0)</f>
        <v>#N/A</v>
      </c>
      <c r="AG135" s="115" t="e">
        <f>VLOOKUP($A135,'S47'!$C:$BQ,29,0)</f>
        <v>#N/A</v>
      </c>
      <c r="AH135" s="115" t="e">
        <f>VLOOKUP($A135,'S47'!$C:$BQ,30,0)</f>
        <v>#N/A</v>
      </c>
      <c r="AI135" s="115" t="e">
        <f>VLOOKUP($A135,'S47'!$C:$BQ,52,0)</f>
        <v>#N/A</v>
      </c>
      <c r="AJ135" s="115" t="e">
        <f>VLOOKUP($A135,'S47'!$C:$BQ,59,0)</f>
        <v>#N/A</v>
      </c>
      <c r="AK135" s="115" t="e">
        <f>VLOOKUP($A135,'S47'!$C:$BQ,60,0)</f>
        <v>#N/A</v>
      </c>
      <c r="AL135" s="107" t="e">
        <f>VLOOKUP($A135,'S48'!$C:$BQ,32,0)</f>
        <v>#N/A</v>
      </c>
      <c r="AM135" s="107" t="e">
        <f>VLOOKUP($A135,'S48'!$C:$BQ,39,0)</f>
        <v>#N/A</v>
      </c>
      <c r="AN135" s="107" t="e">
        <f>VLOOKUP($A135,'S48'!$C:$BQ,40,0)</f>
        <v>#N/A</v>
      </c>
      <c r="AO135" s="107" t="e">
        <f>VLOOKUP($A135,'S48'!$C:$BQ,22,0)</f>
        <v>#N/A</v>
      </c>
      <c r="AP135" s="115" t="e">
        <f>VLOOKUP($A135,'S48'!$C:$BQ,29,0)</f>
        <v>#N/A</v>
      </c>
      <c r="AQ135" s="115" t="e">
        <f>VLOOKUP($A135,'S48'!$C:$BQ,30,0)</f>
        <v>#N/A</v>
      </c>
      <c r="AR135" s="115" t="e">
        <f>VLOOKUP($A135,'S48'!$C:$BQ,52,0)</f>
        <v>#N/A</v>
      </c>
      <c r="AS135" s="115" t="e">
        <f>VLOOKUP($A135,'S48'!$C:$BQ,59,0)</f>
        <v>#N/A</v>
      </c>
      <c r="AT135" s="115" t="e">
        <f>VLOOKUP($A135,'S48'!$C:$BQ,60,0)</f>
        <v>#N/A</v>
      </c>
      <c r="AU135" s="107" t="e">
        <f>VLOOKUP($A135,'S49'!$C:$BQ,32,0)</f>
        <v>#N/A</v>
      </c>
      <c r="AV135" s="107" t="e">
        <f>VLOOKUP($A135,'S49'!$C:$BQ,39,0)</f>
        <v>#N/A</v>
      </c>
      <c r="AW135" s="107" t="e">
        <f>VLOOKUP($A135,'S49'!$C:$BQ,40,0)</f>
        <v>#N/A</v>
      </c>
      <c r="AX135" s="107" t="e">
        <f>VLOOKUP($A135,'S49'!$C:$BQ,22,0)</f>
        <v>#N/A</v>
      </c>
      <c r="AY135" s="115" t="e">
        <f>VLOOKUP($A135,'S49'!$C:$BQ,29,0)</f>
        <v>#N/A</v>
      </c>
      <c r="AZ135" s="115" t="e">
        <f>VLOOKUP($A135,'S49'!$C:$BQ,30,0)</f>
        <v>#N/A</v>
      </c>
      <c r="BA135" s="115" t="e">
        <f>VLOOKUP($A135,'S49'!$C:$BQ,52,0)</f>
        <v>#N/A</v>
      </c>
      <c r="BB135" s="115" t="e">
        <f>VLOOKUP($A135,'S49'!$C:$BQ,59,0)</f>
        <v>#N/A</v>
      </c>
      <c r="BC135" s="115" t="e">
        <f>VLOOKUP($A135,'S49'!$C:$BQ,60,0)</f>
        <v>#N/A</v>
      </c>
      <c r="BD135" s="107" t="e">
        <f>VLOOKUP($A135,'S50'!$C:$BQ,32,0)</f>
        <v>#N/A</v>
      </c>
      <c r="BE135" s="107" t="e">
        <f>VLOOKUP($A135,'S50'!$C:$BQ,39,0)</f>
        <v>#N/A</v>
      </c>
      <c r="BF135" s="107" t="e">
        <f>VLOOKUP($A135,'S50'!$C:$BQ,40,0)</f>
        <v>#N/A</v>
      </c>
      <c r="BG135" s="107" t="e">
        <f>VLOOKUP($A135,'S50'!$C:$BQ,22,0)</f>
        <v>#N/A</v>
      </c>
      <c r="BH135" s="115" t="e">
        <f>VLOOKUP($A135,'S50'!$C:$BQ,29,0)</f>
        <v>#N/A</v>
      </c>
      <c r="BI135" s="115" t="e">
        <f>VLOOKUP($A135,'S50'!$C:$BQ,30,0)</f>
        <v>#N/A</v>
      </c>
      <c r="BJ135" s="115" t="e">
        <f>VLOOKUP($A135,'S50'!$C:$BQ,52,0)</f>
        <v>#N/A</v>
      </c>
      <c r="BK135" s="115" t="e">
        <f>VLOOKUP($A135,'S50'!$C:$BQ,59,0)</f>
        <v>#N/A</v>
      </c>
      <c r="BL135" s="115" t="e">
        <f>VLOOKUP($A135,'S50'!$C:$BQ,60,0)</f>
        <v>#N/A</v>
      </c>
    </row>
    <row r="136" spans="1:64" x14ac:dyDescent="0.2">
      <c r="A136" s="106" t="s">
        <v>199</v>
      </c>
      <c r="B136" s="107">
        <f>VLOOKUP($A136,'S0 remplacer avec S44'!$C:$BQ,32,0)</f>
        <v>277.2</v>
      </c>
      <c r="C136" s="107">
        <f>VLOOKUP($A136,'S0 remplacer avec S44'!$C:$BQ,39,0)</f>
        <v>0</v>
      </c>
      <c r="D136" s="107">
        <f>VLOOKUP($A136,'S0 remplacer avec S44'!$C:$BQ,40,0)</f>
        <v>0</v>
      </c>
      <c r="E136" s="107">
        <f>VLOOKUP($A136,'S0 remplacer avec S44'!$C:$BQ,22,0)</f>
        <v>2466.9282699999999</v>
      </c>
      <c r="F136" s="115">
        <f>VLOOKUP($A136,'S0 remplacer avec S44'!$C:$BQ,29,0)</f>
        <v>0</v>
      </c>
      <c r="G136" s="115">
        <f>VLOOKUP($A136,'S0 remplacer avec S44'!$C:$BQ,30,0)</f>
        <v>0</v>
      </c>
      <c r="H136" s="115">
        <f>VLOOKUP($A136,'S0 remplacer avec S44'!$C:$BQ,52,0)</f>
        <v>161.4</v>
      </c>
      <c r="I136" s="115">
        <f>VLOOKUP($A136,'S0 remplacer avec S44'!$C:$BQ,59,0)</f>
        <v>0</v>
      </c>
      <c r="J136" s="115">
        <f>VLOOKUP($A136,'S0 remplacer avec S44'!$C:$BQ,60,0)</f>
        <v>0</v>
      </c>
      <c r="K136" s="107" t="e">
        <f>VLOOKUP($A136,'S45'!$C:$BQ,32,0)</f>
        <v>#N/A</v>
      </c>
      <c r="L136" s="107" t="e">
        <f>VLOOKUP($A136,'S45'!$C:$BQ,39,0)</f>
        <v>#N/A</v>
      </c>
      <c r="M136" s="107" t="e">
        <f>VLOOKUP($A136,'S45'!$C:$BQ,40,0)</f>
        <v>#N/A</v>
      </c>
      <c r="N136" s="107" t="e">
        <f>VLOOKUP($A136,'S45'!$C:$BQ,22,0)</f>
        <v>#N/A</v>
      </c>
      <c r="O136" s="115" t="e">
        <f>VLOOKUP($A136,'S45'!$C:$BQ,29,0)</f>
        <v>#N/A</v>
      </c>
      <c r="P136" s="115" t="e">
        <f>VLOOKUP($A136,'S45'!$C:$BQ,30,0)</f>
        <v>#N/A</v>
      </c>
      <c r="Q136" s="115" t="e">
        <f>VLOOKUP($A136,'S45'!$C:$BQ,52,0)</f>
        <v>#N/A</v>
      </c>
      <c r="R136" s="115" t="e">
        <f>VLOOKUP($A136,'S45'!$C:$BQ,59,0)</f>
        <v>#N/A</v>
      </c>
      <c r="S136" s="115" t="e">
        <f>VLOOKUP($A136,'S45'!$C:$BQ,60,0)</f>
        <v>#N/A</v>
      </c>
      <c r="T136" s="107" t="e">
        <f>VLOOKUP($A136,'S46'!$C:$BQ,32,0)</f>
        <v>#N/A</v>
      </c>
      <c r="U136" s="107" t="e">
        <f>VLOOKUP($A136,'S46'!$C:$BQ,39,0)</f>
        <v>#N/A</v>
      </c>
      <c r="V136" s="107" t="e">
        <f>VLOOKUP($A136,'S46'!$C:$BQ,40,0)</f>
        <v>#N/A</v>
      </c>
      <c r="W136" s="107" t="e">
        <f>VLOOKUP($A136,'S46'!$C:$BQ,22,0)</f>
        <v>#N/A</v>
      </c>
      <c r="X136" s="115" t="e">
        <f>VLOOKUP($A136,'S46'!$C:$BQ,29,0)</f>
        <v>#N/A</v>
      </c>
      <c r="Y136" s="115" t="e">
        <f>VLOOKUP($A136,'S46'!$C:$BQ,30,0)</f>
        <v>#N/A</v>
      </c>
      <c r="Z136" s="115" t="e">
        <f>VLOOKUP($A136,'S46'!$C:$BQ,52,0)</f>
        <v>#N/A</v>
      </c>
      <c r="AA136" s="115" t="e">
        <f>VLOOKUP($A136,'S46'!$C:$BQ,59,0)</f>
        <v>#N/A</v>
      </c>
      <c r="AB136" s="115" t="e">
        <f>VLOOKUP($A136,'S46'!$C:$BQ,60,0)</f>
        <v>#N/A</v>
      </c>
      <c r="AC136" s="107" t="e">
        <f>VLOOKUP($A136,'S47'!$C:$BQ,32,0)</f>
        <v>#N/A</v>
      </c>
      <c r="AD136" s="107" t="e">
        <f>VLOOKUP($A136,'S47'!$C:$BQ,39,0)</f>
        <v>#N/A</v>
      </c>
      <c r="AE136" s="107" t="e">
        <f>VLOOKUP($A136,'S47'!$C:$BQ,40,0)</f>
        <v>#N/A</v>
      </c>
      <c r="AF136" s="107" t="e">
        <f>VLOOKUP($A136,'S47'!$C:$BQ,22,0)</f>
        <v>#N/A</v>
      </c>
      <c r="AG136" s="115" t="e">
        <f>VLOOKUP($A136,'S47'!$C:$BQ,29,0)</f>
        <v>#N/A</v>
      </c>
      <c r="AH136" s="115" t="e">
        <f>VLOOKUP($A136,'S47'!$C:$BQ,30,0)</f>
        <v>#N/A</v>
      </c>
      <c r="AI136" s="115" t="e">
        <f>VLOOKUP($A136,'S47'!$C:$BQ,52,0)</f>
        <v>#N/A</v>
      </c>
      <c r="AJ136" s="115" t="e">
        <f>VLOOKUP($A136,'S47'!$C:$BQ,59,0)</f>
        <v>#N/A</v>
      </c>
      <c r="AK136" s="115" t="e">
        <f>VLOOKUP($A136,'S47'!$C:$BQ,60,0)</f>
        <v>#N/A</v>
      </c>
      <c r="AL136" s="107" t="e">
        <f>VLOOKUP($A136,'S48'!$C:$BQ,32,0)</f>
        <v>#N/A</v>
      </c>
      <c r="AM136" s="107" t="e">
        <f>VLOOKUP($A136,'S48'!$C:$BQ,39,0)</f>
        <v>#N/A</v>
      </c>
      <c r="AN136" s="107" t="e">
        <f>VLOOKUP($A136,'S48'!$C:$BQ,40,0)</f>
        <v>#N/A</v>
      </c>
      <c r="AO136" s="107" t="e">
        <f>VLOOKUP($A136,'S48'!$C:$BQ,22,0)</f>
        <v>#N/A</v>
      </c>
      <c r="AP136" s="115" t="e">
        <f>VLOOKUP($A136,'S48'!$C:$BQ,29,0)</f>
        <v>#N/A</v>
      </c>
      <c r="AQ136" s="115" t="e">
        <f>VLOOKUP($A136,'S48'!$C:$BQ,30,0)</f>
        <v>#N/A</v>
      </c>
      <c r="AR136" s="115" t="e">
        <f>VLOOKUP($A136,'S48'!$C:$BQ,52,0)</f>
        <v>#N/A</v>
      </c>
      <c r="AS136" s="115" t="e">
        <f>VLOOKUP($A136,'S48'!$C:$BQ,59,0)</f>
        <v>#N/A</v>
      </c>
      <c r="AT136" s="115" t="e">
        <f>VLOOKUP($A136,'S48'!$C:$BQ,60,0)</f>
        <v>#N/A</v>
      </c>
      <c r="AU136" s="107" t="e">
        <f>VLOOKUP($A136,'S49'!$C:$BQ,32,0)</f>
        <v>#N/A</v>
      </c>
      <c r="AV136" s="107" t="e">
        <f>VLOOKUP($A136,'S49'!$C:$BQ,39,0)</f>
        <v>#N/A</v>
      </c>
      <c r="AW136" s="107" t="e">
        <f>VLOOKUP($A136,'S49'!$C:$BQ,40,0)</f>
        <v>#N/A</v>
      </c>
      <c r="AX136" s="107" t="e">
        <f>VLOOKUP($A136,'S49'!$C:$BQ,22,0)</f>
        <v>#N/A</v>
      </c>
      <c r="AY136" s="115" t="e">
        <f>VLOOKUP($A136,'S49'!$C:$BQ,29,0)</f>
        <v>#N/A</v>
      </c>
      <c r="AZ136" s="115" t="e">
        <f>VLOOKUP($A136,'S49'!$C:$BQ,30,0)</f>
        <v>#N/A</v>
      </c>
      <c r="BA136" s="115" t="e">
        <f>VLOOKUP($A136,'S49'!$C:$BQ,52,0)</f>
        <v>#N/A</v>
      </c>
      <c r="BB136" s="115" t="e">
        <f>VLOOKUP($A136,'S49'!$C:$BQ,59,0)</f>
        <v>#N/A</v>
      </c>
      <c r="BC136" s="115" t="e">
        <f>VLOOKUP($A136,'S49'!$C:$BQ,60,0)</f>
        <v>#N/A</v>
      </c>
      <c r="BD136" s="107" t="e">
        <f>VLOOKUP($A136,'S50'!$C:$BQ,32,0)</f>
        <v>#N/A</v>
      </c>
      <c r="BE136" s="107" t="e">
        <f>VLOOKUP($A136,'S50'!$C:$BQ,39,0)</f>
        <v>#N/A</v>
      </c>
      <c r="BF136" s="107" t="e">
        <f>VLOOKUP($A136,'S50'!$C:$BQ,40,0)</f>
        <v>#N/A</v>
      </c>
      <c r="BG136" s="107" t="e">
        <f>VLOOKUP($A136,'S50'!$C:$BQ,22,0)</f>
        <v>#N/A</v>
      </c>
      <c r="BH136" s="115" t="e">
        <f>VLOOKUP($A136,'S50'!$C:$BQ,29,0)</f>
        <v>#N/A</v>
      </c>
      <c r="BI136" s="115" t="e">
        <f>VLOOKUP($A136,'S50'!$C:$BQ,30,0)</f>
        <v>#N/A</v>
      </c>
      <c r="BJ136" s="115" t="e">
        <f>VLOOKUP($A136,'S50'!$C:$BQ,52,0)</f>
        <v>#N/A</v>
      </c>
      <c r="BK136" s="115" t="e">
        <f>VLOOKUP($A136,'S50'!$C:$BQ,59,0)</f>
        <v>#N/A</v>
      </c>
      <c r="BL136" s="115" t="e">
        <f>VLOOKUP($A136,'S50'!$C:$BQ,60,0)</f>
        <v>#N/A</v>
      </c>
    </row>
    <row r="137" spans="1:64" x14ac:dyDescent="0.2">
      <c r="A137" s="106" t="s">
        <v>200</v>
      </c>
      <c r="B137" s="107">
        <f>VLOOKUP($A137,'S0 remplacer avec S44'!$C:$BQ,32,0)</f>
        <v>51.6</v>
      </c>
      <c r="C137" s="107">
        <f>VLOOKUP($A137,'S0 remplacer avec S44'!$C:$BQ,39,0)</f>
        <v>0</v>
      </c>
      <c r="D137" s="107">
        <f>VLOOKUP($A137,'S0 remplacer avec S44'!$C:$BQ,40,0)</f>
        <v>0</v>
      </c>
      <c r="E137" s="107">
        <f>VLOOKUP($A137,'S0 remplacer avec S44'!$C:$BQ,22,0)</f>
        <v>389.79370999999998</v>
      </c>
      <c r="F137" s="115">
        <f>VLOOKUP($A137,'S0 remplacer avec S44'!$C:$BQ,29,0)</f>
        <v>0</v>
      </c>
      <c r="G137" s="115">
        <f>VLOOKUP($A137,'S0 remplacer avec S44'!$C:$BQ,30,0)</f>
        <v>40</v>
      </c>
      <c r="H137" s="115">
        <f>VLOOKUP($A137,'S0 remplacer avec S44'!$C:$BQ,52,0)</f>
        <v>26.2</v>
      </c>
      <c r="I137" s="115">
        <f>VLOOKUP($A137,'S0 remplacer avec S44'!$C:$BQ,59,0)</f>
        <v>0</v>
      </c>
      <c r="J137" s="115">
        <f>VLOOKUP($A137,'S0 remplacer avec S44'!$C:$BQ,60,0)</f>
        <v>0</v>
      </c>
      <c r="K137" s="107" t="e">
        <f>VLOOKUP($A137,'S45'!$C:$BQ,32,0)</f>
        <v>#N/A</v>
      </c>
      <c r="L137" s="107" t="e">
        <f>VLOOKUP($A137,'S45'!$C:$BQ,39,0)</f>
        <v>#N/A</v>
      </c>
      <c r="M137" s="107" t="e">
        <f>VLOOKUP($A137,'S45'!$C:$BQ,40,0)</f>
        <v>#N/A</v>
      </c>
      <c r="N137" s="107" t="e">
        <f>VLOOKUP($A137,'S45'!$C:$BQ,22,0)</f>
        <v>#N/A</v>
      </c>
      <c r="O137" s="115" t="e">
        <f>VLOOKUP($A137,'S45'!$C:$BQ,29,0)</f>
        <v>#N/A</v>
      </c>
      <c r="P137" s="115" t="e">
        <f>VLOOKUP($A137,'S45'!$C:$BQ,30,0)</f>
        <v>#N/A</v>
      </c>
      <c r="Q137" s="115" t="e">
        <f>VLOOKUP($A137,'S45'!$C:$BQ,52,0)</f>
        <v>#N/A</v>
      </c>
      <c r="R137" s="115" t="e">
        <f>VLOOKUP($A137,'S45'!$C:$BQ,59,0)</f>
        <v>#N/A</v>
      </c>
      <c r="S137" s="115" t="e">
        <f>VLOOKUP($A137,'S45'!$C:$BQ,60,0)</f>
        <v>#N/A</v>
      </c>
      <c r="T137" s="107" t="e">
        <f>VLOOKUP($A137,'S46'!$C:$BQ,32,0)</f>
        <v>#N/A</v>
      </c>
      <c r="U137" s="107" t="e">
        <f>VLOOKUP($A137,'S46'!$C:$BQ,39,0)</f>
        <v>#N/A</v>
      </c>
      <c r="V137" s="107" t="e">
        <f>VLOOKUP($A137,'S46'!$C:$BQ,40,0)</f>
        <v>#N/A</v>
      </c>
      <c r="W137" s="107" t="e">
        <f>VLOOKUP($A137,'S46'!$C:$BQ,22,0)</f>
        <v>#N/A</v>
      </c>
      <c r="X137" s="115" t="e">
        <f>VLOOKUP($A137,'S46'!$C:$BQ,29,0)</f>
        <v>#N/A</v>
      </c>
      <c r="Y137" s="115" t="e">
        <f>VLOOKUP($A137,'S46'!$C:$BQ,30,0)</f>
        <v>#N/A</v>
      </c>
      <c r="Z137" s="115" t="e">
        <f>VLOOKUP($A137,'S46'!$C:$BQ,52,0)</f>
        <v>#N/A</v>
      </c>
      <c r="AA137" s="115" t="e">
        <f>VLOOKUP($A137,'S46'!$C:$BQ,59,0)</f>
        <v>#N/A</v>
      </c>
      <c r="AB137" s="115" t="e">
        <f>VLOOKUP($A137,'S46'!$C:$BQ,60,0)</f>
        <v>#N/A</v>
      </c>
      <c r="AC137" s="107" t="e">
        <f>VLOOKUP($A137,'S47'!$C:$BQ,32,0)</f>
        <v>#N/A</v>
      </c>
      <c r="AD137" s="107" t="e">
        <f>VLOOKUP($A137,'S47'!$C:$BQ,39,0)</f>
        <v>#N/A</v>
      </c>
      <c r="AE137" s="107" t="e">
        <f>VLOOKUP($A137,'S47'!$C:$BQ,40,0)</f>
        <v>#N/A</v>
      </c>
      <c r="AF137" s="107" t="e">
        <f>VLOOKUP($A137,'S47'!$C:$BQ,22,0)</f>
        <v>#N/A</v>
      </c>
      <c r="AG137" s="115" t="e">
        <f>VLOOKUP($A137,'S47'!$C:$BQ,29,0)</f>
        <v>#N/A</v>
      </c>
      <c r="AH137" s="115" t="e">
        <f>VLOOKUP($A137,'S47'!$C:$BQ,30,0)</f>
        <v>#N/A</v>
      </c>
      <c r="AI137" s="115" t="e">
        <f>VLOOKUP($A137,'S47'!$C:$BQ,52,0)</f>
        <v>#N/A</v>
      </c>
      <c r="AJ137" s="115" t="e">
        <f>VLOOKUP($A137,'S47'!$C:$BQ,59,0)</f>
        <v>#N/A</v>
      </c>
      <c r="AK137" s="115" t="e">
        <f>VLOOKUP($A137,'S47'!$C:$BQ,60,0)</f>
        <v>#N/A</v>
      </c>
      <c r="AL137" s="107" t="e">
        <f>VLOOKUP($A137,'S48'!$C:$BQ,32,0)</f>
        <v>#N/A</v>
      </c>
      <c r="AM137" s="107" t="e">
        <f>VLOOKUP($A137,'S48'!$C:$BQ,39,0)</f>
        <v>#N/A</v>
      </c>
      <c r="AN137" s="107" t="e">
        <f>VLOOKUP($A137,'S48'!$C:$BQ,40,0)</f>
        <v>#N/A</v>
      </c>
      <c r="AO137" s="107" t="e">
        <f>VLOOKUP($A137,'S48'!$C:$BQ,22,0)</f>
        <v>#N/A</v>
      </c>
      <c r="AP137" s="115" t="e">
        <f>VLOOKUP($A137,'S48'!$C:$BQ,29,0)</f>
        <v>#N/A</v>
      </c>
      <c r="AQ137" s="115" t="e">
        <f>VLOOKUP($A137,'S48'!$C:$BQ,30,0)</f>
        <v>#N/A</v>
      </c>
      <c r="AR137" s="115" t="e">
        <f>VLOOKUP($A137,'S48'!$C:$BQ,52,0)</f>
        <v>#N/A</v>
      </c>
      <c r="AS137" s="115" t="e">
        <f>VLOOKUP($A137,'S48'!$C:$BQ,59,0)</f>
        <v>#N/A</v>
      </c>
      <c r="AT137" s="115" t="e">
        <f>VLOOKUP($A137,'S48'!$C:$BQ,60,0)</f>
        <v>#N/A</v>
      </c>
      <c r="AU137" s="107" t="e">
        <f>VLOOKUP($A137,'S49'!$C:$BQ,32,0)</f>
        <v>#N/A</v>
      </c>
      <c r="AV137" s="107" t="e">
        <f>VLOOKUP($A137,'S49'!$C:$BQ,39,0)</f>
        <v>#N/A</v>
      </c>
      <c r="AW137" s="107" t="e">
        <f>VLOOKUP($A137,'S49'!$C:$BQ,40,0)</f>
        <v>#N/A</v>
      </c>
      <c r="AX137" s="107" t="e">
        <f>VLOOKUP($A137,'S49'!$C:$BQ,22,0)</f>
        <v>#N/A</v>
      </c>
      <c r="AY137" s="115" t="e">
        <f>VLOOKUP($A137,'S49'!$C:$BQ,29,0)</f>
        <v>#N/A</v>
      </c>
      <c r="AZ137" s="115" t="e">
        <f>VLOOKUP($A137,'S49'!$C:$BQ,30,0)</f>
        <v>#N/A</v>
      </c>
      <c r="BA137" s="115" t="e">
        <f>VLOOKUP($A137,'S49'!$C:$BQ,52,0)</f>
        <v>#N/A</v>
      </c>
      <c r="BB137" s="115" t="e">
        <f>VLOOKUP($A137,'S49'!$C:$BQ,59,0)</f>
        <v>#N/A</v>
      </c>
      <c r="BC137" s="115" t="e">
        <f>VLOOKUP($A137,'S49'!$C:$BQ,60,0)</f>
        <v>#N/A</v>
      </c>
      <c r="BD137" s="107" t="e">
        <f>VLOOKUP($A137,'S50'!$C:$BQ,32,0)</f>
        <v>#N/A</v>
      </c>
      <c r="BE137" s="107" t="e">
        <f>VLOOKUP($A137,'S50'!$C:$BQ,39,0)</f>
        <v>#N/A</v>
      </c>
      <c r="BF137" s="107" t="e">
        <f>VLOOKUP($A137,'S50'!$C:$BQ,40,0)</f>
        <v>#N/A</v>
      </c>
      <c r="BG137" s="107" t="e">
        <f>VLOOKUP($A137,'S50'!$C:$BQ,22,0)</f>
        <v>#N/A</v>
      </c>
      <c r="BH137" s="115" t="e">
        <f>VLOOKUP($A137,'S50'!$C:$BQ,29,0)</f>
        <v>#N/A</v>
      </c>
      <c r="BI137" s="115" t="e">
        <f>VLOOKUP($A137,'S50'!$C:$BQ,30,0)</f>
        <v>#N/A</v>
      </c>
      <c r="BJ137" s="115" t="e">
        <f>VLOOKUP($A137,'S50'!$C:$BQ,52,0)</f>
        <v>#N/A</v>
      </c>
      <c r="BK137" s="115" t="e">
        <f>VLOOKUP($A137,'S50'!$C:$BQ,59,0)</f>
        <v>#N/A</v>
      </c>
      <c r="BL137" s="115" t="e">
        <f>VLOOKUP($A137,'S50'!$C:$BQ,60,0)</f>
        <v>#N/A</v>
      </c>
    </row>
    <row r="138" spans="1:64" x14ac:dyDescent="0.2">
      <c r="A138" s="106" t="s">
        <v>202</v>
      </c>
      <c r="B138" s="107">
        <f>VLOOKUP($A138,'S0 remplacer avec S44'!$C:$BQ,32,0)</f>
        <v>171.95</v>
      </c>
      <c r="C138" s="107">
        <f>VLOOKUP($A138,'S0 remplacer avec S44'!$C:$BQ,39,0)</f>
        <v>0</v>
      </c>
      <c r="D138" s="107">
        <f>VLOOKUP($A138,'S0 remplacer avec S44'!$C:$BQ,40,0)</f>
        <v>33</v>
      </c>
      <c r="E138" s="107">
        <f>VLOOKUP($A138,'S0 remplacer avec S44'!$C:$BQ,22,0)</f>
        <v>1826.08158</v>
      </c>
      <c r="F138" s="115">
        <f>VLOOKUP($A138,'S0 remplacer avec S44'!$C:$BQ,29,0)</f>
        <v>0</v>
      </c>
      <c r="G138" s="115">
        <f>VLOOKUP($A138,'S0 remplacer avec S44'!$C:$BQ,30,0)</f>
        <v>36</v>
      </c>
      <c r="H138" s="115">
        <f>VLOOKUP($A138,'S0 remplacer avec S44'!$C:$BQ,52,0)</f>
        <v>137.4</v>
      </c>
      <c r="I138" s="115">
        <f>VLOOKUP($A138,'S0 remplacer avec S44'!$C:$BQ,59,0)</f>
        <v>0</v>
      </c>
      <c r="J138" s="115">
        <f>VLOOKUP($A138,'S0 remplacer avec S44'!$C:$BQ,60,0)</f>
        <v>0</v>
      </c>
      <c r="K138" s="107" t="e">
        <f>VLOOKUP($A138,'S45'!$C:$BQ,32,0)</f>
        <v>#N/A</v>
      </c>
      <c r="L138" s="107" t="e">
        <f>VLOOKUP($A138,'S45'!$C:$BQ,39,0)</f>
        <v>#N/A</v>
      </c>
      <c r="M138" s="107" t="e">
        <f>VLOOKUP($A138,'S45'!$C:$BQ,40,0)</f>
        <v>#N/A</v>
      </c>
      <c r="N138" s="107" t="e">
        <f>VLOOKUP($A138,'S45'!$C:$BQ,22,0)</f>
        <v>#N/A</v>
      </c>
      <c r="O138" s="115" t="e">
        <f>VLOOKUP($A138,'S45'!$C:$BQ,29,0)</f>
        <v>#N/A</v>
      </c>
      <c r="P138" s="115" t="e">
        <f>VLOOKUP($A138,'S45'!$C:$BQ,30,0)</f>
        <v>#N/A</v>
      </c>
      <c r="Q138" s="115" t="e">
        <f>VLOOKUP($A138,'S45'!$C:$BQ,52,0)</f>
        <v>#N/A</v>
      </c>
      <c r="R138" s="115" t="e">
        <f>VLOOKUP($A138,'S45'!$C:$BQ,59,0)</f>
        <v>#N/A</v>
      </c>
      <c r="S138" s="115" t="e">
        <f>VLOOKUP($A138,'S45'!$C:$BQ,60,0)</f>
        <v>#N/A</v>
      </c>
      <c r="T138" s="107" t="e">
        <f>VLOOKUP($A138,'S46'!$C:$BQ,32,0)</f>
        <v>#N/A</v>
      </c>
      <c r="U138" s="107" t="e">
        <f>VLOOKUP($A138,'S46'!$C:$BQ,39,0)</f>
        <v>#N/A</v>
      </c>
      <c r="V138" s="107" t="e">
        <f>VLOOKUP($A138,'S46'!$C:$BQ,40,0)</f>
        <v>#N/A</v>
      </c>
      <c r="W138" s="107" t="e">
        <f>VLOOKUP($A138,'S46'!$C:$BQ,22,0)</f>
        <v>#N/A</v>
      </c>
      <c r="X138" s="115" t="e">
        <f>VLOOKUP($A138,'S46'!$C:$BQ,29,0)</f>
        <v>#N/A</v>
      </c>
      <c r="Y138" s="115" t="e">
        <f>VLOOKUP($A138,'S46'!$C:$BQ,30,0)</f>
        <v>#N/A</v>
      </c>
      <c r="Z138" s="115" t="e">
        <f>VLOOKUP($A138,'S46'!$C:$BQ,52,0)</f>
        <v>#N/A</v>
      </c>
      <c r="AA138" s="115" t="e">
        <f>VLOOKUP($A138,'S46'!$C:$BQ,59,0)</f>
        <v>#N/A</v>
      </c>
      <c r="AB138" s="115" t="e">
        <f>VLOOKUP($A138,'S46'!$C:$BQ,60,0)</f>
        <v>#N/A</v>
      </c>
      <c r="AC138" s="107" t="e">
        <f>VLOOKUP($A138,'S47'!$C:$BQ,32,0)</f>
        <v>#N/A</v>
      </c>
      <c r="AD138" s="107" t="e">
        <f>VLOOKUP($A138,'S47'!$C:$BQ,39,0)</f>
        <v>#N/A</v>
      </c>
      <c r="AE138" s="107" t="e">
        <f>VLOOKUP($A138,'S47'!$C:$BQ,40,0)</f>
        <v>#N/A</v>
      </c>
      <c r="AF138" s="107" t="e">
        <f>VLOOKUP($A138,'S47'!$C:$BQ,22,0)</f>
        <v>#N/A</v>
      </c>
      <c r="AG138" s="115" t="e">
        <f>VLOOKUP($A138,'S47'!$C:$BQ,29,0)</f>
        <v>#N/A</v>
      </c>
      <c r="AH138" s="115" t="e">
        <f>VLOOKUP($A138,'S47'!$C:$BQ,30,0)</f>
        <v>#N/A</v>
      </c>
      <c r="AI138" s="115" t="e">
        <f>VLOOKUP($A138,'S47'!$C:$BQ,52,0)</f>
        <v>#N/A</v>
      </c>
      <c r="AJ138" s="115" t="e">
        <f>VLOOKUP($A138,'S47'!$C:$BQ,59,0)</f>
        <v>#N/A</v>
      </c>
      <c r="AK138" s="115" t="e">
        <f>VLOOKUP($A138,'S47'!$C:$BQ,60,0)</f>
        <v>#N/A</v>
      </c>
      <c r="AL138" s="107" t="e">
        <f>VLOOKUP($A138,'S48'!$C:$BQ,32,0)</f>
        <v>#N/A</v>
      </c>
      <c r="AM138" s="107" t="e">
        <f>VLOOKUP($A138,'S48'!$C:$BQ,39,0)</f>
        <v>#N/A</v>
      </c>
      <c r="AN138" s="107" t="e">
        <f>VLOOKUP($A138,'S48'!$C:$BQ,40,0)</f>
        <v>#N/A</v>
      </c>
      <c r="AO138" s="107" t="e">
        <f>VLOOKUP($A138,'S48'!$C:$BQ,22,0)</f>
        <v>#N/A</v>
      </c>
      <c r="AP138" s="115" t="e">
        <f>VLOOKUP($A138,'S48'!$C:$BQ,29,0)</f>
        <v>#N/A</v>
      </c>
      <c r="AQ138" s="115" t="e">
        <f>VLOOKUP($A138,'S48'!$C:$BQ,30,0)</f>
        <v>#N/A</v>
      </c>
      <c r="AR138" s="115" t="e">
        <f>VLOOKUP($A138,'S48'!$C:$BQ,52,0)</f>
        <v>#N/A</v>
      </c>
      <c r="AS138" s="115" t="e">
        <f>VLOOKUP($A138,'S48'!$C:$BQ,59,0)</f>
        <v>#N/A</v>
      </c>
      <c r="AT138" s="115" t="e">
        <f>VLOOKUP($A138,'S48'!$C:$BQ,60,0)</f>
        <v>#N/A</v>
      </c>
      <c r="AU138" s="107" t="e">
        <f>VLOOKUP($A138,'S49'!$C:$BQ,32,0)</f>
        <v>#N/A</v>
      </c>
      <c r="AV138" s="107" t="e">
        <f>VLOOKUP($A138,'S49'!$C:$BQ,39,0)</f>
        <v>#N/A</v>
      </c>
      <c r="AW138" s="107" t="e">
        <f>VLOOKUP($A138,'S49'!$C:$BQ,40,0)</f>
        <v>#N/A</v>
      </c>
      <c r="AX138" s="107" t="e">
        <f>VLOOKUP($A138,'S49'!$C:$BQ,22,0)</f>
        <v>#N/A</v>
      </c>
      <c r="AY138" s="115" t="e">
        <f>VLOOKUP($A138,'S49'!$C:$BQ,29,0)</f>
        <v>#N/A</v>
      </c>
      <c r="AZ138" s="115" t="e">
        <f>VLOOKUP($A138,'S49'!$C:$BQ,30,0)</f>
        <v>#N/A</v>
      </c>
      <c r="BA138" s="115" t="e">
        <f>VLOOKUP($A138,'S49'!$C:$BQ,52,0)</f>
        <v>#N/A</v>
      </c>
      <c r="BB138" s="115" t="e">
        <f>VLOOKUP($A138,'S49'!$C:$BQ,59,0)</f>
        <v>#N/A</v>
      </c>
      <c r="BC138" s="115" t="e">
        <f>VLOOKUP($A138,'S49'!$C:$BQ,60,0)</f>
        <v>#N/A</v>
      </c>
      <c r="BD138" s="107" t="e">
        <f>VLOOKUP($A138,'S50'!$C:$BQ,32,0)</f>
        <v>#N/A</v>
      </c>
      <c r="BE138" s="107" t="e">
        <f>VLOOKUP($A138,'S50'!$C:$BQ,39,0)</f>
        <v>#N/A</v>
      </c>
      <c r="BF138" s="107" t="e">
        <f>VLOOKUP($A138,'S50'!$C:$BQ,40,0)</f>
        <v>#N/A</v>
      </c>
      <c r="BG138" s="107" t="e">
        <f>VLOOKUP($A138,'S50'!$C:$BQ,22,0)</f>
        <v>#N/A</v>
      </c>
      <c r="BH138" s="115" t="e">
        <f>VLOOKUP($A138,'S50'!$C:$BQ,29,0)</f>
        <v>#N/A</v>
      </c>
      <c r="BI138" s="115" t="e">
        <f>VLOOKUP($A138,'S50'!$C:$BQ,30,0)</f>
        <v>#N/A</v>
      </c>
      <c r="BJ138" s="115" t="e">
        <f>VLOOKUP($A138,'S50'!$C:$BQ,52,0)</f>
        <v>#N/A</v>
      </c>
      <c r="BK138" s="115" t="e">
        <f>VLOOKUP($A138,'S50'!$C:$BQ,59,0)</f>
        <v>#N/A</v>
      </c>
      <c r="BL138" s="115" t="e">
        <f>VLOOKUP($A138,'S50'!$C:$BQ,60,0)</f>
        <v>#N/A</v>
      </c>
    </row>
    <row r="139" spans="1:64" x14ac:dyDescent="0.2">
      <c r="A139" s="106" t="s">
        <v>203</v>
      </c>
      <c r="B139" s="107">
        <f>VLOOKUP($A139,'S0 remplacer avec S44'!$C:$BQ,32,0)</f>
        <v>213.2</v>
      </c>
      <c r="C139" s="107">
        <f>VLOOKUP($A139,'S0 remplacer avec S44'!$C:$BQ,39,0)</f>
        <v>0</v>
      </c>
      <c r="D139" s="107">
        <f>VLOOKUP($A139,'S0 remplacer avec S44'!$C:$BQ,40,0)</f>
        <v>13</v>
      </c>
      <c r="E139" s="107">
        <f>VLOOKUP($A139,'S0 remplacer avec S44'!$C:$BQ,22,0)</f>
        <v>1998.3595800000001</v>
      </c>
      <c r="F139" s="115">
        <f>VLOOKUP($A139,'S0 remplacer avec S44'!$C:$BQ,29,0)</f>
        <v>0</v>
      </c>
      <c r="G139" s="115">
        <f>VLOOKUP($A139,'S0 remplacer avec S44'!$C:$BQ,30,0)</f>
        <v>58</v>
      </c>
      <c r="H139" s="115">
        <f>VLOOKUP($A139,'S0 remplacer avec S44'!$C:$BQ,52,0)</f>
        <v>130.80000000000001</v>
      </c>
      <c r="I139" s="115">
        <f>VLOOKUP($A139,'S0 remplacer avec S44'!$C:$BQ,59,0)</f>
        <v>0</v>
      </c>
      <c r="J139" s="115">
        <f>VLOOKUP($A139,'S0 remplacer avec S44'!$C:$BQ,60,0)</f>
        <v>0</v>
      </c>
      <c r="K139" s="107" t="e">
        <f>VLOOKUP($A139,'S45'!$C:$BQ,32,0)</f>
        <v>#N/A</v>
      </c>
      <c r="L139" s="107" t="e">
        <f>VLOOKUP($A139,'S45'!$C:$BQ,39,0)</f>
        <v>#N/A</v>
      </c>
      <c r="M139" s="107" t="e">
        <f>VLOOKUP($A139,'S45'!$C:$BQ,40,0)</f>
        <v>#N/A</v>
      </c>
      <c r="N139" s="107" t="e">
        <f>VLOOKUP($A139,'S45'!$C:$BQ,22,0)</f>
        <v>#N/A</v>
      </c>
      <c r="O139" s="115" t="e">
        <f>VLOOKUP($A139,'S45'!$C:$BQ,29,0)</f>
        <v>#N/A</v>
      </c>
      <c r="P139" s="115" t="e">
        <f>VLOOKUP($A139,'S45'!$C:$BQ,30,0)</f>
        <v>#N/A</v>
      </c>
      <c r="Q139" s="115" t="e">
        <f>VLOOKUP($A139,'S45'!$C:$BQ,52,0)</f>
        <v>#N/A</v>
      </c>
      <c r="R139" s="115" t="e">
        <f>VLOOKUP($A139,'S45'!$C:$BQ,59,0)</f>
        <v>#N/A</v>
      </c>
      <c r="S139" s="115" t="e">
        <f>VLOOKUP($A139,'S45'!$C:$BQ,60,0)</f>
        <v>#N/A</v>
      </c>
      <c r="T139" s="107" t="e">
        <f>VLOOKUP($A139,'S46'!$C:$BQ,32,0)</f>
        <v>#N/A</v>
      </c>
      <c r="U139" s="107" t="e">
        <f>VLOOKUP($A139,'S46'!$C:$BQ,39,0)</f>
        <v>#N/A</v>
      </c>
      <c r="V139" s="107" t="e">
        <f>VLOOKUP($A139,'S46'!$C:$BQ,40,0)</f>
        <v>#N/A</v>
      </c>
      <c r="W139" s="107" t="e">
        <f>VLOOKUP($A139,'S46'!$C:$BQ,22,0)</f>
        <v>#N/A</v>
      </c>
      <c r="X139" s="115" t="e">
        <f>VLOOKUP($A139,'S46'!$C:$BQ,29,0)</f>
        <v>#N/A</v>
      </c>
      <c r="Y139" s="115" t="e">
        <f>VLOOKUP($A139,'S46'!$C:$BQ,30,0)</f>
        <v>#N/A</v>
      </c>
      <c r="Z139" s="115" t="e">
        <f>VLOOKUP($A139,'S46'!$C:$BQ,52,0)</f>
        <v>#N/A</v>
      </c>
      <c r="AA139" s="115" t="e">
        <f>VLOOKUP($A139,'S46'!$C:$BQ,59,0)</f>
        <v>#N/A</v>
      </c>
      <c r="AB139" s="115" t="e">
        <f>VLOOKUP($A139,'S46'!$C:$BQ,60,0)</f>
        <v>#N/A</v>
      </c>
      <c r="AC139" s="107" t="e">
        <f>VLOOKUP($A139,'S47'!$C:$BQ,32,0)</f>
        <v>#N/A</v>
      </c>
      <c r="AD139" s="107" t="e">
        <f>VLOOKUP($A139,'S47'!$C:$BQ,39,0)</f>
        <v>#N/A</v>
      </c>
      <c r="AE139" s="107" t="e">
        <f>VLOOKUP($A139,'S47'!$C:$BQ,40,0)</f>
        <v>#N/A</v>
      </c>
      <c r="AF139" s="107" t="e">
        <f>VLOOKUP($A139,'S47'!$C:$BQ,22,0)</f>
        <v>#N/A</v>
      </c>
      <c r="AG139" s="115" t="e">
        <f>VLOOKUP($A139,'S47'!$C:$BQ,29,0)</f>
        <v>#N/A</v>
      </c>
      <c r="AH139" s="115" t="e">
        <f>VLOOKUP($A139,'S47'!$C:$BQ,30,0)</f>
        <v>#N/A</v>
      </c>
      <c r="AI139" s="115" t="e">
        <f>VLOOKUP($A139,'S47'!$C:$BQ,52,0)</f>
        <v>#N/A</v>
      </c>
      <c r="AJ139" s="115" t="e">
        <f>VLOOKUP($A139,'S47'!$C:$BQ,59,0)</f>
        <v>#N/A</v>
      </c>
      <c r="AK139" s="115" t="e">
        <f>VLOOKUP($A139,'S47'!$C:$BQ,60,0)</f>
        <v>#N/A</v>
      </c>
      <c r="AL139" s="107" t="e">
        <f>VLOOKUP($A139,'S48'!$C:$BQ,32,0)</f>
        <v>#N/A</v>
      </c>
      <c r="AM139" s="107" t="e">
        <f>VLOOKUP($A139,'S48'!$C:$BQ,39,0)</f>
        <v>#N/A</v>
      </c>
      <c r="AN139" s="107" t="e">
        <f>VLOOKUP($A139,'S48'!$C:$BQ,40,0)</f>
        <v>#N/A</v>
      </c>
      <c r="AO139" s="107" t="e">
        <f>VLOOKUP($A139,'S48'!$C:$BQ,22,0)</f>
        <v>#N/A</v>
      </c>
      <c r="AP139" s="115" t="e">
        <f>VLOOKUP($A139,'S48'!$C:$BQ,29,0)</f>
        <v>#N/A</v>
      </c>
      <c r="AQ139" s="115" t="e">
        <f>VLOOKUP($A139,'S48'!$C:$BQ,30,0)</f>
        <v>#N/A</v>
      </c>
      <c r="AR139" s="115" t="e">
        <f>VLOOKUP($A139,'S48'!$C:$BQ,52,0)</f>
        <v>#N/A</v>
      </c>
      <c r="AS139" s="115" t="e">
        <f>VLOOKUP($A139,'S48'!$C:$BQ,59,0)</f>
        <v>#N/A</v>
      </c>
      <c r="AT139" s="115" t="e">
        <f>VLOOKUP($A139,'S48'!$C:$BQ,60,0)</f>
        <v>#N/A</v>
      </c>
      <c r="AU139" s="107" t="e">
        <f>VLOOKUP($A139,'S49'!$C:$BQ,32,0)</f>
        <v>#N/A</v>
      </c>
      <c r="AV139" s="107" t="e">
        <f>VLOOKUP($A139,'S49'!$C:$BQ,39,0)</f>
        <v>#N/A</v>
      </c>
      <c r="AW139" s="107" t="e">
        <f>VLOOKUP($A139,'S49'!$C:$BQ,40,0)</f>
        <v>#N/A</v>
      </c>
      <c r="AX139" s="107" t="e">
        <f>VLOOKUP($A139,'S49'!$C:$BQ,22,0)</f>
        <v>#N/A</v>
      </c>
      <c r="AY139" s="115" t="e">
        <f>VLOOKUP($A139,'S49'!$C:$BQ,29,0)</f>
        <v>#N/A</v>
      </c>
      <c r="AZ139" s="115" t="e">
        <f>VLOOKUP($A139,'S49'!$C:$BQ,30,0)</f>
        <v>#N/A</v>
      </c>
      <c r="BA139" s="115" t="e">
        <f>VLOOKUP($A139,'S49'!$C:$BQ,52,0)</f>
        <v>#N/A</v>
      </c>
      <c r="BB139" s="115" t="e">
        <f>VLOOKUP($A139,'S49'!$C:$BQ,59,0)</f>
        <v>#N/A</v>
      </c>
      <c r="BC139" s="115" t="e">
        <f>VLOOKUP($A139,'S49'!$C:$BQ,60,0)</f>
        <v>#N/A</v>
      </c>
      <c r="BD139" s="107" t="e">
        <f>VLOOKUP($A139,'S50'!$C:$BQ,32,0)</f>
        <v>#N/A</v>
      </c>
      <c r="BE139" s="107" t="e">
        <f>VLOOKUP($A139,'S50'!$C:$BQ,39,0)</f>
        <v>#N/A</v>
      </c>
      <c r="BF139" s="107" t="e">
        <f>VLOOKUP($A139,'S50'!$C:$BQ,40,0)</f>
        <v>#N/A</v>
      </c>
      <c r="BG139" s="107" t="e">
        <f>VLOOKUP($A139,'S50'!$C:$BQ,22,0)</f>
        <v>#N/A</v>
      </c>
      <c r="BH139" s="115" t="e">
        <f>VLOOKUP($A139,'S50'!$C:$BQ,29,0)</f>
        <v>#N/A</v>
      </c>
      <c r="BI139" s="115" t="e">
        <f>VLOOKUP($A139,'S50'!$C:$BQ,30,0)</f>
        <v>#N/A</v>
      </c>
      <c r="BJ139" s="115" t="e">
        <f>VLOOKUP($A139,'S50'!$C:$BQ,52,0)</f>
        <v>#N/A</v>
      </c>
      <c r="BK139" s="115" t="e">
        <f>VLOOKUP($A139,'S50'!$C:$BQ,59,0)</f>
        <v>#N/A</v>
      </c>
      <c r="BL139" s="115" t="e">
        <f>VLOOKUP($A139,'S50'!$C:$BQ,60,0)</f>
        <v>#N/A</v>
      </c>
    </row>
    <row r="140" spans="1:64" x14ac:dyDescent="0.2">
      <c r="A140" s="106" t="s">
        <v>204</v>
      </c>
      <c r="B140" s="107">
        <f>VLOOKUP($A140,'S0 remplacer avec S44'!$C:$BQ,32,0)</f>
        <v>155.5</v>
      </c>
      <c r="C140" s="107">
        <f>VLOOKUP($A140,'S0 remplacer avec S44'!$C:$BQ,39,0)</f>
        <v>29</v>
      </c>
      <c r="D140" s="107">
        <f>VLOOKUP($A140,'S0 remplacer avec S44'!$C:$BQ,40,0)</f>
        <v>66</v>
      </c>
      <c r="E140" s="107">
        <f>VLOOKUP($A140,'S0 remplacer avec S44'!$C:$BQ,22,0)</f>
        <v>2261.97957</v>
      </c>
      <c r="F140" s="115">
        <f>VLOOKUP($A140,'S0 remplacer avec S44'!$C:$BQ,29,0)</f>
        <v>0</v>
      </c>
      <c r="G140" s="115">
        <f>VLOOKUP($A140,'S0 remplacer avec S44'!$C:$BQ,30,0)</f>
        <v>0</v>
      </c>
      <c r="H140" s="115">
        <f>VLOOKUP($A140,'S0 remplacer avec S44'!$C:$BQ,52,0)</f>
        <v>154</v>
      </c>
      <c r="I140" s="115">
        <f>VLOOKUP($A140,'S0 remplacer avec S44'!$C:$BQ,59,0)</f>
        <v>0</v>
      </c>
      <c r="J140" s="115">
        <f>VLOOKUP($A140,'S0 remplacer avec S44'!$C:$BQ,60,0)</f>
        <v>0</v>
      </c>
      <c r="K140" s="107" t="e">
        <f>VLOOKUP($A140,'S45'!$C:$BQ,32,0)</f>
        <v>#N/A</v>
      </c>
      <c r="L140" s="107" t="e">
        <f>VLOOKUP($A140,'S45'!$C:$BQ,39,0)</f>
        <v>#N/A</v>
      </c>
      <c r="M140" s="107" t="e">
        <f>VLOOKUP($A140,'S45'!$C:$BQ,40,0)</f>
        <v>#N/A</v>
      </c>
      <c r="N140" s="107" t="e">
        <f>VLOOKUP($A140,'S45'!$C:$BQ,22,0)</f>
        <v>#N/A</v>
      </c>
      <c r="O140" s="115" t="e">
        <f>VLOOKUP($A140,'S45'!$C:$BQ,29,0)</f>
        <v>#N/A</v>
      </c>
      <c r="P140" s="115" t="e">
        <f>VLOOKUP($A140,'S45'!$C:$BQ,30,0)</f>
        <v>#N/A</v>
      </c>
      <c r="Q140" s="115" t="e">
        <f>VLOOKUP($A140,'S45'!$C:$BQ,52,0)</f>
        <v>#N/A</v>
      </c>
      <c r="R140" s="115" t="e">
        <f>VLOOKUP($A140,'S45'!$C:$BQ,59,0)</f>
        <v>#N/A</v>
      </c>
      <c r="S140" s="115" t="e">
        <f>VLOOKUP($A140,'S45'!$C:$BQ,60,0)</f>
        <v>#N/A</v>
      </c>
      <c r="T140" s="107" t="e">
        <f>VLOOKUP($A140,'S46'!$C:$BQ,32,0)</f>
        <v>#N/A</v>
      </c>
      <c r="U140" s="107" t="e">
        <f>VLOOKUP($A140,'S46'!$C:$BQ,39,0)</f>
        <v>#N/A</v>
      </c>
      <c r="V140" s="107" t="e">
        <f>VLOOKUP($A140,'S46'!$C:$BQ,40,0)</f>
        <v>#N/A</v>
      </c>
      <c r="W140" s="107" t="e">
        <f>VLOOKUP($A140,'S46'!$C:$BQ,22,0)</f>
        <v>#N/A</v>
      </c>
      <c r="X140" s="115" t="e">
        <f>VLOOKUP($A140,'S46'!$C:$BQ,29,0)</f>
        <v>#N/A</v>
      </c>
      <c r="Y140" s="115" t="e">
        <f>VLOOKUP($A140,'S46'!$C:$BQ,30,0)</f>
        <v>#N/A</v>
      </c>
      <c r="Z140" s="115" t="e">
        <f>VLOOKUP($A140,'S46'!$C:$BQ,52,0)</f>
        <v>#N/A</v>
      </c>
      <c r="AA140" s="115" t="e">
        <f>VLOOKUP($A140,'S46'!$C:$BQ,59,0)</f>
        <v>#N/A</v>
      </c>
      <c r="AB140" s="115" t="e">
        <f>VLOOKUP($A140,'S46'!$C:$BQ,60,0)</f>
        <v>#N/A</v>
      </c>
      <c r="AC140" s="107" t="e">
        <f>VLOOKUP($A140,'S47'!$C:$BQ,32,0)</f>
        <v>#N/A</v>
      </c>
      <c r="AD140" s="107" t="e">
        <f>VLOOKUP($A140,'S47'!$C:$BQ,39,0)</f>
        <v>#N/A</v>
      </c>
      <c r="AE140" s="107" t="e">
        <f>VLOOKUP($A140,'S47'!$C:$BQ,40,0)</f>
        <v>#N/A</v>
      </c>
      <c r="AF140" s="107" t="e">
        <f>VLOOKUP($A140,'S47'!$C:$BQ,22,0)</f>
        <v>#N/A</v>
      </c>
      <c r="AG140" s="115" t="e">
        <f>VLOOKUP($A140,'S47'!$C:$BQ,29,0)</f>
        <v>#N/A</v>
      </c>
      <c r="AH140" s="115" t="e">
        <f>VLOOKUP($A140,'S47'!$C:$BQ,30,0)</f>
        <v>#N/A</v>
      </c>
      <c r="AI140" s="115" t="e">
        <f>VLOOKUP($A140,'S47'!$C:$BQ,52,0)</f>
        <v>#N/A</v>
      </c>
      <c r="AJ140" s="115" t="e">
        <f>VLOOKUP($A140,'S47'!$C:$BQ,59,0)</f>
        <v>#N/A</v>
      </c>
      <c r="AK140" s="115" t="e">
        <f>VLOOKUP($A140,'S47'!$C:$BQ,60,0)</f>
        <v>#N/A</v>
      </c>
      <c r="AL140" s="107" t="e">
        <f>VLOOKUP($A140,'S48'!$C:$BQ,32,0)</f>
        <v>#N/A</v>
      </c>
      <c r="AM140" s="107" t="e">
        <f>VLOOKUP($A140,'S48'!$C:$BQ,39,0)</f>
        <v>#N/A</v>
      </c>
      <c r="AN140" s="107" t="e">
        <f>VLOOKUP($A140,'S48'!$C:$BQ,40,0)</f>
        <v>#N/A</v>
      </c>
      <c r="AO140" s="107" t="e">
        <f>VLOOKUP($A140,'S48'!$C:$BQ,22,0)</f>
        <v>#N/A</v>
      </c>
      <c r="AP140" s="115" t="e">
        <f>VLOOKUP($A140,'S48'!$C:$BQ,29,0)</f>
        <v>#N/A</v>
      </c>
      <c r="AQ140" s="115" t="e">
        <f>VLOOKUP($A140,'S48'!$C:$BQ,30,0)</f>
        <v>#N/A</v>
      </c>
      <c r="AR140" s="115" t="e">
        <f>VLOOKUP($A140,'S48'!$C:$BQ,52,0)</f>
        <v>#N/A</v>
      </c>
      <c r="AS140" s="115" t="e">
        <f>VLOOKUP($A140,'S48'!$C:$BQ,59,0)</f>
        <v>#N/A</v>
      </c>
      <c r="AT140" s="115" t="e">
        <f>VLOOKUP($A140,'S48'!$C:$BQ,60,0)</f>
        <v>#N/A</v>
      </c>
      <c r="AU140" s="107" t="e">
        <f>VLOOKUP($A140,'S49'!$C:$BQ,32,0)</f>
        <v>#N/A</v>
      </c>
      <c r="AV140" s="107" t="e">
        <f>VLOOKUP($A140,'S49'!$C:$BQ,39,0)</f>
        <v>#N/A</v>
      </c>
      <c r="AW140" s="107" t="e">
        <f>VLOOKUP($A140,'S49'!$C:$BQ,40,0)</f>
        <v>#N/A</v>
      </c>
      <c r="AX140" s="107" t="e">
        <f>VLOOKUP($A140,'S49'!$C:$BQ,22,0)</f>
        <v>#N/A</v>
      </c>
      <c r="AY140" s="115" t="e">
        <f>VLOOKUP($A140,'S49'!$C:$BQ,29,0)</f>
        <v>#N/A</v>
      </c>
      <c r="AZ140" s="115" t="e">
        <f>VLOOKUP($A140,'S49'!$C:$BQ,30,0)</f>
        <v>#N/A</v>
      </c>
      <c r="BA140" s="115" t="e">
        <f>VLOOKUP($A140,'S49'!$C:$BQ,52,0)</f>
        <v>#N/A</v>
      </c>
      <c r="BB140" s="115" t="e">
        <f>VLOOKUP($A140,'S49'!$C:$BQ,59,0)</f>
        <v>#N/A</v>
      </c>
      <c r="BC140" s="115" t="e">
        <f>VLOOKUP($A140,'S49'!$C:$BQ,60,0)</f>
        <v>#N/A</v>
      </c>
      <c r="BD140" s="107" t="e">
        <f>VLOOKUP($A140,'S50'!$C:$BQ,32,0)</f>
        <v>#N/A</v>
      </c>
      <c r="BE140" s="107" t="e">
        <f>VLOOKUP($A140,'S50'!$C:$BQ,39,0)</f>
        <v>#N/A</v>
      </c>
      <c r="BF140" s="107" t="e">
        <f>VLOOKUP($A140,'S50'!$C:$BQ,40,0)</f>
        <v>#N/A</v>
      </c>
      <c r="BG140" s="107" t="e">
        <f>VLOOKUP($A140,'S50'!$C:$BQ,22,0)</f>
        <v>#N/A</v>
      </c>
      <c r="BH140" s="115" t="e">
        <f>VLOOKUP($A140,'S50'!$C:$BQ,29,0)</f>
        <v>#N/A</v>
      </c>
      <c r="BI140" s="115" t="e">
        <f>VLOOKUP($A140,'S50'!$C:$BQ,30,0)</f>
        <v>#N/A</v>
      </c>
      <c r="BJ140" s="115" t="e">
        <f>VLOOKUP($A140,'S50'!$C:$BQ,52,0)</f>
        <v>#N/A</v>
      </c>
      <c r="BK140" s="115" t="e">
        <f>VLOOKUP($A140,'S50'!$C:$BQ,59,0)</f>
        <v>#N/A</v>
      </c>
      <c r="BL140" s="115" t="e">
        <f>VLOOKUP($A140,'S50'!$C:$BQ,60,0)</f>
        <v>#N/A</v>
      </c>
    </row>
    <row r="141" spans="1:64" x14ac:dyDescent="0.2">
      <c r="A141" s="106" t="s">
        <v>205</v>
      </c>
      <c r="B141" s="107">
        <f>VLOOKUP($A141,'S0 remplacer avec S44'!$C:$BQ,32,0)</f>
        <v>113.1</v>
      </c>
      <c r="C141" s="107">
        <f>VLOOKUP($A141,'S0 remplacer avec S44'!$C:$BQ,39,0)</f>
        <v>55</v>
      </c>
      <c r="D141" s="107">
        <f>VLOOKUP($A141,'S0 remplacer avec S44'!$C:$BQ,40,0)</f>
        <v>89</v>
      </c>
      <c r="E141" s="107">
        <f>VLOOKUP($A141,'S0 remplacer avec S44'!$C:$BQ,22,0)</f>
        <v>1087.1326550000001</v>
      </c>
      <c r="F141" s="115">
        <f>VLOOKUP($A141,'S0 remplacer avec S44'!$C:$BQ,29,0)</f>
        <v>442</v>
      </c>
      <c r="G141" s="115">
        <f>VLOOKUP($A141,'S0 remplacer avec S44'!$C:$BQ,30,0)</f>
        <v>748</v>
      </c>
      <c r="H141" s="115">
        <f>VLOOKUP($A141,'S0 remplacer avec S44'!$C:$BQ,52,0)</f>
        <v>106.8</v>
      </c>
      <c r="I141" s="115">
        <f>VLOOKUP($A141,'S0 remplacer avec S44'!$C:$BQ,59,0)</f>
        <v>0</v>
      </c>
      <c r="J141" s="115">
        <f>VLOOKUP($A141,'S0 remplacer avec S44'!$C:$BQ,60,0)</f>
        <v>0</v>
      </c>
      <c r="K141" s="107" t="e">
        <f>VLOOKUP($A141,'S45'!$C:$BQ,32,0)</f>
        <v>#N/A</v>
      </c>
      <c r="L141" s="107" t="e">
        <f>VLOOKUP($A141,'S45'!$C:$BQ,39,0)</f>
        <v>#N/A</v>
      </c>
      <c r="M141" s="107" t="e">
        <f>VLOOKUP($A141,'S45'!$C:$BQ,40,0)</f>
        <v>#N/A</v>
      </c>
      <c r="N141" s="107" t="e">
        <f>VLOOKUP($A141,'S45'!$C:$BQ,22,0)</f>
        <v>#N/A</v>
      </c>
      <c r="O141" s="115" t="e">
        <f>VLOOKUP($A141,'S45'!$C:$BQ,29,0)</f>
        <v>#N/A</v>
      </c>
      <c r="P141" s="115" t="e">
        <f>VLOOKUP($A141,'S45'!$C:$BQ,30,0)</f>
        <v>#N/A</v>
      </c>
      <c r="Q141" s="115" t="e">
        <f>VLOOKUP($A141,'S45'!$C:$BQ,52,0)</f>
        <v>#N/A</v>
      </c>
      <c r="R141" s="115" t="e">
        <f>VLOOKUP($A141,'S45'!$C:$BQ,59,0)</f>
        <v>#N/A</v>
      </c>
      <c r="S141" s="115" t="e">
        <f>VLOOKUP($A141,'S45'!$C:$BQ,60,0)</f>
        <v>#N/A</v>
      </c>
      <c r="T141" s="107" t="e">
        <f>VLOOKUP($A141,'S46'!$C:$BQ,32,0)</f>
        <v>#N/A</v>
      </c>
      <c r="U141" s="107" t="e">
        <f>VLOOKUP($A141,'S46'!$C:$BQ,39,0)</f>
        <v>#N/A</v>
      </c>
      <c r="V141" s="107" t="e">
        <f>VLOOKUP($A141,'S46'!$C:$BQ,40,0)</f>
        <v>#N/A</v>
      </c>
      <c r="W141" s="107" t="e">
        <f>VLOOKUP($A141,'S46'!$C:$BQ,22,0)</f>
        <v>#N/A</v>
      </c>
      <c r="X141" s="115" t="e">
        <f>VLOOKUP($A141,'S46'!$C:$BQ,29,0)</f>
        <v>#N/A</v>
      </c>
      <c r="Y141" s="115" t="e">
        <f>VLOOKUP($A141,'S46'!$C:$BQ,30,0)</f>
        <v>#N/A</v>
      </c>
      <c r="Z141" s="115" t="e">
        <f>VLOOKUP($A141,'S46'!$C:$BQ,52,0)</f>
        <v>#N/A</v>
      </c>
      <c r="AA141" s="115" t="e">
        <f>VLOOKUP($A141,'S46'!$C:$BQ,59,0)</f>
        <v>#N/A</v>
      </c>
      <c r="AB141" s="115" t="e">
        <f>VLOOKUP($A141,'S46'!$C:$BQ,60,0)</f>
        <v>#N/A</v>
      </c>
      <c r="AC141" s="107" t="e">
        <f>VLOOKUP($A141,'S47'!$C:$BQ,32,0)</f>
        <v>#N/A</v>
      </c>
      <c r="AD141" s="107" t="e">
        <f>VLOOKUP($A141,'S47'!$C:$BQ,39,0)</f>
        <v>#N/A</v>
      </c>
      <c r="AE141" s="107" t="e">
        <f>VLOOKUP($A141,'S47'!$C:$BQ,40,0)</f>
        <v>#N/A</v>
      </c>
      <c r="AF141" s="107" t="e">
        <f>VLOOKUP($A141,'S47'!$C:$BQ,22,0)</f>
        <v>#N/A</v>
      </c>
      <c r="AG141" s="115" t="e">
        <f>VLOOKUP($A141,'S47'!$C:$BQ,29,0)</f>
        <v>#N/A</v>
      </c>
      <c r="AH141" s="115" t="e">
        <f>VLOOKUP($A141,'S47'!$C:$BQ,30,0)</f>
        <v>#N/A</v>
      </c>
      <c r="AI141" s="115" t="e">
        <f>VLOOKUP($A141,'S47'!$C:$BQ,52,0)</f>
        <v>#N/A</v>
      </c>
      <c r="AJ141" s="115" t="e">
        <f>VLOOKUP($A141,'S47'!$C:$BQ,59,0)</f>
        <v>#N/A</v>
      </c>
      <c r="AK141" s="115" t="e">
        <f>VLOOKUP($A141,'S47'!$C:$BQ,60,0)</f>
        <v>#N/A</v>
      </c>
      <c r="AL141" s="107" t="e">
        <f>VLOOKUP($A141,'S48'!$C:$BQ,32,0)</f>
        <v>#N/A</v>
      </c>
      <c r="AM141" s="107" t="e">
        <f>VLOOKUP($A141,'S48'!$C:$BQ,39,0)</f>
        <v>#N/A</v>
      </c>
      <c r="AN141" s="107" t="e">
        <f>VLOOKUP($A141,'S48'!$C:$BQ,40,0)</f>
        <v>#N/A</v>
      </c>
      <c r="AO141" s="107" t="e">
        <f>VLOOKUP($A141,'S48'!$C:$BQ,22,0)</f>
        <v>#N/A</v>
      </c>
      <c r="AP141" s="115" t="e">
        <f>VLOOKUP($A141,'S48'!$C:$BQ,29,0)</f>
        <v>#N/A</v>
      </c>
      <c r="AQ141" s="115" t="e">
        <f>VLOOKUP($A141,'S48'!$C:$BQ,30,0)</f>
        <v>#N/A</v>
      </c>
      <c r="AR141" s="115" t="e">
        <f>VLOOKUP($A141,'S48'!$C:$BQ,52,0)</f>
        <v>#N/A</v>
      </c>
      <c r="AS141" s="115" t="e">
        <f>VLOOKUP($A141,'S48'!$C:$BQ,59,0)</f>
        <v>#N/A</v>
      </c>
      <c r="AT141" s="115" t="e">
        <f>VLOOKUP($A141,'S48'!$C:$BQ,60,0)</f>
        <v>#N/A</v>
      </c>
      <c r="AU141" s="107" t="e">
        <f>VLOOKUP($A141,'S49'!$C:$BQ,32,0)</f>
        <v>#N/A</v>
      </c>
      <c r="AV141" s="107" t="e">
        <f>VLOOKUP($A141,'S49'!$C:$BQ,39,0)</f>
        <v>#N/A</v>
      </c>
      <c r="AW141" s="107" t="e">
        <f>VLOOKUP($A141,'S49'!$C:$BQ,40,0)</f>
        <v>#N/A</v>
      </c>
      <c r="AX141" s="107" t="e">
        <f>VLOOKUP($A141,'S49'!$C:$BQ,22,0)</f>
        <v>#N/A</v>
      </c>
      <c r="AY141" s="115" t="e">
        <f>VLOOKUP($A141,'S49'!$C:$BQ,29,0)</f>
        <v>#N/A</v>
      </c>
      <c r="AZ141" s="115" t="e">
        <f>VLOOKUP($A141,'S49'!$C:$BQ,30,0)</f>
        <v>#N/A</v>
      </c>
      <c r="BA141" s="115" t="e">
        <f>VLOOKUP($A141,'S49'!$C:$BQ,52,0)</f>
        <v>#N/A</v>
      </c>
      <c r="BB141" s="115" t="e">
        <f>VLOOKUP($A141,'S49'!$C:$BQ,59,0)</f>
        <v>#N/A</v>
      </c>
      <c r="BC141" s="115" t="e">
        <f>VLOOKUP($A141,'S49'!$C:$BQ,60,0)</f>
        <v>#N/A</v>
      </c>
      <c r="BD141" s="107" t="e">
        <f>VLOOKUP($A141,'S50'!$C:$BQ,32,0)</f>
        <v>#N/A</v>
      </c>
      <c r="BE141" s="107" t="e">
        <f>VLOOKUP($A141,'S50'!$C:$BQ,39,0)</f>
        <v>#N/A</v>
      </c>
      <c r="BF141" s="107" t="e">
        <f>VLOOKUP($A141,'S50'!$C:$BQ,40,0)</f>
        <v>#N/A</v>
      </c>
      <c r="BG141" s="107" t="e">
        <f>VLOOKUP($A141,'S50'!$C:$BQ,22,0)</f>
        <v>#N/A</v>
      </c>
      <c r="BH141" s="115" t="e">
        <f>VLOOKUP($A141,'S50'!$C:$BQ,29,0)</f>
        <v>#N/A</v>
      </c>
      <c r="BI141" s="115" t="e">
        <f>VLOOKUP($A141,'S50'!$C:$BQ,30,0)</f>
        <v>#N/A</v>
      </c>
      <c r="BJ141" s="115" t="e">
        <f>VLOOKUP($A141,'S50'!$C:$BQ,52,0)</f>
        <v>#N/A</v>
      </c>
      <c r="BK141" s="115" t="e">
        <f>VLOOKUP($A141,'S50'!$C:$BQ,59,0)</f>
        <v>#N/A</v>
      </c>
      <c r="BL141" s="115" t="e">
        <f>VLOOKUP($A141,'S50'!$C:$BQ,60,0)</f>
        <v>#N/A</v>
      </c>
    </row>
    <row r="142" spans="1:64" x14ac:dyDescent="0.2">
      <c r="A142" s="106" t="s">
        <v>206</v>
      </c>
      <c r="B142" s="107">
        <f>VLOOKUP($A142,'S0 remplacer avec S44'!$C:$BQ,32,0)</f>
        <v>694.95</v>
      </c>
      <c r="C142" s="107">
        <f>VLOOKUP($A142,'S0 remplacer avec S44'!$C:$BQ,39,0)</f>
        <v>0</v>
      </c>
      <c r="D142" s="107">
        <f>VLOOKUP($A142,'S0 remplacer avec S44'!$C:$BQ,40,0)</f>
        <v>109</v>
      </c>
      <c r="E142" s="107">
        <f>VLOOKUP($A142,'S0 remplacer avec S44'!$C:$BQ,22,0)</f>
        <v>6281.4003199999997</v>
      </c>
      <c r="F142" s="115">
        <f>VLOOKUP($A142,'S0 remplacer avec S44'!$C:$BQ,29,0)</f>
        <v>0</v>
      </c>
      <c r="G142" s="115">
        <f>VLOOKUP($A142,'S0 remplacer avec S44'!$C:$BQ,30,0)</f>
        <v>1028</v>
      </c>
      <c r="H142" s="115">
        <f>VLOOKUP($A142,'S0 remplacer avec S44'!$C:$BQ,52,0)</f>
        <v>408.8</v>
      </c>
      <c r="I142" s="115">
        <f>VLOOKUP($A142,'S0 remplacer avec S44'!$C:$BQ,59,0)</f>
        <v>0</v>
      </c>
      <c r="J142" s="115">
        <f>VLOOKUP($A142,'S0 remplacer avec S44'!$C:$BQ,60,0)</f>
        <v>0</v>
      </c>
      <c r="K142" s="107" t="e">
        <f>VLOOKUP($A142,'S45'!$C:$BQ,32,0)</f>
        <v>#N/A</v>
      </c>
      <c r="L142" s="107" t="e">
        <f>VLOOKUP($A142,'S45'!$C:$BQ,39,0)</f>
        <v>#N/A</v>
      </c>
      <c r="M142" s="107" t="e">
        <f>VLOOKUP($A142,'S45'!$C:$BQ,40,0)</f>
        <v>#N/A</v>
      </c>
      <c r="N142" s="107" t="e">
        <f>VLOOKUP($A142,'S45'!$C:$BQ,22,0)</f>
        <v>#N/A</v>
      </c>
      <c r="O142" s="115" t="e">
        <f>VLOOKUP($A142,'S45'!$C:$BQ,29,0)</f>
        <v>#N/A</v>
      </c>
      <c r="P142" s="115" t="e">
        <f>VLOOKUP($A142,'S45'!$C:$BQ,30,0)</f>
        <v>#N/A</v>
      </c>
      <c r="Q142" s="115" t="e">
        <f>VLOOKUP($A142,'S45'!$C:$BQ,52,0)</f>
        <v>#N/A</v>
      </c>
      <c r="R142" s="115" t="e">
        <f>VLOOKUP($A142,'S45'!$C:$BQ,59,0)</f>
        <v>#N/A</v>
      </c>
      <c r="S142" s="115" t="e">
        <f>VLOOKUP($A142,'S45'!$C:$BQ,60,0)</f>
        <v>#N/A</v>
      </c>
      <c r="T142" s="107" t="e">
        <f>VLOOKUP($A142,'S46'!$C:$BQ,32,0)</f>
        <v>#N/A</v>
      </c>
      <c r="U142" s="107" t="e">
        <f>VLOOKUP($A142,'S46'!$C:$BQ,39,0)</f>
        <v>#N/A</v>
      </c>
      <c r="V142" s="107" t="e">
        <f>VLOOKUP($A142,'S46'!$C:$BQ,40,0)</f>
        <v>#N/A</v>
      </c>
      <c r="W142" s="107" t="e">
        <f>VLOOKUP($A142,'S46'!$C:$BQ,22,0)</f>
        <v>#N/A</v>
      </c>
      <c r="X142" s="115" t="e">
        <f>VLOOKUP($A142,'S46'!$C:$BQ,29,0)</f>
        <v>#N/A</v>
      </c>
      <c r="Y142" s="115" t="e">
        <f>VLOOKUP($A142,'S46'!$C:$BQ,30,0)</f>
        <v>#N/A</v>
      </c>
      <c r="Z142" s="115" t="e">
        <f>VLOOKUP($A142,'S46'!$C:$BQ,52,0)</f>
        <v>#N/A</v>
      </c>
      <c r="AA142" s="115" t="e">
        <f>VLOOKUP($A142,'S46'!$C:$BQ,59,0)</f>
        <v>#N/A</v>
      </c>
      <c r="AB142" s="115" t="e">
        <f>VLOOKUP($A142,'S46'!$C:$BQ,60,0)</f>
        <v>#N/A</v>
      </c>
      <c r="AC142" s="107" t="e">
        <f>VLOOKUP($A142,'S47'!$C:$BQ,32,0)</f>
        <v>#N/A</v>
      </c>
      <c r="AD142" s="107" t="e">
        <f>VLOOKUP($A142,'S47'!$C:$BQ,39,0)</f>
        <v>#N/A</v>
      </c>
      <c r="AE142" s="107" t="e">
        <f>VLOOKUP($A142,'S47'!$C:$BQ,40,0)</f>
        <v>#N/A</v>
      </c>
      <c r="AF142" s="107" t="e">
        <f>VLOOKUP($A142,'S47'!$C:$BQ,22,0)</f>
        <v>#N/A</v>
      </c>
      <c r="AG142" s="115" t="e">
        <f>VLOOKUP($A142,'S47'!$C:$BQ,29,0)</f>
        <v>#N/A</v>
      </c>
      <c r="AH142" s="115" t="e">
        <f>VLOOKUP($A142,'S47'!$C:$BQ,30,0)</f>
        <v>#N/A</v>
      </c>
      <c r="AI142" s="115" t="e">
        <f>VLOOKUP($A142,'S47'!$C:$BQ,52,0)</f>
        <v>#N/A</v>
      </c>
      <c r="AJ142" s="115" t="e">
        <f>VLOOKUP($A142,'S47'!$C:$BQ,59,0)</f>
        <v>#N/A</v>
      </c>
      <c r="AK142" s="115" t="e">
        <f>VLOOKUP($A142,'S47'!$C:$BQ,60,0)</f>
        <v>#N/A</v>
      </c>
      <c r="AL142" s="107" t="e">
        <f>VLOOKUP($A142,'S48'!$C:$BQ,32,0)</f>
        <v>#N/A</v>
      </c>
      <c r="AM142" s="107" t="e">
        <f>VLOOKUP($A142,'S48'!$C:$BQ,39,0)</f>
        <v>#N/A</v>
      </c>
      <c r="AN142" s="107" t="e">
        <f>VLOOKUP($A142,'S48'!$C:$BQ,40,0)</f>
        <v>#N/A</v>
      </c>
      <c r="AO142" s="107" t="e">
        <f>VLOOKUP($A142,'S48'!$C:$BQ,22,0)</f>
        <v>#N/A</v>
      </c>
      <c r="AP142" s="115" t="e">
        <f>VLOOKUP($A142,'S48'!$C:$BQ,29,0)</f>
        <v>#N/A</v>
      </c>
      <c r="AQ142" s="115" t="e">
        <f>VLOOKUP($A142,'S48'!$C:$BQ,30,0)</f>
        <v>#N/A</v>
      </c>
      <c r="AR142" s="115" t="e">
        <f>VLOOKUP($A142,'S48'!$C:$BQ,52,0)</f>
        <v>#N/A</v>
      </c>
      <c r="AS142" s="115" t="e">
        <f>VLOOKUP($A142,'S48'!$C:$BQ,59,0)</f>
        <v>#N/A</v>
      </c>
      <c r="AT142" s="115" t="e">
        <f>VLOOKUP($A142,'S48'!$C:$BQ,60,0)</f>
        <v>#N/A</v>
      </c>
      <c r="AU142" s="107" t="e">
        <f>VLOOKUP($A142,'S49'!$C:$BQ,32,0)</f>
        <v>#N/A</v>
      </c>
      <c r="AV142" s="107" t="e">
        <f>VLOOKUP($A142,'S49'!$C:$BQ,39,0)</f>
        <v>#N/A</v>
      </c>
      <c r="AW142" s="107" t="e">
        <f>VLOOKUP($A142,'S49'!$C:$BQ,40,0)</f>
        <v>#N/A</v>
      </c>
      <c r="AX142" s="107" t="e">
        <f>VLOOKUP($A142,'S49'!$C:$BQ,22,0)</f>
        <v>#N/A</v>
      </c>
      <c r="AY142" s="115" t="e">
        <f>VLOOKUP($A142,'S49'!$C:$BQ,29,0)</f>
        <v>#N/A</v>
      </c>
      <c r="AZ142" s="115" t="e">
        <f>VLOOKUP($A142,'S49'!$C:$BQ,30,0)</f>
        <v>#N/A</v>
      </c>
      <c r="BA142" s="115" t="e">
        <f>VLOOKUP($A142,'S49'!$C:$BQ,52,0)</f>
        <v>#N/A</v>
      </c>
      <c r="BB142" s="115" t="e">
        <f>VLOOKUP($A142,'S49'!$C:$BQ,59,0)</f>
        <v>#N/A</v>
      </c>
      <c r="BC142" s="115" t="e">
        <f>VLOOKUP($A142,'S49'!$C:$BQ,60,0)</f>
        <v>#N/A</v>
      </c>
      <c r="BD142" s="107" t="e">
        <f>VLOOKUP($A142,'S50'!$C:$BQ,32,0)</f>
        <v>#N/A</v>
      </c>
      <c r="BE142" s="107" t="e">
        <f>VLOOKUP($A142,'S50'!$C:$BQ,39,0)</f>
        <v>#N/A</v>
      </c>
      <c r="BF142" s="107" t="e">
        <f>VLOOKUP($A142,'S50'!$C:$BQ,40,0)</f>
        <v>#N/A</v>
      </c>
      <c r="BG142" s="107" t="e">
        <f>VLOOKUP($A142,'S50'!$C:$BQ,22,0)</f>
        <v>#N/A</v>
      </c>
      <c r="BH142" s="115" t="e">
        <f>VLOOKUP($A142,'S50'!$C:$BQ,29,0)</f>
        <v>#N/A</v>
      </c>
      <c r="BI142" s="115" t="e">
        <f>VLOOKUP($A142,'S50'!$C:$BQ,30,0)</f>
        <v>#N/A</v>
      </c>
      <c r="BJ142" s="115" t="e">
        <f>VLOOKUP($A142,'S50'!$C:$BQ,52,0)</f>
        <v>#N/A</v>
      </c>
      <c r="BK142" s="115" t="e">
        <f>VLOOKUP($A142,'S50'!$C:$BQ,59,0)</f>
        <v>#N/A</v>
      </c>
      <c r="BL142" s="115" t="e">
        <f>VLOOKUP($A142,'S50'!$C:$BQ,60,0)</f>
        <v>#N/A</v>
      </c>
    </row>
    <row r="143" spans="1:64" x14ac:dyDescent="0.2">
      <c r="A143" s="106" t="s">
        <v>207</v>
      </c>
      <c r="B143" s="107">
        <f>VLOOKUP($A143,'S0 remplacer avec S44'!$C:$BQ,32,0)</f>
        <v>140.6</v>
      </c>
      <c r="C143" s="107">
        <f>VLOOKUP($A143,'S0 remplacer avec S44'!$C:$BQ,39,0)</f>
        <v>9</v>
      </c>
      <c r="D143" s="107">
        <f>VLOOKUP($A143,'S0 remplacer avec S44'!$C:$BQ,40,0)</f>
        <v>39</v>
      </c>
      <c r="E143" s="107">
        <f>VLOOKUP($A143,'S0 remplacer avec S44'!$C:$BQ,22,0)</f>
        <v>1520.49155</v>
      </c>
      <c r="F143" s="115">
        <f>VLOOKUP($A143,'S0 remplacer avec S44'!$C:$BQ,29,0)</f>
        <v>0</v>
      </c>
      <c r="G143" s="115">
        <f>VLOOKUP($A143,'S0 remplacer avec S44'!$C:$BQ,30,0)</f>
        <v>107</v>
      </c>
      <c r="H143" s="115">
        <f>VLOOKUP($A143,'S0 remplacer avec S44'!$C:$BQ,52,0)</f>
        <v>155</v>
      </c>
      <c r="I143" s="115">
        <f>VLOOKUP($A143,'S0 remplacer avec S44'!$C:$BQ,59,0)</f>
        <v>0</v>
      </c>
      <c r="J143" s="115">
        <f>VLOOKUP($A143,'S0 remplacer avec S44'!$C:$BQ,60,0)</f>
        <v>0</v>
      </c>
      <c r="K143" s="107" t="e">
        <f>VLOOKUP($A143,'S45'!$C:$BQ,32,0)</f>
        <v>#N/A</v>
      </c>
      <c r="L143" s="107" t="e">
        <f>VLOOKUP($A143,'S45'!$C:$BQ,39,0)</f>
        <v>#N/A</v>
      </c>
      <c r="M143" s="107" t="e">
        <f>VLOOKUP($A143,'S45'!$C:$BQ,40,0)</f>
        <v>#N/A</v>
      </c>
      <c r="N143" s="107" t="e">
        <f>VLOOKUP($A143,'S45'!$C:$BQ,22,0)</f>
        <v>#N/A</v>
      </c>
      <c r="O143" s="115" t="e">
        <f>VLOOKUP($A143,'S45'!$C:$BQ,29,0)</f>
        <v>#N/A</v>
      </c>
      <c r="P143" s="115" t="e">
        <f>VLOOKUP($A143,'S45'!$C:$BQ,30,0)</f>
        <v>#N/A</v>
      </c>
      <c r="Q143" s="115" t="e">
        <f>VLOOKUP($A143,'S45'!$C:$BQ,52,0)</f>
        <v>#N/A</v>
      </c>
      <c r="R143" s="115" t="e">
        <f>VLOOKUP($A143,'S45'!$C:$BQ,59,0)</f>
        <v>#N/A</v>
      </c>
      <c r="S143" s="115" t="e">
        <f>VLOOKUP($A143,'S45'!$C:$BQ,60,0)</f>
        <v>#N/A</v>
      </c>
      <c r="T143" s="107" t="e">
        <f>VLOOKUP($A143,'S46'!$C:$BQ,32,0)</f>
        <v>#N/A</v>
      </c>
      <c r="U143" s="107" t="e">
        <f>VLOOKUP($A143,'S46'!$C:$BQ,39,0)</f>
        <v>#N/A</v>
      </c>
      <c r="V143" s="107" t="e">
        <f>VLOOKUP($A143,'S46'!$C:$BQ,40,0)</f>
        <v>#N/A</v>
      </c>
      <c r="W143" s="107" t="e">
        <f>VLOOKUP($A143,'S46'!$C:$BQ,22,0)</f>
        <v>#N/A</v>
      </c>
      <c r="X143" s="115" t="e">
        <f>VLOOKUP($A143,'S46'!$C:$BQ,29,0)</f>
        <v>#N/A</v>
      </c>
      <c r="Y143" s="115" t="e">
        <f>VLOOKUP($A143,'S46'!$C:$BQ,30,0)</f>
        <v>#N/A</v>
      </c>
      <c r="Z143" s="115" t="e">
        <f>VLOOKUP($A143,'S46'!$C:$BQ,52,0)</f>
        <v>#N/A</v>
      </c>
      <c r="AA143" s="115" t="e">
        <f>VLOOKUP($A143,'S46'!$C:$BQ,59,0)</f>
        <v>#N/A</v>
      </c>
      <c r="AB143" s="115" t="e">
        <f>VLOOKUP($A143,'S46'!$C:$BQ,60,0)</f>
        <v>#N/A</v>
      </c>
      <c r="AC143" s="107" t="e">
        <f>VLOOKUP($A143,'S47'!$C:$BQ,32,0)</f>
        <v>#N/A</v>
      </c>
      <c r="AD143" s="107" t="e">
        <f>VLOOKUP($A143,'S47'!$C:$BQ,39,0)</f>
        <v>#N/A</v>
      </c>
      <c r="AE143" s="107" t="e">
        <f>VLOOKUP($A143,'S47'!$C:$BQ,40,0)</f>
        <v>#N/A</v>
      </c>
      <c r="AF143" s="107" t="e">
        <f>VLOOKUP($A143,'S47'!$C:$BQ,22,0)</f>
        <v>#N/A</v>
      </c>
      <c r="AG143" s="115" t="e">
        <f>VLOOKUP($A143,'S47'!$C:$BQ,29,0)</f>
        <v>#N/A</v>
      </c>
      <c r="AH143" s="115" t="e">
        <f>VLOOKUP($A143,'S47'!$C:$BQ,30,0)</f>
        <v>#N/A</v>
      </c>
      <c r="AI143" s="115" t="e">
        <f>VLOOKUP($A143,'S47'!$C:$BQ,52,0)</f>
        <v>#N/A</v>
      </c>
      <c r="AJ143" s="115" t="e">
        <f>VLOOKUP($A143,'S47'!$C:$BQ,59,0)</f>
        <v>#N/A</v>
      </c>
      <c r="AK143" s="115" t="e">
        <f>VLOOKUP($A143,'S47'!$C:$BQ,60,0)</f>
        <v>#N/A</v>
      </c>
      <c r="AL143" s="107" t="e">
        <f>VLOOKUP($A143,'S48'!$C:$BQ,32,0)</f>
        <v>#N/A</v>
      </c>
      <c r="AM143" s="107" t="e">
        <f>VLOOKUP($A143,'S48'!$C:$BQ,39,0)</f>
        <v>#N/A</v>
      </c>
      <c r="AN143" s="107" t="e">
        <f>VLOOKUP($A143,'S48'!$C:$BQ,40,0)</f>
        <v>#N/A</v>
      </c>
      <c r="AO143" s="107" t="e">
        <f>VLOOKUP($A143,'S48'!$C:$BQ,22,0)</f>
        <v>#N/A</v>
      </c>
      <c r="AP143" s="115" t="e">
        <f>VLOOKUP($A143,'S48'!$C:$BQ,29,0)</f>
        <v>#N/A</v>
      </c>
      <c r="AQ143" s="115" t="e">
        <f>VLOOKUP($A143,'S48'!$C:$BQ,30,0)</f>
        <v>#N/A</v>
      </c>
      <c r="AR143" s="115" t="e">
        <f>VLOOKUP($A143,'S48'!$C:$BQ,52,0)</f>
        <v>#N/A</v>
      </c>
      <c r="AS143" s="115" t="e">
        <f>VLOOKUP($A143,'S48'!$C:$BQ,59,0)</f>
        <v>#N/A</v>
      </c>
      <c r="AT143" s="115" t="e">
        <f>VLOOKUP($A143,'S48'!$C:$BQ,60,0)</f>
        <v>#N/A</v>
      </c>
      <c r="AU143" s="107" t="e">
        <f>VLOOKUP($A143,'S49'!$C:$BQ,32,0)</f>
        <v>#N/A</v>
      </c>
      <c r="AV143" s="107" t="e">
        <f>VLOOKUP($A143,'S49'!$C:$BQ,39,0)</f>
        <v>#N/A</v>
      </c>
      <c r="AW143" s="107" t="e">
        <f>VLOOKUP($A143,'S49'!$C:$BQ,40,0)</f>
        <v>#N/A</v>
      </c>
      <c r="AX143" s="107" t="e">
        <f>VLOOKUP($A143,'S49'!$C:$BQ,22,0)</f>
        <v>#N/A</v>
      </c>
      <c r="AY143" s="115" t="e">
        <f>VLOOKUP($A143,'S49'!$C:$BQ,29,0)</f>
        <v>#N/A</v>
      </c>
      <c r="AZ143" s="115" t="e">
        <f>VLOOKUP($A143,'S49'!$C:$BQ,30,0)</f>
        <v>#N/A</v>
      </c>
      <c r="BA143" s="115" t="e">
        <f>VLOOKUP($A143,'S49'!$C:$BQ,52,0)</f>
        <v>#N/A</v>
      </c>
      <c r="BB143" s="115" t="e">
        <f>VLOOKUP($A143,'S49'!$C:$BQ,59,0)</f>
        <v>#N/A</v>
      </c>
      <c r="BC143" s="115" t="e">
        <f>VLOOKUP($A143,'S49'!$C:$BQ,60,0)</f>
        <v>#N/A</v>
      </c>
      <c r="BD143" s="107" t="e">
        <f>VLOOKUP($A143,'S50'!$C:$BQ,32,0)</f>
        <v>#N/A</v>
      </c>
      <c r="BE143" s="107" t="e">
        <f>VLOOKUP($A143,'S50'!$C:$BQ,39,0)</f>
        <v>#N/A</v>
      </c>
      <c r="BF143" s="107" t="e">
        <f>VLOOKUP($A143,'S50'!$C:$BQ,40,0)</f>
        <v>#N/A</v>
      </c>
      <c r="BG143" s="107" t="e">
        <f>VLOOKUP($A143,'S50'!$C:$BQ,22,0)</f>
        <v>#N/A</v>
      </c>
      <c r="BH143" s="115" t="e">
        <f>VLOOKUP($A143,'S50'!$C:$BQ,29,0)</f>
        <v>#N/A</v>
      </c>
      <c r="BI143" s="115" t="e">
        <f>VLOOKUP($A143,'S50'!$C:$BQ,30,0)</f>
        <v>#N/A</v>
      </c>
      <c r="BJ143" s="115" t="e">
        <f>VLOOKUP($A143,'S50'!$C:$BQ,52,0)</f>
        <v>#N/A</v>
      </c>
      <c r="BK143" s="115" t="e">
        <f>VLOOKUP($A143,'S50'!$C:$BQ,59,0)</f>
        <v>#N/A</v>
      </c>
      <c r="BL143" s="115" t="e">
        <f>VLOOKUP($A143,'S50'!$C:$BQ,60,0)</f>
        <v>#N/A</v>
      </c>
    </row>
    <row r="144" spans="1:64" x14ac:dyDescent="0.2">
      <c r="A144" s="106" t="s">
        <v>208</v>
      </c>
      <c r="B144" s="107">
        <f>VLOOKUP($A144,'S0 remplacer avec S44'!$C:$BQ,32,0)</f>
        <v>119</v>
      </c>
      <c r="C144" s="107">
        <f>VLOOKUP($A144,'S0 remplacer avec S44'!$C:$BQ,39,0)</f>
        <v>1</v>
      </c>
      <c r="D144" s="107">
        <f>VLOOKUP($A144,'S0 remplacer avec S44'!$C:$BQ,40,0)</f>
        <v>24</v>
      </c>
      <c r="E144" s="107">
        <f>VLOOKUP($A144,'S0 remplacer avec S44'!$C:$BQ,22,0)</f>
        <v>1187.9262000000001</v>
      </c>
      <c r="F144" s="115">
        <f>VLOOKUP($A144,'S0 remplacer avec S44'!$C:$BQ,29,0)</f>
        <v>0</v>
      </c>
      <c r="G144" s="115">
        <f>VLOOKUP($A144,'S0 remplacer avec S44'!$C:$BQ,30,0)</f>
        <v>112</v>
      </c>
      <c r="H144" s="115">
        <f>VLOOKUP($A144,'S0 remplacer avec S44'!$C:$BQ,52,0)</f>
        <v>83.6</v>
      </c>
      <c r="I144" s="115">
        <f>VLOOKUP($A144,'S0 remplacer avec S44'!$C:$BQ,59,0)</f>
        <v>0</v>
      </c>
      <c r="J144" s="115">
        <f>VLOOKUP($A144,'S0 remplacer avec S44'!$C:$BQ,60,0)</f>
        <v>0</v>
      </c>
      <c r="K144" s="107" t="e">
        <f>VLOOKUP($A144,'S45'!$C:$BQ,32,0)</f>
        <v>#N/A</v>
      </c>
      <c r="L144" s="107" t="e">
        <f>VLOOKUP($A144,'S45'!$C:$BQ,39,0)</f>
        <v>#N/A</v>
      </c>
      <c r="M144" s="107" t="e">
        <f>VLOOKUP($A144,'S45'!$C:$BQ,40,0)</f>
        <v>#N/A</v>
      </c>
      <c r="N144" s="107" t="e">
        <f>VLOOKUP($A144,'S45'!$C:$BQ,22,0)</f>
        <v>#N/A</v>
      </c>
      <c r="O144" s="115" t="e">
        <f>VLOOKUP($A144,'S45'!$C:$BQ,29,0)</f>
        <v>#N/A</v>
      </c>
      <c r="P144" s="115" t="e">
        <f>VLOOKUP($A144,'S45'!$C:$BQ,30,0)</f>
        <v>#N/A</v>
      </c>
      <c r="Q144" s="115" t="e">
        <f>VLOOKUP($A144,'S45'!$C:$BQ,52,0)</f>
        <v>#N/A</v>
      </c>
      <c r="R144" s="115" t="e">
        <f>VLOOKUP($A144,'S45'!$C:$BQ,59,0)</f>
        <v>#N/A</v>
      </c>
      <c r="S144" s="115" t="e">
        <f>VLOOKUP($A144,'S45'!$C:$BQ,60,0)</f>
        <v>#N/A</v>
      </c>
      <c r="T144" s="107" t="e">
        <f>VLOOKUP($A144,'S46'!$C:$BQ,32,0)</f>
        <v>#N/A</v>
      </c>
      <c r="U144" s="107" t="e">
        <f>VLOOKUP($A144,'S46'!$C:$BQ,39,0)</f>
        <v>#N/A</v>
      </c>
      <c r="V144" s="107" t="e">
        <f>VLOOKUP($A144,'S46'!$C:$BQ,40,0)</f>
        <v>#N/A</v>
      </c>
      <c r="W144" s="107" t="e">
        <f>VLOOKUP($A144,'S46'!$C:$BQ,22,0)</f>
        <v>#N/A</v>
      </c>
      <c r="X144" s="115" t="e">
        <f>VLOOKUP($A144,'S46'!$C:$BQ,29,0)</f>
        <v>#N/A</v>
      </c>
      <c r="Y144" s="115" t="e">
        <f>VLOOKUP($A144,'S46'!$C:$BQ,30,0)</f>
        <v>#N/A</v>
      </c>
      <c r="Z144" s="115" t="e">
        <f>VLOOKUP($A144,'S46'!$C:$BQ,52,0)</f>
        <v>#N/A</v>
      </c>
      <c r="AA144" s="115" t="e">
        <f>VLOOKUP($A144,'S46'!$C:$BQ,59,0)</f>
        <v>#N/A</v>
      </c>
      <c r="AB144" s="115" t="e">
        <f>VLOOKUP($A144,'S46'!$C:$BQ,60,0)</f>
        <v>#N/A</v>
      </c>
      <c r="AC144" s="107" t="e">
        <f>VLOOKUP($A144,'S47'!$C:$BQ,32,0)</f>
        <v>#N/A</v>
      </c>
      <c r="AD144" s="107" t="e">
        <f>VLOOKUP($A144,'S47'!$C:$BQ,39,0)</f>
        <v>#N/A</v>
      </c>
      <c r="AE144" s="107" t="e">
        <f>VLOOKUP($A144,'S47'!$C:$BQ,40,0)</f>
        <v>#N/A</v>
      </c>
      <c r="AF144" s="107" t="e">
        <f>VLOOKUP($A144,'S47'!$C:$BQ,22,0)</f>
        <v>#N/A</v>
      </c>
      <c r="AG144" s="115" t="e">
        <f>VLOOKUP($A144,'S47'!$C:$BQ,29,0)</f>
        <v>#N/A</v>
      </c>
      <c r="AH144" s="115" t="e">
        <f>VLOOKUP($A144,'S47'!$C:$BQ,30,0)</f>
        <v>#N/A</v>
      </c>
      <c r="AI144" s="115" t="e">
        <f>VLOOKUP($A144,'S47'!$C:$BQ,52,0)</f>
        <v>#N/A</v>
      </c>
      <c r="AJ144" s="115" t="e">
        <f>VLOOKUP($A144,'S47'!$C:$BQ,59,0)</f>
        <v>#N/A</v>
      </c>
      <c r="AK144" s="115" t="e">
        <f>VLOOKUP($A144,'S47'!$C:$BQ,60,0)</f>
        <v>#N/A</v>
      </c>
      <c r="AL144" s="107" t="e">
        <f>VLOOKUP($A144,'S48'!$C:$BQ,32,0)</f>
        <v>#N/A</v>
      </c>
      <c r="AM144" s="107" t="e">
        <f>VLOOKUP($A144,'S48'!$C:$BQ,39,0)</f>
        <v>#N/A</v>
      </c>
      <c r="AN144" s="107" t="e">
        <f>VLOOKUP($A144,'S48'!$C:$BQ,40,0)</f>
        <v>#N/A</v>
      </c>
      <c r="AO144" s="107" t="e">
        <f>VLOOKUP($A144,'S48'!$C:$BQ,22,0)</f>
        <v>#N/A</v>
      </c>
      <c r="AP144" s="115" t="e">
        <f>VLOOKUP($A144,'S48'!$C:$BQ,29,0)</f>
        <v>#N/A</v>
      </c>
      <c r="AQ144" s="115" t="e">
        <f>VLOOKUP($A144,'S48'!$C:$BQ,30,0)</f>
        <v>#N/A</v>
      </c>
      <c r="AR144" s="115" t="e">
        <f>VLOOKUP($A144,'S48'!$C:$BQ,52,0)</f>
        <v>#N/A</v>
      </c>
      <c r="AS144" s="115" t="e">
        <f>VLOOKUP($A144,'S48'!$C:$BQ,59,0)</f>
        <v>#N/A</v>
      </c>
      <c r="AT144" s="115" t="e">
        <f>VLOOKUP($A144,'S48'!$C:$BQ,60,0)</f>
        <v>#N/A</v>
      </c>
      <c r="AU144" s="107" t="e">
        <f>VLOOKUP($A144,'S49'!$C:$BQ,32,0)</f>
        <v>#N/A</v>
      </c>
      <c r="AV144" s="107" t="e">
        <f>VLOOKUP($A144,'S49'!$C:$BQ,39,0)</f>
        <v>#N/A</v>
      </c>
      <c r="AW144" s="107" t="e">
        <f>VLOOKUP($A144,'S49'!$C:$BQ,40,0)</f>
        <v>#N/A</v>
      </c>
      <c r="AX144" s="107" t="e">
        <f>VLOOKUP($A144,'S49'!$C:$BQ,22,0)</f>
        <v>#N/A</v>
      </c>
      <c r="AY144" s="115" t="e">
        <f>VLOOKUP($A144,'S49'!$C:$BQ,29,0)</f>
        <v>#N/A</v>
      </c>
      <c r="AZ144" s="115" t="e">
        <f>VLOOKUP($A144,'S49'!$C:$BQ,30,0)</f>
        <v>#N/A</v>
      </c>
      <c r="BA144" s="115" t="e">
        <f>VLOOKUP($A144,'S49'!$C:$BQ,52,0)</f>
        <v>#N/A</v>
      </c>
      <c r="BB144" s="115" t="e">
        <f>VLOOKUP($A144,'S49'!$C:$BQ,59,0)</f>
        <v>#N/A</v>
      </c>
      <c r="BC144" s="115" t="e">
        <f>VLOOKUP($A144,'S49'!$C:$BQ,60,0)</f>
        <v>#N/A</v>
      </c>
      <c r="BD144" s="107" t="e">
        <f>VLOOKUP($A144,'S50'!$C:$BQ,32,0)</f>
        <v>#N/A</v>
      </c>
      <c r="BE144" s="107" t="e">
        <f>VLOOKUP($A144,'S50'!$C:$BQ,39,0)</f>
        <v>#N/A</v>
      </c>
      <c r="BF144" s="107" t="e">
        <f>VLOOKUP($A144,'S50'!$C:$BQ,40,0)</f>
        <v>#N/A</v>
      </c>
      <c r="BG144" s="107" t="e">
        <f>VLOOKUP($A144,'S50'!$C:$BQ,22,0)</f>
        <v>#N/A</v>
      </c>
      <c r="BH144" s="115" t="e">
        <f>VLOOKUP($A144,'S50'!$C:$BQ,29,0)</f>
        <v>#N/A</v>
      </c>
      <c r="BI144" s="115" t="e">
        <f>VLOOKUP($A144,'S50'!$C:$BQ,30,0)</f>
        <v>#N/A</v>
      </c>
      <c r="BJ144" s="115" t="e">
        <f>VLOOKUP($A144,'S50'!$C:$BQ,52,0)</f>
        <v>#N/A</v>
      </c>
      <c r="BK144" s="115" t="e">
        <f>VLOOKUP($A144,'S50'!$C:$BQ,59,0)</f>
        <v>#N/A</v>
      </c>
      <c r="BL144" s="115" t="e">
        <f>VLOOKUP($A144,'S50'!$C:$BQ,60,0)</f>
        <v>#N/A</v>
      </c>
    </row>
    <row r="145" spans="1:64" x14ac:dyDescent="0.2">
      <c r="A145" s="106" t="s">
        <v>209</v>
      </c>
      <c r="B145" s="107">
        <f>VLOOKUP($A145,'S0 remplacer avec S44'!$C:$BQ,32,0)</f>
        <v>464.15</v>
      </c>
      <c r="C145" s="107">
        <f>VLOOKUP($A145,'S0 remplacer avec S44'!$C:$BQ,39,0)</f>
        <v>42</v>
      </c>
      <c r="D145" s="107">
        <f>VLOOKUP($A145,'S0 remplacer avec S44'!$C:$BQ,40,0)</f>
        <v>143</v>
      </c>
      <c r="E145" s="107">
        <f>VLOOKUP($A145,'S0 remplacer avec S44'!$C:$BQ,22,0)</f>
        <v>4261.0627949999998</v>
      </c>
      <c r="F145" s="115">
        <f>VLOOKUP($A145,'S0 remplacer avec S44'!$C:$BQ,29,0)</f>
        <v>336</v>
      </c>
      <c r="G145" s="115">
        <f>VLOOKUP($A145,'S0 remplacer avec S44'!$C:$BQ,30,0)</f>
        <v>1255</v>
      </c>
      <c r="H145" s="115">
        <f>VLOOKUP($A145,'S0 remplacer avec S44'!$C:$BQ,52,0)</f>
        <v>344.6</v>
      </c>
      <c r="I145" s="115">
        <f>VLOOKUP($A145,'S0 remplacer avec S44'!$C:$BQ,59,0)</f>
        <v>0</v>
      </c>
      <c r="J145" s="115">
        <f>VLOOKUP($A145,'S0 remplacer avec S44'!$C:$BQ,60,0)</f>
        <v>0</v>
      </c>
      <c r="K145" s="107" t="e">
        <f>VLOOKUP($A145,'S45'!$C:$BQ,32,0)</f>
        <v>#N/A</v>
      </c>
      <c r="L145" s="107" t="e">
        <f>VLOOKUP($A145,'S45'!$C:$BQ,39,0)</f>
        <v>#N/A</v>
      </c>
      <c r="M145" s="107" t="e">
        <f>VLOOKUP($A145,'S45'!$C:$BQ,40,0)</f>
        <v>#N/A</v>
      </c>
      <c r="N145" s="107" t="e">
        <f>VLOOKUP($A145,'S45'!$C:$BQ,22,0)</f>
        <v>#N/A</v>
      </c>
      <c r="O145" s="115" t="e">
        <f>VLOOKUP($A145,'S45'!$C:$BQ,29,0)</f>
        <v>#N/A</v>
      </c>
      <c r="P145" s="115" t="e">
        <f>VLOOKUP($A145,'S45'!$C:$BQ,30,0)</f>
        <v>#N/A</v>
      </c>
      <c r="Q145" s="115" t="e">
        <f>VLOOKUP($A145,'S45'!$C:$BQ,52,0)</f>
        <v>#N/A</v>
      </c>
      <c r="R145" s="115" t="e">
        <f>VLOOKUP($A145,'S45'!$C:$BQ,59,0)</f>
        <v>#N/A</v>
      </c>
      <c r="S145" s="115" t="e">
        <f>VLOOKUP($A145,'S45'!$C:$BQ,60,0)</f>
        <v>#N/A</v>
      </c>
      <c r="T145" s="107" t="e">
        <f>VLOOKUP($A145,'S46'!$C:$BQ,32,0)</f>
        <v>#N/A</v>
      </c>
      <c r="U145" s="107" t="e">
        <f>VLOOKUP($A145,'S46'!$C:$BQ,39,0)</f>
        <v>#N/A</v>
      </c>
      <c r="V145" s="107" t="e">
        <f>VLOOKUP($A145,'S46'!$C:$BQ,40,0)</f>
        <v>#N/A</v>
      </c>
      <c r="W145" s="107" t="e">
        <f>VLOOKUP($A145,'S46'!$C:$BQ,22,0)</f>
        <v>#N/A</v>
      </c>
      <c r="X145" s="115" t="e">
        <f>VLOOKUP($A145,'S46'!$C:$BQ,29,0)</f>
        <v>#N/A</v>
      </c>
      <c r="Y145" s="115" t="e">
        <f>VLOOKUP($A145,'S46'!$C:$BQ,30,0)</f>
        <v>#N/A</v>
      </c>
      <c r="Z145" s="115" t="e">
        <f>VLOOKUP($A145,'S46'!$C:$BQ,52,0)</f>
        <v>#N/A</v>
      </c>
      <c r="AA145" s="115" t="e">
        <f>VLOOKUP($A145,'S46'!$C:$BQ,59,0)</f>
        <v>#N/A</v>
      </c>
      <c r="AB145" s="115" t="e">
        <f>VLOOKUP($A145,'S46'!$C:$BQ,60,0)</f>
        <v>#N/A</v>
      </c>
      <c r="AC145" s="107" t="e">
        <f>VLOOKUP($A145,'S47'!$C:$BQ,32,0)</f>
        <v>#N/A</v>
      </c>
      <c r="AD145" s="107" t="e">
        <f>VLOOKUP($A145,'S47'!$C:$BQ,39,0)</f>
        <v>#N/A</v>
      </c>
      <c r="AE145" s="107" t="e">
        <f>VLOOKUP($A145,'S47'!$C:$BQ,40,0)</f>
        <v>#N/A</v>
      </c>
      <c r="AF145" s="107" t="e">
        <f>VLOOKUP($A145,'S47'!$C:$BQ,22,0)</f>
        <v>#N/A</v>
      </c>
      <c r="AG145" s="115" t="e">
        <f>VLOOKUP($A145,'S47'!$C:$BQ,29,0)</f>
        <v>#N/A</v>
      </c>
      <c r="AH145" s="115" t="e">
        <f>VLOOKUP($A145,'S47'!$C:$BQ,30,0)</f>
        <v>#N/A</v>
      </c>
      <c r="AI145" s="115" t="e">
        <f>VLOOKUP($A145,'S47'!$C:$BQ,52,0)</f>
        <v>#N/A</v>
      </c>
      <c r="AJ145" s="115" t="e">
        <f>VLOOKUP($A145,'S47'!$C:$BQ,59,0)</f>
        <v>#N/A</v>
      </c>
      <c r="AK145" s="115" t="e">
        <f>VLOOKUP($A145,'S47'!$C:$BQ,60,0)</f>
        <v>#N/A</v>
      </c>
      <c r="AL145" s="107" t="e">
        <f>VLOOKUP($A145,'S48'!$C:$BQ,32,0)</f>
        <v>#N/A</v>
      </c>
      <c r="AM145" s="107" t="e">
        <f>VLOOKUP($A145,'S48'!$C:$BQ,39,0)</f>
        <v>#N/A</v>
      </c>
      <c r="AN145" s="107" t="e">
        <f>VLOOKUP($A145,'S48'!$C:$BQ,40,0)</f>
        <v>#N/A</v>
      </c>
      <c r="AO145" s="107" t="e">
        <f>VLOOKUP($A145,'S48'!$C:$BQ,22,0)</f>
        <v>#N/A</v>
      </c>
      <c r="AP145" s="115" t="e">
        <f>VLOOKUP($A145,'S48'!$C:$BQ,29,0)</f>
        <v>#N/A</v>
      </c>
      <c r="AQ145" s="115" t="e">
        <f>VLOOKUP($A145,'S48'!$C:$BQ,30,0)</f>
        <v>#N/A</v>
      </c>
      <c r="AR145" s="115" t="e">
        <f>VLOOKUP($A145,'S48'!$C:$BQ,52,0)</f>
        <v>#N/A</v>
      </c>
      <c r="AS145" s="115" t="e">
        <f>VLOOKUP($A145,'S48'!$C:$BQ,59,0)</f>
        <v>#N/A</v>
      </c>
      <c r="AT145" s="115" t="e">
        <f>VLOOKUP($A145,'S48'!$C:$BQ,60,0)</f>
        <v>#N/A</v>
      </c>
      <c r="AU145" s="107" t="e">
        <f>VLOOKUP($A145,'S49'!$C:$BQ,32,0)</f>
        <v>#N/A</v>
      </c>
      <c r="AV145" s="107" t="e">
        <f>VLOOKUP($A145,'S49'!$C:$BQ,39,0)</f>
        <v>#N/A</v>
      </c>
      <c r="AW145" s="107" t="e">
        <f>VLOOKUP($A145,'S49'!$C:$BQ,40,0)</f>
        <v>#N/A</v>
      </c>
      <c r="AX145" s="107" t="e">
        <f>VLOOKUP($A145,'S49'!$C:$BQ,22,0)</f>
        <v>#N/A</v>
      </c>
      <c r="AY145" s="115" t="e">
        <f>VLOOKUP($A145,'S49'!$C:$BQ,29,0)</f>
        <v>#N/A</v>
      </c>
      <c r="AZ145" s="115" t="e">
        <f>VLOOKUP($A145,'S49'!$C:$BQ,30,0)</f>
        <v>#N/A</v>
      </c>
      <c r="BA145" s="115" t="e">
        <f>VLOOKUP($A145,'S49'!$C:$BQ,52,0)</f>
        <v>#N/A</v>
      </c>
      <c r="BB145" s="115" t="e">
        <f>VLOOKUP($A145,'S49'!$C:$BQ,59,0)</f>
        <v>#N/A</v>
      </c>
      <c r="BC145" s="115" t="e">
        <f>VLOOKUP($A145,'S49'!$C:$BQ,60,0)</f>
        <v>#N/A</v>
      </c>
      <c r="BD145" s="107" t="e">
        <f>VLOOKUP($A145,'S50'!$C:$BQ,32,0)</f>
        <v>#N/A</v>
      </c>
      <c r="BE145" s="107" t="e">
        <f>VLOOKUP($A145,'S50'!$C:$BQ,39,0)</f>
        <v>#N/A</v>
      </c>
      <c r="BF145" s="107" t="e">
        <f>VLOOKUP($A145,'S50'!$C:$BQ,40,0)</f>
        <v>#N/A</v>
      </c>
      <c r="BG145" s="107" t="e">
        <f>VLOOKUP($A145,'S50'!$C:$BQ,22,0)</f>
        <v>#N/A</v>
      </c>
      <c r="BH145" s="115" t="e">
        <f>VLOOKUP($A145,'S50'!$C:$BQ,29,0)</f>
        <v>#N/A</v>
      </c>
      <c r="BI145" s="115" t="e">
        <f>VLOOKUP($A145,'S50'!$C:$BQ,30,0)</f>
        <v>#N/A</v>
      </c>
      <c r="BJ145" s="115" t="e">
        <f>VLOOKUP($A145,'S50'!$C:$BQ,52,0)</f>
        <v>#N/A</v>
      </c>
      <c r="BK145" s="115" t="e">
        <f>VLOOKUP($A145,'S50'!$C:$BQ,59,0)</f>
        <v>#N/A</v>
      </c>
      <c r="BL145" s="115" t="e">
        <f>VLOOKUP($A145,'S50'!$C:$BQ,60,0)</f>
        <v>#N/A</v>
      </c>
    </row>
    <row r="146" spans="1:64" x14ac:dyDescent="0.2">
      <c r="A146" s="106" t="s">
        <v>210</v>
      </c>
      <c r="B146" s="107">
        <f>VLOOKUP($A146,'S0 remplacer avec S44'!$C:$BQ,32,0)</f>
        <v>240.4</v>
      </c>
      <c r="C146" s="107">
        <f>VLOOKUP($A146,'S0 remplacer avec S44'!$C:$BQ,39,0)</f>
        <v>0</v>
      </c>
      <c r="D146" s="107">
        <f>VLOOKUP($A146,'S0 remplacer avec S44'!$C:$BQ,40,0)</f>
        <v>40</v>
      </c>
      <c r="E146" s="107">
        <f>VLOOKUP($A146,'S0 remplacer avec S44'!$C:$BQ,22,0)</f>
        <v>2492.0674049999998</v>
      </c>
      <c r="F146" s="115">
        <f>VLOOKUP($A146,'S0 remplacer avec S44'!$C:$BQ,29,0)</f>
        <v>0</v>
      </c>
      <c r="G146" s="115">
        <f>VLOOKUP($A146,'S0 remplacer avec S44'!$C:$BQ,30,0)</f>
        <v>50</v>
      </c>
      <c r="H146" s="115">
        <f>VLOOKUP($A146,'S0 remplacer avec S44'!$C:$BQ,52,0)</f>
        <v>204</v>
      </c>
      <c r="I146" s="115">
        <f>VLOOKUP($A146,'S0 remplacer avec S44'!$C:$BQ,59,0)</f>
        <v>0</v>
      </c>
      <c r="J146" s="115">
        <f>VLOOKUP($A146,'S0 remplacer avec S44'!$C:$BQ,60,0)</f>
        <v>0</v>
      </c>
      <c r="K146" s="107" t="e">
        <f>VLOOKUP($A146,'S45'!$C:$BQ,32,0)</f>
        <v>#N/A</v>
      </c>
      <c r="L146" s="107" t="e">
        <f>VLOOKUP($A146,'S45'!$C:$BQ,39,0)</f>
        <v>#N/A</v>
      </c>
      <c r="M146" s="107" t="e">
        <f>VLOOKUP($A146,'S45'!$C:$BQ,40,0)</f>
        <v>#N/A</v>
      </c>
      <c r="N146" s="107" t="e">
        <f>VLOOKUP($A146,'S45'!$C:$BQ,22,0)</f>
        <v>#N/A</v>
      </c>
      <c r="O146" s="115" t="e">
        <f>VLOOKUP($A146,'S45'!$C:$BQ,29,0)</f>
        <v>#N/A</v>
      </c>
      <c r="P146" s="115" t="e">
        <f>VLOOKUP($A146,'S45'!$C:$BQ,30,0)</f>
        <v>#N/A</v>
      </c>
      <c r="Q146" s="115" t="e">
        <f>VLOOKUP($A146,'S45'!$C:$BQ,52,0)</f>
        <v>#N/A</v>
      </c>
      <c r="R146" s="115" t="e">
        <f>VLOOKUP($A146,'S45'!$C:$BQ,59,0)</f>
        <v>#N/A</v>
      </c>
      <c r="S146" s="115" t="e">
        <f>VLOOKUP($A146,'S45'!$C:$BQ,60,0)</f>
        <v>#N/A</v>
      </c>
      <c r="T146" s="107" t="e">
        <f>VLOOKUP($A146,'S46'!$C:$BQ,32,0)</f>
        <v>#N/A</v>
      </c>
      <c r="U146" s="107" t="e">
        <f>VLOOKUP($A146,'S46'!$C:$BQ,39,0)</f>
        <v>#N/A</v>
      </c>
      <c r="V146" s="107" t="e">
        <f>VLOOKUP($A146,'S46'!$C:$BQ,40,0)</f>
        <v>#N/A</v>
      </c>
      <c r="W146" s="107" t="e">
        <f>VLOOKUP($A146,'S46'!$C:$BQ,22,0)</f>
        <v>#N/A</v>
      </c>
      <c r="X146" s="115" t="e">
        <f>VLOOKUP($A146,'S46'!$C:$BQ,29,0)</f>
        <v>#N/A</v>
      </c>
      <c r="Y146" s="115" t="e">
        <f>VLOOKUP($A146,'S46'!$C:$BQ,30,0)</f>
        <v>#N/A</v>
      </c>
      <c r="Z146" s="115" t="e">
        <f>VLOOKUP($A146,'S46'!$C:$BQ,52,0)</f>
        <v>#N/A</v>
      </c>
      <c r="AA146" s="115" t="e">
        <f>VLOOKUP($A146,'S46'!$C:$BQ,59,0)</f>
        <v>#N/A</v>
      </c>
      <c r="AB146" s="115" t="e">
        <f>VLOOKUP($A146,'S46'!$C:$BQ,60,0)</f>
        <v>#N/A</v>
      </c>
      <c r="AC146" s="107" t="e">
        <f>VLOOKUP($A146,'S47'!$C:$BQ,32,0)</f>
        <v>#N/A</v>
      </c>
      <c r="AD146" s="107" t="e">
        <f>VLOOKUP($A146,'S47'!$C:$BQ,39,0)</f>
        <v>#N/A</v>
      </c>
      <c r="AE146" s="107" t="e">
        <f>VLOOKUP($A146,'S47'!$C:$BQ,40,0)</f>
        <v>#N/A</v>
      </c>
      <c r="AF146" s="107" t="e">
        <f>VLOOKUP($A146,'S47'!$C:$BQ,22,0)</f>
        <v>#N/A</v>
      </c>
      <c r="AG146" s="115" t="e">
        <f>VLOOKUP($A146,'S47'!$C:$BQ,29,0)</f>
        <v>#N/A</v>
      </c>
      <c r="AH146" s="115" t="e">
        <f>VLOOKUP($A146,'S47'!$C:$BQ,30,0)</f>
        <v>#N/A</v>
      </c>
      <c r="AI146" s="115" t="e">
        <f>VLOOKUP($A146,'S47'!$C:$BQ,52,0)</f>
        <v>#N/A</v>
      </c>
      <c r="AJ146" s="115" t="e">
        <f>VLOOKUP($A146,'S47'!$C:$BQ,59,0)</f>
        <v>#N/A</v>
      </c>
      <c r="AK146" s="115" t="e">
        <f>VLOOKUP($A146,'S47'!$C:$BQ,60,0)</f>
        <v>#N/A</v>
      </c>
      <c r="AL146" s="107" t="e">
        <f>VLOOKUP($A146,'S48'!$C:$BQ,32,0)</f>
        <v>#N/A</v>
      </c>
      <c r="AM146" s="107" t="e">
        <f>VLOOKUP($A146,'S48'!$C:$BQ,39,0)</f>
        <v>#N/A</v>
      </c>
      <c r="AN146" s="107" t="e">
        <f>VLOOKUP($A146,'S48'!$C:$BQ,40,0)</f>
        <v>#N/A</v>
      </c>
      <c r="AO146" s="107" t="e">
        <f>VLOOKUP($A146,'S48'!$C:$BQ,22,0)</f>
        <v>#N/A</v>
      </c>
      <c r="AP146" s="115" t="e">
        <f>VLOOKUP($A146,'S48'!$C:$BQ,29,0)</f>
        <v>#N/A</v>
      </c>
      <c r="AQ146" s="115" t="e">
        <f>VLOOKUP($A146,'S48'!$C:$BQ,30,0)</f>
        <v>#N/A</v>
      </c>
      <c r="AR146" s="115" t="e">
        <f>VLOOKUP($A146,'S48'!$C:$BQ,52,0)</f>
        <v>#N/A</v>
      </c>
      <c r="AS146" s="115" t="e">
        <f>VLOOKUP($A146,'S48'!$C:$BQ,59,0)</f>
        <v>#N/A</v>
      </c>
      <c r="AT146" s="115" t="e">
        <f>VLOOKUP($A146,'S48'!$C:$BQ,60,0)</f>
        <v>#N/A</v>
      </c>
      <c r="AU146" s="107" t="e">
        <f>VLOOKUP($A146,'S49'!$C:$BQ,32,0)</f>
        <v>#N/A</v>
      </c>
      <c r="AV146" s="107" t="e">
        <f>VLOOKUP($A146,'S49'!$C:$BQ,39,0)</f>
        <v>#N/A</v>
      </c>
      <c r="AW146" s="107" t="e">
        <f>VLOOKUP($A146,'S49'!$C:$BQ,40,0)</f>
        <v>#N/A</v>
      </c>
      <c r="AX146" s="107" t="e">
        <f>VLOOKUP($A146,'S49'!$C:$BQ,22,0)</f>
        <v>#N/A</v>
      </c>
      <c r="AY146" s="115" t="e">
        <f>VLOOKUP($A146,'S49'!$C:$BQ,29,0)</f>
        <v>#N/A</v>
      </c>
      <c r="AZ146" s="115" t="e">
        <f>VLOOKUP($A146,'S49'!$C:$BQ,30,0)</f>
        <v>#N/A</v>
      </c>
      <c r="BA146" s="115" t="e">
        <f>VLOOKUP($A146,'S49'!$C:$BQ,52,0)</f>
        <v>#N/A</v>
      </c>
      <c r="BB146" s="115" t="e">
        <f>VLOOKUP($A146,'S49'!$C:$BQ,59,0)</f>
        <v>#N/A</v>
      </c>
      <c r="BC146" s="115" t="e">
        <f>VLOOKUP($A146,'S49'!$C:$BQ,60,0)</f>
        <v>#N/A</v>
      </c>
      <c r="BD146" s="107" t="e">
        <f>VLOOKUP($A146,'S50'!$C:$BQ,32,0)</f>
        <v>#N/A</v>
      </c>
      <c r="BE146" s="107" t="e">
        <f>VLOOKUP($A146,'S50'!$C:$BQ,39,0)</f>
        <v>#N/A</v>
      </c>
      <c r="BF146" s="107" t="e">
        <f>VLOOKUP($A146,'S50'!$C:$BQ,40,0)</f>
        <v>#N/A</v>
      </c>
      <c r="BG146" s="107" t="e">
        <f>VLOOKUP($A146,'S50'!$C:$BQ,22,0)</f>
        <v>#N/A</v>
      </c>
      <c r="BH146" s="115" t="e">
        <f>VLOOKUP($A146,'S50'!$C:$BQ,29,0)</f>
        <v>#N/A</v>
      </c>
      <c r="BI146" s="115" t="e">
        <f>VLOOKUP($A146,'S50'!$C:$BQ,30,0)</f>
        <v>#N/A</v>
      </c>
      <c r="BJ146" s="115" t="e">
        <f>VLOOKUP($A146,'S50'!$C:$BQ,52,0)</f>
        <v>#N/A</v>
      </c>
      <c r="BK146" s="115" t="e">
        <f>VLOOKUP($A146,'S50'!$C:$BQ,59,0)</f>
        <v>#N/A</v>
      </c>
      <c r="BL146" s="115" t="e">
        <f>VLOOKUP($A146,'S50'!$C:$BQ,60,0)</f>
        <v>#N/A</v>
      </c>
    </row>
    <row r="147" spans="1:64" x14ac:dyDescent="0.2">
      <c r="A147" s="106" t="s">
        <v>211</v>
      </c>
      <c r="B147" s="107">
        <f>VLOOKUP($A147,'S0 remplacer avec S44'!$C:$BQ,32,0)</f>
        <v>176.05</v>
      </c>
      <c r="C147" s="107">
        <f>VLOOKUP($A147,'S0 remplacer avec S44'!$C:$BQ,39,0)</f>
        <v>1</v>
      </c>
      <c r="D147" s="107">
        <f>VLOOKUP($A147,'S0 remplacer avec S44'!$C:$BQ,40,0)</f>
        <v>37</v>
      </c>
      <c r="E147" s="107">
        <f>VLOOKUP($A147,'S0 remplacer avec S44'!$C:$BQ,22,0)</f>
        <v>1732.9791700000001</v>
      </c>
      <c r="F147" s="115">
        <f>VLOOKUP($A147,'S0 remplacer avec S44'!$C:$BQ,29,0)</f>
        <v>0</v>
      </c>
      <c r="G147" s="115">
        <f>VLOOKUP($A147,'S0 remplacer avec S44'!$C:$BQ,30,0)</f>
        <v>197</v>
      </c>
      <c r="H147" s="115">
        <f>VLOOKUP($A147,'S0 remplacer avec S44'!$C:$BQ,52,0)</f>
        <v>160.4</v>
      </c>
      <c r="I147" s="115">
        <f>VLOOKUP($A147,'S0 remplacer avec S44'!$C:$BQ,59,0)</f>
        <v>0</v>
      </c>
      <c r="J147" s="115">
        <f>VLOOKUP($A147,'S0 remplacer avec S44'!$C:$BQ,60,0)</f>
        <v>0</v>
      </c>
      <c r="K147" s="107" t="e">
        <f>VLOOKUP($A147,'S45'!$C:$BQ,32,0)</f>
        <v>#N/A</v>
      </c>
      <c r="L147" s="107" t="e">
        <f>VLOOKUP($A147,'S45'!$C:$BQ,39,0)</f>
        <v>#N/A</v>
      </c>
      <c r="M147" s="107" t="e">
        <f>VLOOKUP($A147,'S45'!$C:$BQ,40,0)</f>
        <v>#N/A</v>
      </c>
      <c r="N147" s="107" t="e">
        <f>VLOOKUP($A147,'S45'!$C:$BQ,22,0)</f>
        <v>#N/A</v>
      </c>
      <c r="O147" s="115" t="e">
        <f>VLOOKUP($A147,'S45'!$C:$BQ,29,0)</f>
        <v>#N/A</v>
      </c>
      <c r="P147" s="115" t="e">
        <f>VLOOKUP($A147,'S45'!$C:$BQ,30,0)</f>
        <v>#N/A</v>
      </c>
      <c r="Q147" s="115" t="e">
        <f>VLOOKUP($A147,'S45'!$C:$BQ,52,0)</f>
        <v>#N/A</v>
      </c>
      <c r="R147" s="115" t="e">
        <f>VLOOKUP($A147,'S45'!$C:$BQ,59,0)</f>
        <v>#N/A</v>
      </c>
      <c r="S147" s="115" t="e">
        <f>VLOOKUP($A147,'S45'!$C:$BQ,60,0)</f>
        <v>#N/A</v>
      </c>
      <c r="T147" s="107" t="e">
        <f>VLOOKUP($A147,'S46'!$C:$BQ,32,0)</f>
        <v>#N/A</v>
      </c>
      <c r="U147" s="107" t="e">
        <f>VLOOKUP($A147,'S46'!$C:$BQ,39,0)</f>
        <v>#N/A</v>
      </c>
      <c r="V147" s="107" t="e">
        <f>VLOOKUP($A147,'S46'!$C:$BQ,40,0)</f>
        <v>#N/A</v>
      </c>
      <c r="W147" s="107" t="e">
        <f>VLOOKUP($A147,'S46'!$C:$BQ,22,0)</f>
        <v>#N/A</v>
      </c>
      <c r="X147" s="115" t="e">
        <f>VLOOKUP($A147,'S46'!$C:$BQ,29,0)</f>
        <v>#N/A</v>
      </c>
      <c r="Y147" s="115" t="e">
        <f>VLOOKUP($A147,'S46'!$C:$BQ,30,0)</f>
        <v>#N/A</v>
      </c>
      <c r="Z147" s="115" t="e">
        <f>VLOOKUP($A147,'S46'!$C:$BQ,52,0)</f>
        <v>#N/A</v>
      </c>
      <c r="AA147" s="115" t="e">
        <f>VLOOKUP($A147,'S46'!$C:$BQ,59,0)</f>
        <v>#N/A</v>
      </c>
      <c r="AB147" s="115" t="e">
        <f>VLOOKUP($A147,'S46'!$C:$BQ,60,0)</f>
        <v>#N/A</v>
      </c>
      <c r="AC147" s="107" t="e">
        <f>VLOOKUP($A147,'S47'!$C:$BQ,32,0)</f>
        <v>#N/A</v>
      </c>
      <c r="AD147" s="107" t="e">
        <f>VLOOKUP($A147,'S47'!$C:$BQ,39,0)</f>
        <v>#N/A</v>
      </c>
      <c r="AE147" s="107" t="e">
        <f>VLOOKUP($A147,'S47'!$C:$BQ,40,0)</f>
        <v>#N/A</v>
      </c>
      <c r="AF147" s="107" t="e">
        <f>VLOOKUP($A147,'S47'!$C:$BQ,22,0)</f>
        <v>#N/A</v>
      </c>
      <c r="AG147" s="115" t="e">
        <f>VLOOKUP($A147,'S47'!$C:$BQ,29,0)</f>
        <v>#N/A</v>
      </c>
      <c r="AH147" s="115" t="e">
        <f>VLOOKUP($A147,'S47'!$C:$BQ,30,0)</f>
        <v>#N/A</v>
      </c>
      <c r="AI147" s="115" t="e">
        <f>VLOOKUP($A147,'S47'!$C:$BQ,52,0)</f>
        <v>#N/A</v>
      </c>
      <c r="AJ147" s="115" t="e">
        <f>VLOOKUP($A147,'S47'!$C:$BQ,59,0)</f>
        <v>#N/A</v>
      </c>
      <c r="AK147" s="115" t="e">
        <f>VLOOKUP($A147,'S47'!$C:$BQ,60,0)</f>
        <v>#N/A</v>
      </c>
      <c r="AL147" s="107" t="e">
        <f>VLOOKUP($A147,'S48'!$C:$BQ,32,0)</f>
        <v>#N/A</v>
      </c>
      <c r="AM147" s="107" t="e">
        <f>VLOOKUP($A147,'S48'!$C:$BQ,39,0)</f>
        <v>#N/A</v>
      </c>
      <c r="AN147" s="107" t="e">
        <f>VLOOKUP($A147,'S48'!$C:$BQ,40,0)</f>
        <v>#N/A</v>
      </c>
      <c r="AO147" s="107" t="e">
        <f>VLOOKUP($A147,'S48'!$C:$BQ,22,0)</f>
        <v>#N/A</v>
      </c>
      <c r="AP147" s="115" t="e">
        <f>VLOOKUP($A147,'S48'!$C:$BQ,29,0)</f>
        <v>#N/A</v>
      </c>
      <c r="AQ147" s="115" t="e">
        <f>VLOOKUP($A147,'S48'!$C:$BQ,30,0)</f>
        <v>#N/A</v>
      </c>
      <c r="AR147" s="115" t="e">
        <f>VLOOKUP($A147,'S48'!$C:$BQ,52,0)</f>
        <v>#N/A</v>
      </c>
      <c r="AS147" s="115" t="e">
        <f>VLOOKUP($A147,'S48'!$C:$BQ,59,0)</f>
        <v>#N/A</v>
      </c>
      <c r="AT147" s="115" t="e">
        <f>VLOOKUP($A147,'S48'!$C:$BQ,60,0)</f>
        <v>#N/A</v>
      </c>
      <c r="AU147" s="107" t="e">
        <f>VLOOKUP($A147,'S49'!$C:$BQ,32,0)</f>
        <v>#N/A</v>
      </c>
      <c r="AV147" s="107" t="e">
        <f>VLOOKUP($A147,'S49'!$C:$BQ,39,0)</f>
        <v>#N/A</v>
      </c>
      <c r="AW147" s="107" t="e">
        <f>VLOOKUP($A147,'S49'!$C:$BQ,40,0)</f>
        <v>#N/A</v>
      </c>
      <c r="AX147" s="107" t="e">
        <f>VLOOKUP($A147,'S49'!$C:$BQ,22,0)</f>
        <v>#N/A</v>
      </c>
      <c r="AY147" s="115" t="e">
        <f>VLOOKUP($A147,'S49'!$C:$BQ,29,0)</f>
        <v>#N/A</v>
      </c>
      <c r="AZ147" s="115" t="e">
        <f>VLOOKUP($A147,'S49'!$C:$BQ,30,0)</f>
        <v>#N/A</v>
      </c>
      <c r="BA147" s="115" t="e">
        <f>VLOOKUP($A147,'S49'!$C:$BQ,52,0)</f>
        <v>#N/A</v>
      </c>
      <c r="BB147" s="115" t="e">
        <f>VLOOKUP($A147,'S49'!$C:$BQ,59,0)</f>
        <v>#N/A</v>
      </c>
      <c r="BC147" s="115" t="e">
        <f>VLOOKUP($A147,'S49'!$C:$BQ,60,0)</f>
        <v>#N/A</v>
      </c>
      <c r="BD147" s="107" t="e">
        <f>VLOOKUP($A147,'S50'!$C:$BQ,32,0)</f>
        <v>#N/A</v>
      </c>
      <c r="BE147" s="107" t="e">
        <f>VLOOKUP($A147,'S50'!$C:$BQ,39,0)</f>
        <v>#N/A</v>
      </c>
      <c r="BF147" s="107" t="e">
        <f>VLOOKUP($A147,'S50'!$C:$BQ,40,0)</f>
        <v>#N/A</v>
      </c>
      <c r="BG147" s="107" t="e">
        <f>VLOOKUP($A147,'S50'!$C:$BQ,22,0)</f>
        <v>#N/A</v>
      </c>
      <c r="BH147" s="115" t="e">
        <f>VLOOKUP($A147,'S50'!$C:$BQ,29,0)</f>
        <v>#N/A</v>
      </c>
      <c r="BI147" s="115" t="e">
        <f>VLOOKUP($A147,'S50'!$C:$BQ,30,0)</f>
        <v>#N/A</v>
      </c>
      <c r="BJ147" s="115" t="e">
        <f>VLOOKUP($A147,'S50'!$C:$BQ,52,0)</f>
        <v>#N/A</v>
      </c>
      <c r="BK147" s="115" t="e">
        <f>VLOOKUP($A147,'S50'!$C:$BQ,59,0)</f>
        <v>#N/A</v>
      </c>
      <c r="BL147" s="115" t="e">
        <f>VLOOKUP($A147,'S50'!$C:$BQ,60,0)</f>
        <v>#N/A</v>
      </c>
    </row>
    <row r="148" spans="1:64" x14ac:dyDescent="0.2">
      <c r="A148" s="106" t="s">
        <v>212</v>
      </c>
      <c r="B148" s="107">
        <f>VLOOKUP($A148,'S0 remplacer avec S44'!$C:$BQ,32,0)</f>
        <v>216.45</v>
      </c>
      <c r="C148" s="107">
        <f>VLOOKUP($A148,'S0 remplacer avec S44'!$C:$BQ,39,0)</f>
        <v>19</v>
      </c>
      <c r="D148" s="107">
        <f>VLOOKUP($A148,'S0 remplacer avec S44'!$C:$BQ,40,0)</f>
        <v>66</v>
      </c>
      <c r="E148" s="107">
        <f>VLOOKUP($A148,'S0 remplacer avec S44'!$C:$BQ,22,0)</f>
        <v>1681.955305</v>
      </c>
      <c r="F148" s="115">
        <f>VLOOKUP($A148,'S0 remplacer avec S44'!$C:$BQ,29,0)</f>
        <v>453</v>
      </c>
      <c r="G148" s="115">
        <f>VLOOKUP($A148,'S0 remplacer avec S44'!$C:$BQ,30,0)</f>
        <v>880</v>
      </c>
      <c r="H148" s="115">
        <f>VLOOKUP($A148,'S0 remplacer avec S44'!$C:$BQ,52,0)</f>
        <v>195.2</v>
      </c>
      <c r="I148" s="115">
        <f>VLOOKUP($A148,'S0 remplacer avec S44'!$C:$BQ,59,0)</f>
        <v>0</v>
      </c>
      <c r="J148" s="115">
        <f>VLOOKUP($A148,'S0 remplacer avec S44'!$C:$BQ,60,0)</f>
        <v>0</v>
      </c>
      <c r="K148" s="107" t="e">
        <f>VLOOKUP($A148,'S45'!$C:$BQ,32,0)</f>
        <v>#N/A</v>
      </c>
      <c r="L148" s="107" t="e">
        <f>VLOOKUP($A148,'S45'!$C:$BQ,39,0)</f>
        <v>#N/A</v>
      </c>
      <c r="M148" s="107" t="e">
        <f>VLOOKUP($A148,'S45'!$C:$BQ,40,0)</f>
        <v>#N/A</v>
      </c>
      <c r="N148" s="107" t="e">
        <f>VLOOKUP($A148,'S45'!$C:$BQ,22,0)</f>
        <v>#N/A</v>
      </c>
      <c r="O148" s="115" t="e">
        <f>VLOOKUP($A148,'S45'!$C:$BQ,29,0)</f>
        <v>#N/A</v>
      </c>
      <c r="P148" s="115" t="e">
        <f>VLOOKUP($A148,'S45'!$C:$BQ,30,0)</f>
        <v>#N/A</v>
      </c>
      <c r="Q148" s="115" t="e">
        <f>VLOOKUP($A148,'S45'!$C:$BQ,52,0)</f>
        <v>#N/A</v>
      </c>
      <c r="R148" s="115" t="e">
        <f>VLOOKUP($A148,'S45'!$C:$BQ,59,0)</f>
        <v>#N/A</v>
      </c>
      <c r="S148" s="115" t="e">
        <f>VLOOKUP($A148,'S45'!$C:$BQ,60,0)</f>
        <v>#N/A</v>
      </c>
      <c r="T148" s="107" t="e">
        <f>VLOOKUP($A148,'S46'!$C:$BQ,32,0)</f>
        <v>#N/A</v>
      </c>
      <c r="U148" s="107" t="e">
        <f>VLOOKUP($A148,'S46'!$C:$BQ,39,0)</f>
        <v>#N/A</v>
      </c>
      <c r="V148" s="107" t="e">
        <f>VLOOKUP($A148,'S46'!$C:$BQ,40,0)</f>
        <v>#N/A</v>
      </c>
      <c r="W148" s="107" t="e">
        <f>VLOOKUP($A148,'S46'!$C:$BQ,22,0)</f>
        <v>#N/A</v>
      </c>
      <c r="X148" s="115" t="e">
        <f>VLOOKUP($A148,'S46'!$C:$BQ,29,0)</f>
        <v>#N/A</v>
      </c>
      <c r="Y148" s="115" t="e">
        <f>VLOOKUP($A148,'S46'!$C:$BQ,30,0)</f>
        <v>#N/A</v>
      </c>
      <c r="Z148" s="115" t="e">
        <f>VLOOKUP($A148,'S46'!$C:$BQ,52,0)</f>
        <v>#N/A</v>
      </c>
      <c r="AA148" s="115" t="e">
        <f>VLOOKUP($A148,'S46'!$C:$BQ,59,0)</f>
        <v>#N/A</v>
      </c>
      <c r="AB148" s="115" t="e">
        <f>VLOOKUP($A148,'S46'!$C:$BQ,60,0)</f>
        <v>#N/A</v>
      </c>
      <c r="AC148" s="107" t="e">
        <f>VLOOKUP($A148,'S47'!$C:$BQ,32,0)</f>
        <v>#N/A</v>
      </c>
      <c r="AD148" s="107" t="e">
        <f>VLOOKUP($A148,'S47'!$C:$BQ,39,0)</f>
        <v>#N/A</v>
      </c>
      <c r="AE148" s="107" t="e">
        <f>VLOOKUP($A148,'S47'!$C:$BQ,40,0)</f>
        <v>#N/A</v>
      </c>
      <c r="AF148" s="107" t="e">
        <f>VLOOKUP($A148,'S47'!$C:$BQ,22,0)</f>
        <v>#N/A</v>
      </c>
      <c r="AG148" s="115" t="e">
        <f>VLOOKUP($A148,'S47'!$C:$BQ,29,0)</f>
        <v>#N/A</v>
      </c>
      <c r="AH148" s="115" t="e">
        <f>VLOOKUP($A148,'S47'!$C:$BQ,30,0)</f>
        <v>#N/A</v>
      </c>
      <c r="AI148" s="115" t="e">
        <f>VLOOKUP($A148,'S47'!$C:$BQ,52,0)</f>
        <v>#N/A</v>
      </c>
      <c r="AJ148" s="115" t="e">
        <f>VLOOKUP($A148,'S47'!$C:$BQ,59,0)</f>
        <v>#N/A</v>
      </c>
      <c r="AK148" s="115" t="e">
        <f>VLOOKUP($A148,'S47'!$C:$BQ,60,0)</f>
        <v>#N/A</v>
      </c>
      <c r="AL148" s="107" t="e">
        <f>VLOOKUP($A148,'S48'!$C:$BQ,32,0)</f>
        <v>#N/A</v>
      </c>
      <c r="AM148" s="107" t="e">
        <f>VLOOKUP($A148,'S48'!$C:$BQ,39,0)</f>
        <v>#N/A</v>
      </c>
      <c r="AN148" s="107" t="e">
        <f>VLOOKUP($A148,'S48'!$C:$BQ,40,0)</f>
        <v>#N/A</v>
      </c>
      <c r="AO148" s="107" t="e">
        <f>VLOOKUP($A148,'S48'!$C:$BQ,22,0)</f>
        <v>#N/A</v>
      </c>
      <c r="AP148" s="115" t="e">
        <f>VLOOKUP($A148,'S48'!$C:$BQ,29,0)</f>
        <v>#N/A</v>
      </c>
      <c r="AQ148" s="115" t="e">
        <f>VLOOKUP($A148,'S48'!$C:$BQ,30,0)</f>
        <v>#N/A</v>
      </c>
      <c r="AR148" s="115" t="e">
        <f>VLOOKUP($A148,'S48'!$C:$BQ,52,0)</f>
        <v>#N/A</v>
      </c>
      <c r="AS148" s="115" t="e">
        <f>VLOOKUP($A148,'S48'!$C:$BQ,59,0)</f>
        <v>#N/A</v>
      </c>
      <c r="AT148" s="115" t="e">
        <f>VLOOKUP($A148,'S48'!$C:$BQ,60,0)</f>
        <v>#N/A</v>
      </c>
      <c r="AU148" s="107" t="e">
        <f>VLOOKUP($A148,'S49'!$C:$BQ,32,0)</f>
        <v>#N/A</v>
      </c>
      <c r="AV148" s="107" t="e">
        <f>VLOOKUP($A148,'S49'!$C:$BQ,39,0)</f>
        <v>#N/A</v>
      </c>
      <c r="AW148" s="107" t="e">
        <f>VLOOKUP($A148,'S49'!$C:$BQ,40,0)</f>
        <v>#N/A</v>
      </c>
      <c r="AX148" s="107" t="e">
        <f>VLOOKUP($A148,'S49'!$C:$BQ,22,0)</f>
        <v>#N/A</v>
      </c>
      <c r="AY148" s="115" t="e">
        <f>VLOOKUP($A148,'S49'!$C:$BQ,29,0)</f>
        <v>#N/A</v>
      </c>
      <c r="AZ148" s="115" t="e">
        <f>VLOOKUP($A148,'S49'!$C:$BQ,30,0)</f>
        <v>#N/A</v>
      </c>
      <c r="BA148" s="115" t="e">
        <f>VLOOKUP($A148,'S49'!$C:$BQ,52,0)</f>
        <v>#N/A</v>
      </c>
      <c r="BB148" s="115" t="e">
        <f>VLOOKUP($A148,'S49'!$C:$BQ,59,0)</f>
        <v>#N/A</v>
      </c>
      <c r="BC148" s="115" t="e">
        <f>VLOOKUP($A148,'S49'!$C:$BQ,60,0)</f>
        <v>#N/A</v>
      </c>
      <c r="BD148" s="107" t="e">
        <f>VLOOKUP($A148,'S50'!$C:$BQ,32,0)</f>
        <v>#N/A</v>
      </c>
      <c r="BE148" s="107" t="e">
        <f>VLOOKUP($A148,'S50'!$C:$BQ,39,0)</f>
        <v>#N/A</v>
      </c>
      <c r="BF148" s="107" t="e">
        <f>VLOOKUP($A148,'S50'!$C:$BQ,40,0)</f>
        <v>#N/A</v>
      </c>
      <c r="BG148" s="107" t="e">
        <f>VLOOKUP($A148,'S50'!$C:$BQ,22,0)</f>
        <v>#N/A</v>
      </c>
      <c r="BH148" s="115" t="e">
        <f>VLOOKUP($A148,'S50'!$C:$BQ,29,0)</f>
        <v>#N/A</v>
      </c>
      <c r="BI148" s="115" t="e">
        <f>VLOOKUP($A148,'S50'!$C:$BQ,30,0)</f>
        <v>#N/A</v>
      </c>
      <c r="BJ148" s="115" t="e">
        <f>VLOOKUP($A148,'S50'!$C:$BQ,52,0)</f>
        <v>#N/A</v>
      </c>
      <c r="BK148" s="115" t="e">
        <f>VLOOKUP($A148,'S50'!$C:$BQ,59,0)</f>
        <v>#N/A</v>
      </c>
      <c r="BL148" s="115" t="e">
        <f>VLOOKUP($A148,'S50'!$C:$BQ,60,0)</f>
        <v>#N/A</v>
      </c>
    </row>
    <row r="149" spans="1:64" x14ac:dyDescent="0.2">
      <c r="A149" s="106" t="s">
        <v>213</v>
      </c>
      <c r="B149" s="107">
        <f>VLOOKUP($A149,'S0 remplacer avec S44'!$C:$BQ,32,0)</f>
        <v>281.3</v>
      </c>
      <c r="C149" s="107">
        <f>VLOOKUP($A149,'S0 remplacer avec S44'!$C:$BQ,39,0)</f>
        <v>219</v>
      </c>
      <c r="D149" s="107">
        <f>VLOOKUP($A149,'S0 remplacer avec S44'!$C:$BQ,40,0)</f>
        <v>319</v>
      </c>
      <c r="E149" s="107">
        <f>VLOOKUP($A149,'S0 remplacer avec S44'!$C:$BQ,22,0)</f>
        <v>2932.4932050000002</v>
      </c>
      <c r="F149" s="115">
        <f>VLOOKUP($A149,'S0 remplacer avec S44'!$C:$BQ,29,0)</f>
        <v>1613</v>
      </c>
      <c r="G149" s="115">
        <f>VLOOKUP($A149,'S0 remplacer avec S44'!$C:$BQ,30,0)</f>
        <v>2522</v>
      </c>
      <c r="H149" s="115">
        <f>VLOOKUP($A149,'S0 remplacer avec S44'!$C:$BQ,52,0)</f>
        <v>246.4</v>
      </c>
      <c r="I149" s="115">
        <f>VLOOKUP($A149,'S0 remplacer avec S44'!$C:$BQ,59,0)</f>
        <v>8</v>
      </c>
      <c r="J149" s="115">
        <f>VLOOKUP($A149,'S0 remplacer avec S44'!$C:$BQ,60,0)</f>
        <v>59</v>
      </c>
      <c r="K149" s="107" t="e">
        <f>VLOOKUP($A149,'S45'!$C:$BQ,32,0)</f>
        <v>#N/A</v>
      </c>
      <c r="L149" s="107" t="e">
        <f>VLOOKUP($A149,'S45'!$C:$BQ,39,0)</f>
        <v>#N/A</v>
      </c>
      <c r="M149" s="107" t="e">
        <f>VLOOKUP($A149,'S45'!$C:$BQ,40,0)</f>
        <v>#N/A</v>
      </c>
      <c r="N149" s="107" t="e">
        <f>VLOOKUP($A149,'S45'!$C:$BQ,22,0)</f>
        <v>#N/A</v>
      </c>
      <c r="O149" s="115" t="e">
        <f>VLOOKUP($A149,'S45'!$C:$BQ,29,0)</f>
        <v>#N/A</v>
      </c>
      <c r="P149" s="115" t="e">
        <f>VLOOKUP($A149,'S45'!$C:$BQ,30,0)</f>
        <v>#N/A</v>
      </c>
      <c r="Q149" s="115" t="e">
        <f>VLOOKUP($A149,'S45'!$C:$BQ,52,0)</f>
        <v>#N/A</v>
      </c>
      <c r="R149" s="115" t="e">
        <f>VLOOKUP($A149,'S45'!$C:$BQ,59,0)</f>
        <v>#N/A</v>
      </c>
      <c r="S149" s="115" t="e">
        <f>VLOOKUP($A149,'S45'!$C:$BQ,60,0)</f>
        <v>#N/A</v>
      </c>
      <c r="T149" s="107" t="e">
        <f>VLOOKUP($A149,'S46'!$C:$BQ,32,0)</f>
        <v>#N/A</v>
      </c>
      <c r="U149" s="107" t="e">
        <f>VLOOKUP($A149,'S46'!$C:$BQ,39,0)</f>
        <v>#N/A</v>
      </c>
      <c r="V149" s="107" t="e">
        <f>VLOOKUP($A149,'S46'!$C:$BQ,40,0)</f>
        <v>#N/A</v>
      </c>
      <c r="W149" s="107" t="e">
        <f>VLOOKUP($A149,'S46'!$C:$BQ,22,0)</f>
        <v>#N/A</v>
      </c>
      <c r="X149" s="115" t="e">
        <f>VLOOKUP($A149,'S46'!$C:$BQ,29,0)</f>
        <v>#N/A</v>
      </c>
      <c r="Y149" s="115" t="e">
        <f>VLOOKUP($A149,'S46'!$C:$BQ,30,0)</f>
        <v>#N/A</v>
      </c>
      <c r="Z149" s="115" t="e">
        <f>VLOOKUP($A149,'S46'!$C:$BQ,52,0)</f>
        <v>#N/A</v>
      </c>
      <c r="AA149" s="115" t="e">
        <f>VLOOKUP($A149,'S46'!$C:$BQ,59,0)</f>
        <v>#N/A</v>
      </c>
      <c r="AB149" s="115" t="e">
        <f>VLOOKUP($A149,'S46'!$C:$BQ,60,0)</f>
        <v>#N/A</v>
      </c>
      <c r="AC149" s="107" t="e">
        <f>VLOOKUP($A149,'S47'!$C:$BQ,32,0)</f>
        <v>#N/A</v>
      </c>
      <c r="AD149" s="107" t="e">
        <f>VLOOKUP($A149,'S47'!$C:$BQ,39,0)</f>
        <v>#N/A</v>
      </c>
      <c r="AE149" s="107" t="e">
        <f>VLOOKUP($A149,'S47'!$C:$BQ,40,0)</f>
        <v>#N/A</v>
      </c>
      <c r="AF149" s="107" t="e">
        <f>VLOOKUP($A149,'S47'!$C:$BQ,22,0)</f>
        <v>#N/A</v>
      </c>
      <c r="AG149" s="115" t="e">
        <f>VLOOKUP($A149,'S47'!$C:$BQ,29,0)</f>
        <v>#N/A</v>
      </c>
      <c r="AH149" s="115" t="e">
        <f>VLOOKUP($A149,'S47'!$C:$BQ,30,0)</f>
        <v>#N/A</v>
      </c>
      <c r="AI149" s="115" t="e">
        <f>VLOOKUP($A149,'S47'!$C:$BQ,52,0)</f>
        <v>#N/A</v>
      </c>
      <c r="AJ149" s="115" t="e">
        <f>VLOOKUP($A149,'S47'!$C:$BQ,59,0)</f>
        <v>#N/A</v>
      </c>
      <c r="AK149" s="115" t="e">
        <f>VLOOKUP($A149,'S47'!$C:$BQ,60,0)</f>
        <v>#N/A</v>
      </c>
      <c r="AL149" s="107" t="e">
        <f>VLOOKUP($A149,'S48'!$C:$BQ,32,0)</f>
        <v>#N/A</v>
      </c>
      <c r="AM149" s="107" t="e">
        <f>VLOOKUP($A149,'S48'!$C:$BQ,39,0)</f>
        <v>#N/A</v>
      </c>
      <c r="AN149" s="107" t="e">
        <f>VLOOKUP($A149,'S48'!$C:$BQ,40,0)</f>
        <v>#N/A</v>
      </c>
      <c r="AO149" s="107" t="e">
        <f>VLOOKUP($A149,'S48'!$C:$BQ,22,0)</f>
        <v>#N/A</v>
      </c>
      <c r="AP149" s="115" t="e">
        <f>VLOOKUP($A149,'S48'!$C:$BQ,29,0)</f>
        <v>#N/A</v>
      </c>
      <c r="AQ149" s="115" t="e">
        <f>VLOOKUP($A149,'S48'!$C:$BQ,30,0)</f>
        <v>#N/A</v>
      </c>
      <c r="AR149" s="115" t="e">
        <f>VLOOKUP($A149,'S48'!$C:$BQ,52,0)</f>
        <v>#N/A</v>
      </c>
      <c r="AS149" s="115" t="e">
        <f>VLOOKUP($A149,'S48'!$C:$BQ,59,0)</f>
        <v>#N/A</v>
      </c>
      <c r="AT149" s="115" t="e">
        <f>VLOOKUP($A149,'S48'!$C:$BQ,60,0)</f>
        <v>#N/A</v>
      </c>
      <c r="AU149" s="107" t="e">
        <f>VLOOKUP($A149,'S49'!$C:$BQ,32,0)</f>
        <v>#N/A</v>
      </c>
      <c r="AV149" s="107" t="e">
        <f>VLOOKUP($A149,'S49'!$C:$BQ,39,0)</f>
        <v>#N/A</v>
      </c>
      <c r="AW149" s="107" t="e">
        <f>VLOOKUP($A149,'S49'!$C:$BQ,40,0)</f>
        <v>#N/A</v>
      </c>
      <c r="AX149" s="107" t="e">
        <f>VLOOKUP($A149,'S49'!$C:$BQ,22,0)</f>
        <v>#N/A</v>
      </c>
      <c r="AY149" s="115" t="e">
        <f>VLOOKUP($A149,'S49'!$C:$BQ,29,0)</f>
        <v>#N/A</v>
      </c>
      <c r="AZ149" s="115" t="e">
        <f>VLOOKUP($A149,'S49'!$C:$BQ,30,0)</f>
        <v>#N/A</v>
      </c>
      <c r="BA149" s="115" t="e">
        <f>VLOOKUP($A149,'S49'!$C:$BQ,52,0)</f>
        <v>#N/A</v>
      </c>
      <c r="BB149" s="115" t="e">
        <f>VLOOKUP($A149,'S49'!$C:$BQ,59,0)</f>
        <v>#N/A</v>
      </c>
      <c r="BC149" s="115" t="e">
        <f>VLOOKUP($A149,'S49'!$C:$BQ,60,0)</f>
        <v>#N/A</v>
      </c>
      <c r="BD149" s="107" t="e">
        <f>VLOOKUP($A149,'S50'!$C:$BQ,32,0)</f>
        <v>#N/A</v>
      </c>
      <c r="BE149" s="107" t="e">
        <f>VLOOKUP($A149,'S50'!$C:$BQ,39,0)</f>
        <v>#N/A</v>
      </c>
      <c r="BF149" s="107" t="e">
        <f>VLOOKUP($A149,'S50'!$C:$BQ,40,0)</f>
        <v>#N/A</v>
      </c>
      <c r="BG149" s="107" t="e">
        <f>VLOOKUP($A149,'S50'!$C:$BQ,22,0)</f>
        <v>#N/A</v>
      </c>
      <c r="BH149" s="115" t="e">
        <f>VLOOKUP($A149,'S50'!$C:$BQ,29,0)</f>
        <v>#N/A</v>
      </c>
      <c r="BI149" s="115" t="e">
        <f>VLOOKUP($A149,'S50'!$C:$BQ,30,0)</f>
        <v>#N/A</v>
      </c>
      <c r="BJ149" s="115" t="e">
        <f>VLOOKUP($A149,'S50'!$C:$BQ,52,0)</f>
        <v>#N/A</v>
      </c>
      <c r="BK149" s="115" t="e">
        <f>VLOOKUP($A149,'S50'!$C:$BQ,59,0)</f>
        <v>#N/A</v>
      </c>
      <c r="BL149" s="115" t="e">
        <f>VLOOKUP($A149,'S50'!$C:$BQ,60,0)</f>
        <v>#N/A</v>
      </c>
    </row>
    <row r="150" spans="1:64" x14ac:dyDescent="0.2">
      <c r="A150" s="106" t="s">
        <v>214</v>
      </c>
      <c r="B150" s="107">
        <f>VLOOKUP($A150,'S0 remplacer avec S44'!$C:$BQ,32,0)</f>
        <v>248.7</v>
      </c>
      <c r="C150" s="107">
        <f>VLOOKUP($A150,'S0 remplacer avec S44'!$C:$BQ,39,0)</f>
        <v>7</v>
      </c>
      <c r="D150" s="107">
        <f>VLOOKUP($A150,'S0 remplacer avec S44'!$C:$BQ,40,0)</f>
        <v>58</v>
      </c>
      <c r="E150" s="107">
        <f>VLOOKUP($A150,'S0 remplacer avec S44'!$C:$BQ,22,0)</f>
        <v>2377.2549549999999</v>
      </c>
      <c r="F150" s="115">
        <f>VLOOKUP($A150,'S0 remplacer avec S44'!$C:$BQ,29,0)</f>
        <v>0</v>
      </c>
      <c r="G150" s="115">
        <f>VLOOKUP($A150,'S0 remplacer avec S44'!$C:$BQ,30,0)</f>
        <v>404</v>
      </c>
      <c r="H150" s="115">
        <f>VLOOKUP($A150,'S0 remplacer avec S44'!$C:$BQ,52,0)</f>
        <v>196.4</v>
      </c>
      <c r="I150" s="115">
        <f>VLOOKUP($A150,'S0 remplacer avec S44'!$C:$BQ,59,0)</f>
        <v>0</v>
      </c>
      <c r="J150" s="115">
        <f>VLOOKUP($A150,'S0 remplacer avec S44'!$C:$BQ,60,0)</f>
        <v>0</v>
      </c>
      <c r="K150" s="107" t="e">
        <f>VLOOKUP($A150,'S45'!$C:$BQ,32,0)</f>
        <v>#N/A</v>
      </c>
      <c r="L150" s="107" t="e">
        <f>VLOOKUP($A150,'S45'!$C:$BQ,39,0)</f>
        <v>#N/A</v>
      </c>
      <c r="M150" s="107" t="e">
        <f>VLOOKUP($A150,'S45'!$C:$BQ,40,0)</f>
        <v>#N/A</v>
      </c>
      <c r="N150" s="107" t="e">
        <f>VLOOKUP($A150,'S45'!$C:$BQ,22,0)</f>
        <v>#N/A</v>
      </c>
      <c r="O150" s="115" t="e">
        <f>VLOOKUP($A150,'S45'!$C:$BQ,29,0)</f>
        <v>#N/A</v>
      </c>
      <c r="P150" s="115" t="e">
        <f>VLOOKUP($A150,'S45'!$C:$BQ,30,0)</f>
        <v>#N/A</v>
      </c>
      <c r="Q150" s="115" t="e">
        <f>VLOOKUP($A150,'S45'!$C:$BQ,52,0)</f>
        <v>#N/A</v>
      </c>
      <c r="R150" s="115" t="e">
        <f>VLOOKUP($A150,'S45'!$C:$BQ,59,0)</f>
        <v>#N/A</v>
      </c>
      <c r="S150" s="115" t="e">
        <f>VLOOKUP($A150,'S45'!$C:$BQ,60,0)</f>
        <v>#N/A</v>
      </c>
      <c r="T150" s="107" t="e">
        <f>VLOOKUP($A150,'S46'!$C:$BQ,32,0)</f>
        <v>#N/A</v>
      </c>
      <c r="U150" s="107" t="e">
        <f>VLOOKUP($A150,'S46'!$C:$BQ,39,0)</f>
        <v>#N/A</v>
      </c>
      <c r="V150" s="107" t="e">
        <f>VLOOKUP($A150,'S46'!$C:$BQ,40,0)</f>
        <v>#N/A</v>
      </c>
      <c r="W150" s="107" t="e">
        <f>VLOOKUP($A150,'S46'!$C:$BQ,22,0)</f>
        <v>#N/A</v>
      </c>
      <c r="X150" s="115" t="e">
        <f>VLOOKUP($A150,'S46'!$C:$BQ,29,0)</f>
        <v>#N/A</v>
      </c>
      <c r="Y150" s="115" t="e">
        <f>VLOOKUP($A150,'S46'!$C:$BQ,30,0)</f>
        <v>#N/A</v>
      </c>
      <c r="Z150" s="115" t="e">
        <f>VLOOKUP($A150,'S46'!$C:$BQ,52,0)</f>
        <v>#N/A</v>
      </c>
      <c r="AA150" s="115" t="e">
        <f>VLOOKUP($A150,'S46'!$C:$BQ,59,0)</f>
        <v>#N/A</v>
      </c>
      <c r="AB150" s="115" t="e">
        <f>VLOOKUP($A150,'S46'!$C:$BQ,60,0)</f>
        <v>#N/A</v>
      </c>
      <c r="AC150" s="107" t="e">
        <f>VLOOKUP($A150,'S47'!$C:$BQ,32,0)</f>
        <v>#N/A</v>
      </c>
      <c r="AD150" s="107" t="e">
        <f>VLOOKUP($A150,'S47'!$C:$BQ,39,0)</f>
        <v>#N/A</v>
      </c>
      <c r="AE150" s="107" t="e">
        <f>VLOOKUP($A150,'S47'!$C:$BQ,40,0)</f>
        <v>#N/A</v>
      </c>
      <c r="AF150" s="107" t="e">
        <f>VLOOKUP($A150,'S47'!$C:$BQ,22,0)</f>
        <v>#N/A</v>
      </c>
      <c r="AG150" s="115" t="e">
        <f>VLOOKUP($A150,'S47'!$C:$BQ,29,0)</f>
        <v>#N/A</v>
      </c>
      <c r="AH150" s="115" t="e">
        <f>VLOOKUP($A150,'S47'!$C:$BQ,30,0)</f>
        <v>#N/A</v>
      </c>
      <c r="AI150" s="115" t="e">
        <f>VLOOKUP($A150,'S47'!$C:$BQ,52,0)</f>
        <v>#N/A</v>
      </c>
      <c r="AJ150" s="115" t="e">
        <f>VLOOKUP($A150,'S47'!$C:$BQ,59,0)</f>
        <v>#N/A</v>
      </c>
      <c r="AK150" s="115" t="e">
        <f>VLOOKUP($A150,'S47'!$C:$BQ,60,0)</f>
        <v>#N/A</v>
      </c>
      <c r="AL150" s="107" t="e">
        <f>VLOOKUP($A150,'S48'!$C:$BQ,32,0)</f>
        <v>#N/A</v>
      </c>
      <c r="AM150" s="107" t="e">
        <f>VLOOKUP($A150,'S48'!$C:$BQ,39,0)</f>
        <v>#N/A</v>
      </c>
      <c r="AN150" s="107" t="e">
        <f>VLOOKUP($A150,'S48'!$C:$BQ,40,0)</f>
        <v>#N/A</v>
      </c>
      <c r="AO150" s="107" t="e">
        <f>VLOOKUP($A150,'S48'!$C:$BQ,22,0)</f>
        <v>#N/A</v>
      </c>
      <c r="AP150" s="115" t="e">
        <f>VLOOKUP($A150,'S48'!$C:$BQ,29,0)</f>
        <v>#N/A</v>
      </c>
      <c r="AQ150" s="115" t="e">
        <f>VLOOKUP($A150,'S48'!$C:$BQ,30,0)</f>
        <v>#N/A</v>
      </c>
      <c r="AR150" s="115" t="e">
        <f>VLOOKUP($A150,'S48'!$C:$BQ,52,0)</f>
        <v>#N/A</v>
      </c>
      <c r="AS150" s="115" t="e">
        <f>VLOOKUP($A150,'S48'!$C:$BQ,59,0)</f>
        <v>#N/A</v>
      </c>
      <c r="AT150" s="115" t="e">
        <f>VLOOKUP($A150,'S48'!$C:$BQ,60,0)</f>
        <v>#N/A</v>
      </c>
      <c r="AU150" s="107" t="e">
        <f>VLOOKUP($A150,'S49'!$C:$BQ,32,0)</f>
        <v>#N/A</v>
      </c>
      <c r="AV150" s="107" t="e">
        <f>VLOOKUP($A150,'S49'!$C:$BQ,39,0)</f>
        <v>#N/A</v>
      </c>
      <c r="AW150" s="107" t="e">
        <f>VLOOKUP($A150,'S49'!$C:$BQ,40,0)</f>
        <v>#N/A</v>
      </c>
      <c r="AX150" s="107" t="e">
        <f>VLOOKUP($A150,'S49'!$C:$BQ,22,0)</f>
        <v>#N/A</v>
      </c>
      <c r="AY150" s="115" t="e">
        <f>VLOOKUP($A150,'S49'!$C:$BQ,29,0)</f>
        <v>#N/A</v>
      </c>
      <c r="AZ150" s="115" t="e">
        <f>VLOOKUP($A150,'S49'!$C:$BQ,30,0)</f>
        <v>#N/A</v>
      </c>
      <c r="BA150" s="115" t="e">
        <f>VLOOKUP($A150,'S49'!$C:$BQ,52,0)</f>
        <v>#N/A</v>
      </c>
      <c r="BB150" s="115" t="e">
        <f>VLOOKUP($A150,'S49'!$C:$BQ,59,0)</f>
        <v>#N/A</v>
      </c>
      <c r="BC150" s="115" t="e">
        <f>VLOOKUP($A150,'S49'!$C:$BQ,60,0)</f>
        <v>#N/A</v>
      </c>
      <c r="BD150" s="107" t="e">
        <f>VLOOKUP($A150,'S50'!$C:$BQ,32,0)</f>
        <v>#N/A</v>
      </c>
      <c r="BE150" s="107" t="e">
        <f>VLOOKUP($A150,'S50'!$C:$BQ,39,0)</f>
        <v>#N/A</v>
      </c>
      <c r="BF150" s="107" t="e">
        <f>VLOOKUP($A150,'S50'!$C:$BQ,40,0)</f>
        <v>#N/A</v>
      </c>
      <c r="BG150" s="107" t="e">
        <f>VLOOKUP($A150,'S50'!$C:$BQ,22,0)</f>
        <v>#N/A</v>
      </c>
      <c r="BH150" s="115" t="e">
        <f>VLOOKUP($A150,'S50'!$C:$BQ,29,0)</f>
        <v>#N/A</v>
      </c>
      <c r="BI150" s="115" t="e">
        <f>VLOOKUP($A150,'S50'!$C:$BQ,30,0)</f>
        <v>#N/A</v>
      </c>
      <c r="BJ150" s="115" t="e">
        <f>VLOOKUP($A150,'S50'!$C:$BQ,52,0)</f>
        <v>#N/A</v>
      </c>
      <c r="BK150" s="115" t="e">
        <f>VLOOKUP($A150,'S50'!$C:$BQ,59,0)</f>
        <v>#N/A</v>
      </c>
      <c r="BL150" s="115" t="e">
        <f>VLOOKUP($A150,'S50'!$C:$BQ,60,0)</f>
        <v>#N/A</v>
      </c>
    </row>
    <row r="151" spans="1:64" x14ac:dyDescent="0.2">
      <c r="A151" s="106" t="s">
        <v>215</v>
      </c>
      <c r="B151" s="107">
        <f>VLOOKUP($A151,'S0 remplacer avec S44'!$C:$BQ,32,0)</f>
        <v>225.95</v>
      </c>
      <c r="C151" s="107">
        <f>VLOOKUP($A151,'S0 remplacer avec S44'!$C:$BQ,39,0)</f>
        <v>0</v>
      </c>
      <c r="D151" s="107">
        <f>VLOOKUP($A151,'S0 remplacer avec S44'!$C:$BQ,40,0)</f>
        <v>0</v>
      </c>
      <c r="E151" s="107">
        <f>VLOOKUP($A151,'S0 remplacer avec S44'!$C:$BQ,22,0)</f>
        <v>1808.51594</v>
      </c>
      <c r="F151" s="115">
        <f>VLOOKUP($A151,'S0 remplacer avec S44'!$C:$BQ,29,0)</f>
        <v>0</v>
      </c>
      <c r="G151" s="115">
        <f>VLOOKUP($A151,'S0 remplacer avec S44'!$C:$BQ,30,0)</f>
        <v>186</v>
      </c>
      <c r="H151" s="115">
        <f>VLOOKUP($A151,'S0 remplacer avec S44'!$C:$BQ,52,0)</f>
        <v>140.4</v>
      </c>
      <c r="I151" s="115">
        <f>VLOOKUP($A151,'S0 remplacer avec S44'!$C:$BQ,59,0)</f>
        <v>0</v>
      </c>
      <c r="J151" s="115">
        <f>VLOOKUP($A151,'S0 remplacer avec S44'!$C:$BQ,60,0)</f>
        <v>0</v>
      </c>
      <c r="K151" s="107" t="e">
        <f>VLOOKUP($A151,'S45'!$C:$BQ,32,0)</f>
        <v>#N/A</v>
      </c>
      <c r="L151" s="107" t="e">
        <f>VLOOKUP($A151,'S45'!$C:$BQ,39,0)</f>
        <v>#N/A</v>
      </c>
      <c r="M151" s="107" t="e">
        <f>VLOOKUP($A151,'S45'!$C:$BQ,40,0)</f>
        <v>#N/A</v>
      </c>
      <c r="N151" s="107" t="e">
        <f>VLOOKUP($A151,'S45'!$C:$BQ,22,0)</f>
        <v>#N/A</v>
      </c>
      <c r="O151" s="115" t="e">
        <f>VLOOKUP($A151,'S45'!$C:$BQ,29,0)</f>
        <v>#N/A</v>
      </c>
      <c r="P151" s="115" t="e">
        <f>VLOOKUP($A151,'S45'!$C:$BQ,30,0)</f>
        <v>#N/A</v>
      </c>
      <c r="Q151" s="115" t="e">
        <f>VLOOKUP($A151,'S45'!$C:$BQ,52,0)</f>
        <v>#N/A</v>
      </c>
      <c r="R151" s="115" t="e">
        <f>VLOOKUP($A151,'S45'!$C:$BQ,59,0)</f>
        <v>#N/A</v>
      </c>
      <c r="S151" s="115" t="e">
        <f>VLOOKUP($A151,'S45'!$C:$BQ,60,0)</f>
        <v>#N/A</v>
      </c>
      <c r="T151" s="107" t="e">
        <f>VLOOKUP($A151,'S46'!$C:$BQ,32,0)</f>
        <v>#N/A</v>
      </c>
      <c r="U151" s="107" t="e">
        <f>VLOOKUP($A151,'S46'!$C:$BQ,39,0)</f>
        <v>#N/A</v>
      </c>
      <c r="V151" s="107" t="e">
        <f>VLOOKUP($A151,'S46'!$C:$BQ,40,0)</f>
        <v>#N/A</v>
      </c>
      <c r="W151" s="107" t="e">
        <f>VLOOKUP($A151,'S46'!$C:$BQ,22,0)</f>
        <v>#N/A</v>
      </c>
      <c r="X151" s="115" t="e">
        <f>VLOOKUP($A151,'S46'!$C:$BQ,29,0)</f>
        <v>#N/A</v>
      </c>
      <c r="Y151" s="115" t="e">
        <f>VLOOKUP($A151,'S46'!$C:$BQ,30,0)</f>
        <v>#N/A</v>
      </c>
      <c r="Z151" s="115" t="e">
        <f>VLOOKUP($A151,'S46'!$C:$BQ,52,0)</f>
        <v>#N/A</v>
      </c>
      <c r="AA151" s="115" t="e">
        <f>VLOOKUP($A151,'S46'!$C:$BQ,59,0)</f>
        <v>#N/A</v>
      </c>
      <c r="AB151" s="115" t="e">
        <f>VLOOKUP($A151,'S46'!$C:$BQ,60,0)</f>
        <v>#N/A</v>
      </c>
      <c r="AC151" s="107" t="e">
        <f>VLOOKUP($A151,'S47'!$C:$BQ,32,0)</f>
        <v>#N/A</v>
      </c>
      <c r="AD151" s="107" t="e">
        <f>VLOOKUP($A151,'S47'!$C:$BQ,39,0)</f>
        <v>#N/A</v>
      </c>
      <c r="AE151" s="107" t="e">
        <f>VLOOKUP($A151,'S47'!$C:$BQ,40,0)</f>
        <v>#N/A</v>
      </c>
      <c r="AF151" s="107" t="e">
        <f>VLOOKUP($A151,'S47'!$C:$BQ,22,0)</f>
        <v>#N/A</v>
      </c>
      <c r="AG151" s="115" t="e">
        <f>VLOOKUP($A151,'S47'!$C:$BQ,29,0)</f>
        <v>#N/A</v>
      </c>
      <c r="AH151" s="115" t="e">
        <f>VLOOKUP($A151,'S47'!$C:$BQ,30,0)</f>
        <v>#N/A</v>
      </c>
      <c r="AI151" s="115" t="e">
        <f>VLOOKUP($A151,'S47'!$C:$BQ,52,0)</f>
        <v>#N/A</v>
      </c>
      <c r="AJ151" s="115" t="e">
        <f>VLOOKUP($A151,'S47'!$C:$BQ,59,0)</f>
        <v>#N/A</v>
      </c>
      <c r="AK151" s="115" t="e">
        <f>VLOOKUP($A151,'S47'!$C:$BQ,60,0)</f>
        <v>#N/A</v>
      </c>
      <c r="AL151" s="107" t="e">
        <f>VLOOKUP($A151,'S48'!$C:$BQ,32,0)</f>
        <v>#N/A</v>
      </c>
      <c r="AM151" s="107" t="e">
        <f>VLOOKUP($A151,'S48'!$C:$BQ,39,0)</f>
        <v>#N/A</v>
      </c>
      <c r="AN151" s="107" t="e">
        <f>VLOOKUP($A151,'S48'!$C:$BQ,40,0)</f>
        <v>#N/A</v>
      </c>
      <c r="AO151" s="107" t="e">
        <f>VLOOKUP($A151,'S48'!$C:$BQ,22,0)</f>
        <v>#N/A</v>
      </c>
      <c r="AP151" s="115" t="e">
        <f>VLOOKUP($A151,'S48'!$C:$BQ,29,0)</f>
        <v>#N/A</v>
      </c>
      <c r="AQ151" s="115" t="e">
        <f>VLOOKUP($A151,'S48'!$C:$BQ,30,0)</f>
        <v>#N/A</v>
      </c>
      <c r="AR151" s="115" t="e">
        <f>VLOOKUP($A151,'S48'!$C:$BQ,52,0)</f>
        <v>#N/A</v>
      </c>
      <c r="AS151" s="115" t="e">
        <f>VLOOKUP($A151,'S48'!$C:$BQ,59,0)</f>
        <v>#N/A</v>
      </c>
      <c r="AT151" s="115" t="e">
        <f>VLOOKUP($A151,'S48'!$C:$BQ,60,0)</f>
        <v>#N/A</v>
      </c>
      <c r="AU151" s="107" t="e">
        <f>VLOOKUP($A151,'S49'!$C:$BQ,32,0)</f>
        <v>#N/A</v>
      </c>
      <c r="AV151" s="107" t="e">
        <f>VLOOKUP($A151,'S49'!$C:$BQ,39,0)</f>
        <v>#N/A</v>
      </c>
      <c r="AW151" s="107" t="e">
        <f>VLOOKUP($A151,'S49'!$C:$BQ,40,0)</f>
        <v>#N/A</v>
      </c>
      <c r="AX151" s="107" t="e">
        <f>VLOOKUP($A151,'S49'!$C:$BQ,22,0)</f>
        <v>#N/A</v>
      </c>
      <c r="AY151" s="115" t="e">
        <f>VLOOKUP($A151,'S49'!$C:$BQ,29,0)</f>
        <v>#N/A</v>
      </c>
      <c r="AZ151" s="115" t="e">
        <f>VLOOKUP($A151,'S49'!$C:$BQ,30,0)</f>
        <v>#N/A</v>
      </c>
      <c r="BA151" s="115" t="e">
        <f>VLOOKUP($A151,'S49'!$C:$BQ,52,0)</f>
        <v>#N/A</v>
      </c>
      <c r="BB151" s="115" t="e">
        <f>VLOOKUP($A151,'S49'!$C:$BQ,59,0)</f>
        <v>#N/A</v>
      </c>
      <c r="BC151" s="115" t="e">
        <f>VLOOKUP($A151,'S49'!$C:$BQ,60,0)</f>
        <v>#N/A</v>
      </c>
      <c r="BD151" s="107" t="e">
        <f>VLOOKUP($A151,'S50'!$C:$BQ,32,0)</f>
        <v>#N/A</v>
      </c>
      <c r="BE151" s="107" t="e">
        <f>VLOOKUP($A151,'S50'!$C:$BQ,39,0)</f>
        <v>#N/A</v>
      </c>
      <c r="BF151" s="107" t="e">
        <f>VLOOKUP($A151,'S50'!$C:$BQ,40,0)</f>
        <v>#N/A</v>
      </c>
      <c r="BG151" s="107" t="e">
        <f>VLOOKUP($A151,'S50'!$C:$BQ,22,0)</f>
        <v>#N/A</v>
      </c>
      <c r="BH151" s="115" t="e">
        <f>VLOOKUP($A151,'S50'!$C:$BQ,29,0)</f>
        <v>#N/A</v>
      </c>
      <c r="BI151" s="115" t="e">
        <f>VLOOKUP($A151,'S50'!$C:$BQ,30,0)</f>
        <v>#N/A</v>
      </c>
      <c r="BJ151" s="115" t="e">
        <f>VLOOKUP($A151,'S50'!$C:$BQ,52,0)</f>
        <v>#N/A</v>
      </c>
      <c r="BK151" s="115" t="e">
        <f>VLOOKUP($A151,'S50'!$C:$BQ,59,0)</f>
        <v>#N/A</v>
      </c>
      <c r="BL151" s="115" t="e">
        <f>VLOOKUP($A151,'S50'!$C:$BQ,60,0)</f>
        <v>#N/A</v>
      </c>
    </row>
    <row r="152" spans="1:64" x14ac:dyDescent="0.2">
      <c r="A152" s="106" t="s">
        <v>216</v>
      </c>
      <c r="B152" s="107">
        <f>VLOOKUP($A152,'S0 remplacer avec S44'!$C:$BQ,32,0)</f>
        <v>227.1</v>
      </c>
      <c r="C152" s="107">
        <f>VLOOKUP($A152,'S0 remplacer avec S44'!$C:$BQ,39,0)</f>
        <v>83</v>
      </c>
      <c r="D152" s="107">
        <f>VLOOKUP($A152,'S0 remplacer avec S44'!$C:$BQ,40,0)</f>
        <v>145</v>
      </c>
      <c r="E152" s="107">
        <f>VLOOKUP($A152,'S0 remplacer avec S44'!$C:$BQ,22,0)</f>
        <v>2706.737365</v>
      </c>
      <c r="F152" s="115">
        <f>VLOOKUP($A152,'S0 remplacer avec S44'!$C:$BQ,29,0)</f>
        <v>108</v>
      </c>
      <c r="G152" s="115">
        <f>VLOOKUP($A152,'S0 remplacer avec S44'!$C:$BQ,30,0)</f>
        <v>671</v>
      </c>
      <c r="H152" s="115">
        <f>VLOOKUP($A152,'S0 remplacer avec S44'!$C:$BQ,52,0)</f>
        <v>169.4</v>
      </c>
      <c r="I152" s="115">
        <f>VLOOKUP($A152,'S0 remplacer avec S44'!$C:$BQ,59,0)</f>
        <v>0</v>
      </c>
      <c r="J152" s="115">
        <f>VLOOKUP($A152,'S0 remplacer avec S44'!$C:$BQ,60,0)</f>
        <v>20</v>
      </c>
      <c r="K152" s="107" t="e">
        <f>VLOOKUP($A152,'S45'!$C:$BQ,32,0)</f>
        <v>#N/A</v>
      </c>
      <c r="L152" s="107" t="e">
        <f>VLOOKUP($A152,'S45'!$C:$BQ,39,0)</f>
        <v>#N/A</v>
      </c>
      <c r="M152" s="107" t="e">
        <f>VLOOKUP($A152,'S45'!$C:$BQ,40,0)</f>
        <v>#N/A</v>
      </c>
      <c r="N152" s="107" t="e">
        <f>VLOOKUP($A152,'S45'!$C:$BQ,22,0)</f>
        <v>#N/A</v>
      </c>
      <c r="O152" s="115" t="e">
        <f>VLOOKUP($A152,'S45'!$C:$BQ,29,0)</f>
        <v>#N/A</v>
      </c>
      <c r="P152" s="115" t="e">
        <f>VLOOKUP($A152,'S45'!$C:$BQ,30,0)</f>
        <v>#N/A</v>
      </c>
      <c r="Q152" s="115" t="e">
        <f>VLOOKUP($A152,'S45'!$C:$BQ,52,0)</f>
        <v>#N/A</v>
      </c>
      <c r="R152" s="115" t="e">
        <f>VLOOKUP($A152,'S45'!$C:$BQ,59,0)</f>
        <v>#N/A</v>
      </c>
      <c r="S152" s="115" t="e">
        <f>VLOOKUP($A152,'S45'!$C:$BQ,60,0)</f>
        <v>#N/A</v>
      </c>
      <c r="T152" s="107" t="e">
        <f>VLOOKUP($A152,'S46'!$C:$BQ,32,0)</f>
        <v>#N/A</v>
      </c>
      <c r="U152" s="107" t="e">
        <f>VLOOKUP($A152,'S46'!$C:$BQ,39,0)</f>
        <v>#N/A</v>
      </c>
      <c r="V152" s="107" t="e">
        <f>VLOOKUP($A152,'S46'!$C:$BQ,40,0)</f>
        <v>#N/A</v>
      </c>
      <c r="W152" s="107" t="e">
        <f>VLOOKUP($A152,'S46'!$C:$BQ,22,0)</f>
        <v>#N/A</v>
      </c>
      <c r="X152" s="115" t="e">
        <f>VLOOKUP($A152,'S46'!$C:$BQ,29,0)</f>
        <v>#N/A</v>
      </c>
      <c r="Y152" s="115" t="e">
        <f>VLOOKUP($A152,'S46'!$C:$BQ,30,0)</f>
        <v>#N/A</v>
      </c>
      <c r="Z152" s="115" t="e">
        <f>VLOOKUP($A152,'S46'!$C:$BQ,52,0)</f>
        <v>#N/A</v>
      </c>
      <c r="AA152" s="115" t="e">
        <f>VLOOKUP($A152,'S46'!$C:$BQ,59,0)</f>
        <v>#N/A</v>
      </c>
      <c r="AB152" s="115" t="e">
        <f>VLOOKUP($A152,'S46'!$C:$BQ,60,0)</f>
        <v>#N/A</v>
      </c>
      <c r="AC152" s="107" t="e">
        <f>VLOOKUP($A152,'S47'!$C:$BQ,32,0)</f>
        <v>#N/A</v>
      </c>
      <c r="AD152" s="107" t="e">
        <f>VLOOKUP($A152,'S47'!$C:$BQ,39,0)</f>
        <v>#N/A</v>
      </c>
      <c r="AE152" s="107" t="e">
        <f>VLOOKUP($A152,'S47'!$C:$BQ,40,0)</f>
        <v>#N/A</v>
      </c>
      <c r="AF152" s="107" t="e">
        <f>VLOOKUP($A152,'S47'!$C:$BQ,22,0)</f>
        <v>#N/A</v>
      </c>
      <c r="AG152" s="115" t="e">
        <f>VLOOKUP($A152,'S47'!$C:$BQ,29,0)</f>
        <v>#N/A</v>
      </c>
      <c r="AH152" s="115" t="e">
        <f>VLOOKUP($A152,'S47'!$C:$BQ,30,0)</f>
        <v>#N/A</v>
      </c>
      <c r="AI152" s="115" t="e">
        <f>VLOOKUP($A152,'S47'!$C:$BQ,52,0)</f>
        <v>#N/A</v>
      </c>
      <c r="AJ152" s="115" t="e">
        <f>VLOOKUP($A152,'S47'!$C:$BQ,59,0)</f>
        <v>#N/A</v>
      </c>
      <c r="AK152" s="115" t="e">
        <f>VLOOKUP($A152,'S47'!$C:$BQ,60,0)</f>
        <v>#N/A</v>
      </c>
      <c r="AL152" s="107" t="e">
        <f>VLOOKUP($A152,'S48'!$C:$BQ,32,0)</f>
        <v>#N/A</v>
      </c>
      <c r="AM152" s="107" t="e">
        <f>VLOOKUP($A152,'S48'!$C:$BQ,39,0)</f>
        <v>#N/A</v>
      </c>
      <c r="AN152" s="107" t="e">
        <f>VLOOKUP($A152,'S48'!$C:$BQ,40,0)</f>
        <v>#N/A</v>
      </c>
      <c r="AO152" s="107" t="e">
        <f>VLOOKUP($A152,'S48'!$C:$BQ,22,0)</f>
        <v>#N/A</v>
      </c>
      <c r="AP152" s="115" t="e">
        <f>VLOOKUP($A152,'S48'!$C:$BQ,29,0)</f>
        <v>#N/A</v>
      </c>
      <c r="AQ152" s="115" t="e">
        <f>VLOOKUP($A152,'S48'!$C:$BQ,30,0)</f>
        <v>#N/A</v>
      </c>
      <c r="AR152" s="115" t="e">
        <f>VLOOKUP($A152,'S48'!$C:$BQ,52,0)</f>
        <v>#N/A</v>
      </c>
      <c r="AS152" s="115" t="e">
        <f>VLOOKUP($A152,'S48'!$C:$BQ,59,0)</f>
        <v>#N/A</v>
      </c>
      <c r="AT152" s="115" t="e">
        <f>VLOOKUP($A152,'S48'!$C:$BQ,60,0)</f>
        <v>#N/A</v>
      </c>
      <c r="AU152" s="107" t="e">
        <f>VLOOKUP($A152,'S49'!$C:$BQ,32,0)</f>
        <v>#N/A</v>
      </c>
      <c r="AV152" s="107" t="e">
        <f>VLOOKUP($A152,'S49'!$C:$BQ,39,0)</f>
        <v>#N/A</v>
      </c>
      <c r="AW152" s="107" t="e">
        <f>VLOOKUP($A152,'S49'!$C:$BQ,40,0)</f>
        <v>#N/A</v>
      </c>
      <c r="AX152" s="107" t="e">
        <f>VLOOKUP($A152,'S49'!$C:$BQ,22,0)</f>
        <v>#N/A</v>
      </c>
      <c r="AY152" s="115" t="e">
        <f>VLOOKUP($A152,'S49'!$C:$BQ,29,0)</f>
        <v>#N/A</v>
      </c>
      <c r="AZ152" s="115" t="e">
        <f>VLOOKUP($A152,'S49'!$C:$BQ,30,0)</f>
        <v>#N/A</v>
      </c>
      <c r="BA152" s="115" t="e">
        <f>VLOOKUP($A152,'S49'!$C:$BQ,52,0)</f>
        <v>#N/A</v>
      </c>
      <c r="BB152" s="115" t="e">
        <f>VLOOKUP($A152,'S49'!$C:$BQ,59,0)</f>
        <v>#N/A</v>
      </c>
      <c r="BC152" s="115" t="e">
        <f>VLOOKUP($A152,'S49'!$C:$BQ,60,0)</f>
        <v>#N/A</v>
      </c>
      <c r="BD152" s="107" t="e">
        <f>VLOOKUP($A152,'S50'!$C:$BQ,32,0)</f>
        <v>#N/A</v>
      </c>
      <c r="BE152" s="107" t="e">
        <f>VLOOKUP($A152,'S50'!$C:$BQ,39,0)</f>
        <v>#N/A</v>
      </c>
      <c r="BF152" s="107" t="e">
        <f>VLOOKUP($A152,'S50'!$C:$BQ,40,0)</f>
        <v>#N/A</v>
      </c>
      <c r="BG152" s="107" t="e">
        <f>VLOOKUP($A152,'S50'!$C:$BQ,22,0)</f>
        <v>#N/A</v>
      </c>
      <c r="BH152" s="115" t="e">
        <f>VLOOKUP($A152,'S50'!$C:$BQ,29,0)</f>
        <v>#N/A</v>
      </c>
      <c r="BI152" s="115" t="e">
        <f>VLOOKUP($A152,'S50'!$C:$BQ,30,0)</f>
        <v>#N/A</v>
      </c>
      <c r="BJ152" s="115" t="e">
        <f>VLOOKUP($A152,'S50'!$C:$BQ,52,0)</f>
        <v>#N/A</v>
      </c>
      <c r="BK152" s="115" t="e">
        <f>VLOOKUP($A152,'S50'!$C:$BQ,59,0)</f>
        <v>#N/A</v>
      </c>
      <c r="BL152" s="115" t="e">
        <f>VLOOKUP($A152,'S50'!$C:$BQ,60,0)</f>
        <v>#N/A</v>
      </c>
    </row>
    <row r="153" spans="1:64" x14ac:dyDescent="0.2">
      <c r="A153" s="106" t="s">
        <v>217</v>
      </c>
      <c r="B153" s="107">
        <f>VLOOKUP($A153,'S0 remplacer avec S44'!$C:$BQ,32,0)</f>
        <v>159.30000000000001</v>
      </c>
      <c r="C153" s="107">
        <f>VLOOKUP($A153,'S0 remplacer avec S44'!$C:$BQ,39,0)</f>
        <v>18</v>
      </c>
      <c r="D153" s="107">
        <f>VLOOKUP($A153,'S0 remplacer avec S44'!$C:$BQ,40,0)</f>
        <v>53</v>
      </c>
      <c r="E153" s="107">
        <f>VLOOKUP($A153,'S0 remplacer avec S44'!$C:$BQ,22,0)</f>
        <v>1690.031385</v>
      </c>
      <c r="F153" s="115">
        <f>VLOOKUP($A153,'S0 remplacer avec S44'!$C:$BQ,29,0)</f>
        <v>0</v>
      </c>
      <c r="G153" s="115">
        <f>VLOOKUP($A153,'S0 remplacer avec S44'!$C:$BQ,30,0)</f>
        <v>241</v>
      </c>
      <c r="H153" s="115">
        <f>VLOOKUP($A153,'S0 remplacer avec S44'!$C:$BQ,52,0)</f>
        <v>175.2</v>
      </c>
      <c r="I153" s="115">
        <f>VLOOKUP($A153,'S0 remplacer avec S44'!$C:$BQ,59,0)</f>
        <v>0</v>
      </c>
      <c r="J153" s="115">
        <f>VLOOKUP($A153,'S0 remplacer avec S44'!$C:$BQ,60,0)</f>
        <v>0</v>
      </c>
      <c r="K153" s="107" t="e">
        <f>VLOOKUP($A153,'S45'!$C:$BQ,32,0)</f>
        <v>#N/A</v>
      </c>
      <c r="L153" s="107" t="e">
        <f>VLOOKUP($A153,'S45'!$C:$BQ,39,0)</f>
        <v>#N/A</v>
      </c>
      <c r="M153" s="107" t="e">
        <f>VLOOKUP($A153,'S45'!$C:$BQ,40,0)</f>
        <v>#N/A</v>
      </c>
      <c r="N153" s="107" t="e">
        <f>VLOOKUP($A153,'S45'!$C:$BQ,22,0)</f>
        <v>#N/A</v>
      </c>
      <c r="O153" s="115" t="e">
        <f>VLOOKUP($A153,'S45'!$C:$BQ,29,0)</f>
        <v>#N/A</v>
      </c>
      <c r="P153" s="115" t="e">
        <f>VLOOKUP($A153,'S45'!$C:$BQ,30,0)</f>
        <v>#N/A</v>
      </c>
      <c r="Q153" s="115" t="e">
        <f>VLOOKUP($A153,'S45'!$C:$BQ,52,0)</f>
        <v>#N/A</v>
      </c>
      <c r="R153" s="115" t="e">
        <f>VLOOKUP($A153,'S45'!$C:$BQ,59,0)</f>
        <v>#N/A</v>
      </c>
      <c r="S153" s="115" t="e">
        <f>VLOOKUP($A153,'S45'!$C:$BQ,60,0)</f>
        <v>#N/A</v>
      </c>
      <c r="T153" s="107" t="e">
        <f>VLOOKUP($A153,'S46'!$C:$BQ,32,0)</f>
        <v>#N/A</v>
      </c>
      <c r="U153" s="107" t="e">
        <f>VLOOKUP($A153,'S46'!$C:$BQ,39,0)</f>
        <v>#N/A</v>
      </c>
      <c r="V153" s="107" t="e">
        <f>VLOOKUP($A153,'S46'!$C:$BQ,40,0)</f>
        <v>#N/A</v>
      </c>
      <c r="W153" s="107" t="e">
        <f>VLOOKUP($A153,'S46'!$C:$BQ,22,0)</f>
        <v>#N/A</v>
      </c>
      <c r="X153" s="115" t="e">
        <f>VLOOKUP($A153,'S46'!$C:$BQ,29,0)</f>
        <v>#N/A</v>
      </c>
      <c r="Y153" s="115" t="e">
        <f>VLOOKUP($A153,'S46'!$C:$BQ,30,0)</f>
        <v>#N/A</v>
      </c>
      <c r="Z153" s="115" t="e">
        <f>VLOOKUP($A153,'S46'!$C:$BQ,52,0)</f>
        <v>#N/A</v>
      </c>
      <c r="AA153" s="115" t="e">
        <f>VLOOKUP($A153,'S46'!$C:$BQ,59,0)</f>
        <v>#N/A</v>
      </c>
      <c r="AB153" s="115" t="e">
        <f>VLOOKUP($A153,'S46'!$C:$BQ,60,0)</f>
        <v>#N/A</v>
      </c>
      <c r="AC153" s="107" t="e">
        <f>VLOOKUP($A153,'S47'!$C:$BQ,32,0)</f>
        <v>#N/A</v>
      </c>
      <c r="AD153" s="107" t="e">
        <f>VLOOKUP($A153,'S47'!$C:$BQ,39,0)</f>
        <v>#N/A</v>
      </c>
      <c r="AE153" s="107" t="e">
        <f>VLOOKUP($A153,'S47'!$C:$BQ,40,0)</f>
        <v>#N/A</v>
      </c>
      <c r="AF153" s="107" t="e">
        <f>VLOOKUP($A153,'S47'!$C:$BQ,22,0)</f>
        <v>#N/A</v>
      </c>
      <c r="AG153" s="115" t="e">
        <f>VLOOKUP($A153,'S47'!$C:$BQ,29,0)</f>
        <v>#N/A</v>
      </c>
      <c r="AH153" s="115" t="e">
        <f>VLOOKUP($A153,'S47'!$C:$BQ,30,0)</f>
        <v>#N/A</v>
      </c>
      <c r="AI153" s="115" t="e">
        <f>VLOOKUP($A153,'S47'!$C:$BQ,52,0)</f>
        <v>#N/A</v>
      </c>
      <c r="AJ153" s="115" t="e">
        <f>VLOOKUP($A153,'S47'!$C:$BQ,59,0)</f>
        <v>#N/A</v>
      </c>
      <c r="AK153" s="115" t="e">
        <f>VLOOKUP($A153,'S47'!$C:$BQ,60,0)</f>
        <v>#N/A</v>
      </c>
      <c r="AL153" s="107" t="e">
        <f>VLOOKUP($A153,'S48'!$C:$BQ,32,0)</f>
        <v>#N/A</v>
      </c>
      <c r="AM153" s="107" t="e">
        <f>VLOOKUP($A153,'S48'!$C:$BQ,39,0)</f>
        <v>#N/A</v>
      </c>
      <c r="AN153" s="107" t="e">
        <f>VLOOKUP($A153,'S48'!$C:$BQ,40,0)</f>
        <v>#N/A</v>
      </c>
      <c r="AO153" s="107" t="e">
        <f>VLOOKUP($A153,'S48'!$C:$BQ,22,0)</f>
        <v>#N/A</v>
      </c>
      <c r="AP153" s="115" t="e">
        <f>VLOOKUP($A153,'S48'!$C:$BQ,29,0)</f>
        <v>#N/A</v>
      </c>
      <c r="AQ153" s="115" t="e">
        <f>VLOOKUP($A153,'S48'!$C:$BQ,30,0)</f>
        <v>#N/A</v>
      </c>
      <c r="AR153" s="115" t="e">
        <f>VLOOKUP($A153,'S48'!$C:$BQ,52,0)</f>
        <v>#N/A</v>
      </c>
      <c r="AS153" s="115" t="e">
        <f>VLOOKUP($A153,'S48'!$C:$BQ,59,0)</f>
        <v>#N/A</v>
      </c>
      <c r="AT153" s="115" t="e">
        <f>VLOOKUP($A153,'S48'!$C:$BQ,60,0)</f>
        <v>#N/A</v>
      </c>
      <c r="AU153" s="107" t="e">
        <f>VLOOKUP($A153,'S49'!$C:$BQ,32,0)</f>
        <v>#N/A</v>
      </c>
      <c r="AV153" s="107" t="e">
        <f>VLOOKUP($A153,'S49'!$C:$BQ,39,0)</f>
        <v>#N/A</v>
      </c>
      <c r="AW153" s="107" t="e">
        <f>VLOOKUP($A153,'S49'!$C:$BQ,40,0)</f>
        <v>#N/A</v>
      </c>
      <c r="AX153" s="107" t="e">
        <f>VLOOKUP($A153,'S49'!$C:$BQ,22,0)</f>
        <v>#N/A</v>
      </c>
      <c r="AY153" s="115" t="e">
        <f>VLOOKUP($A153,'S49'!$C:$BQ,29,0)</f>
        <v>#N/A</v>
      </c>
      <c r="AZ153" s="115" t="e">
        <f>VLOOKUP($A153,'S49'!$C:$BQ,30,0)</f>
        <v>#N/A</v>
      </c>
      <c r="BA153" s="115" t="e">
        <f>VLOOKUP($A153,'S49'!$C:$BQ,52,0)</f>
        <v>#N/A</v>
      </c>
      <c r="BB153" s="115" t="e">
        <f>VLOOKUP($A153,'S49'!$C:$BQ,59,0)</f>
        <v>#N/A</v>
      </c>
      <c r="BC153" s="115" t="e">
        <f>VLOOKUP($A153,'S49'!$C:$BQ,60,0)</f>
        <v>#N/A</v>
      </c>
      <c r="BD153" s="107" t="e">
        <f>VLOOKUP($A153,'S50'!$C:$BQ,32,0)</f>
        <v>#N/A</v>
      </c>
      <c r="BE153" s="107" t="e">
        <f>VLOOKUP($A153,'S50'!$C:$BQ,39,0)</f>
        <v>#N/A</v>
      </c>
      <c r="BF153" s="107" t="e">
        <f>VLOOKUP($A153,'S50'!$C:$BQ,40,0)</f>
        <v>#N/A</v>
      </c>
      <c r="BG153" s="107" t="e">
        <f>VLOOKUP($A153,'S50'!$C:$BQ,22,0)</f>
        <v>#N/A</v>
      </c>
      <c r="BH153" s="115" t="e">
        <f>VLOOKUP($A153,'S50'!$C:$BQ,29,0)</f>
        <v>#N/A</v>
      </c>
      <c r="BI153" s="115" t="e">
        <f>VLOOKUP($A153,'S50'!$C:$BQ,30,0)</f>
        <v>#N/A</v>
      </c>
      <c r="BJ153" s="115" t="e">
        <f>VLOOKUP($A153,'S50'!$C:$BQ,52,0)</f>
        <v>#N/A</v>
      </c>
      <c r="BK153" s="115" t="e">
        <f>VLOOKUP($A153,'S50'!$C:$BQ,59,0)</f>
        <v>#N/A</v>
      </c>
      <c r="BL153" s="115" t="e">
        <f>VLOOKUP($A153,'S50'!$C:$BQ,60,0)</f>
        <v>#N/A</v>
      </c>
    </row>
    <row r="154" spans="1:64" x14ac:dyDescent="0.2">
      <c r="A154" s="106" t="s">
        <v>218</v>
      </c>
      <c r="B154" s="107">
        <f>VLOOKUP($A154,'S0 remplacer avec S44'!$C:$BQ,32,0)</f>
        <v>454.3</v>
      </c>
      <c r="C154" s="107">
        <f>VLOOKUP($A154,'S0 remplacer avec S44'!$C:$BQ,39,0)</f>
        <v>59</v>
      </c>
      <c r="D154" s="107">
        <f>VLOOKUP($A154,'S0 remplacer avec S44'!$C:$BQ,40,0)</f>
        <v>162</v>
      </c>
      <c r="E154" s="107">
        <f>VLOOKUP($A154,'S0 remplacer avec S44'!$C:$BQ,22,0)</f>
        <v>4793.1490100000001</v>
      </c>
      <c r="F154" s="115">
        <f>VLOOKUP($A154,'S0 remplacer avec S44'!$C:$BQ,29,0)</f>
        <v>0</v>
      </c>
      <c r="G154" s="115">
        <f>VLOOKUP($A154,'S0 remplacer avec S44'!$C:$BQ,30,0)</f>
        <v>808</v>
      </c>
      <c r="H154" s="115">
        <f>VLOOKUP($A154,'S0 remplacer avec S44'!$C:$BQ,52,0)</f>
        <v>329.2</v>
      </c>
      <c r="I154" s="115">
        <f>VLOOKUP($A154,'S0 remplacer avec S44'!$C:$BQ,59,0)</f>
        <v>0</v>
      </c>
      <c r="J154" s="115">
        <f>VLOOKUP($A154,'S0 remplacer avec S44'!$C:$BQ,60,0)</f>
        <v>0</v>
      </c>
      <c r="K154" s="107" t="e">
        <f>VLOOKUP($A154,'S45'!$C:$BQ,32,0)</f>
        <v>#N/A</v>
      </c>
      <c r="L154" s="107" t="e">
        <f>VLOOKUP($A154,'S45'!$C:$BQ,39,0)</f>
        <v>#N/A</v>
      </c>
      <c r="M154" s="107" t="e">
        <f>VLOOKUP($A154,'S45'!$C:$BQ,40,0)</f>
        <v>#N/A</v>
      </c>
      <c r="N154" s="107" t="e">
        <f>VLOOKUP($A154,'S45'!$C:$BQ,22,0)</f>
        <v>#N/A</v>
      </c>
      <c r="O154" s="115" t="e">
        <f>VLOOKUP($A154,'S45'!$C:$BQ,29,0)</f>
        <v>#N/A</v>
      </c>
      <c r="P154" s="115" t="e">
        <f>VLOOKUP($A154,'S45'!$C:$BQ,30,0)</f>
        <v>#N/A</v>
      </c>
      <c r="Q154" s="115" t="e">
        <f>VLOOKUP($A154,'S45'!$C:$BQ,52,0)</f>
        <v>#N/A</v>
      </c>
      <c r="R154" s="115" t="e">
        <f>VLOOKUP($A154,'S45'!$C:$BQ,59,0)</f>
        <v>#N/A</v>
      </c>
      <c r="S154" s="115" t="e">
        <f>VLOOKUP($A154,'S45'!$C:$BQ,60,0)</f>
        <v>#N/A</v>
      </c>
      <c r="T154" s="107" t="e">
        <f>VLOOKUP($A154,'S46'!$C:$BQ,32,0)</f>
        <v>#N/A</v>
      </c>
      <c r="U154" s="107" t="e">
        <f>VLOOKUP($A154,'S46'!$C:$BQ,39,0)</f>
        <v>#N/A</v>
      </c>
      <c r="V154" s="107" t="e">
        <f>VLOOKUP($A154,'S46'!$C:$BQ,40,0)</f>
        <v>#N/A</v>
      </c>
      <c r="W154" s="107" t="e">
        <f>VLOOKUP($A154,'S46'!$C:$BQ,22,0)</f>
        <v>#N/A</v>
      </c>
      <c r="X154" s="115" t="e">
        <f>VLOOKUP($A154,'S46'!$C:$BQ,29,0)</f>
        <v>#N/A</v>
      </c>
      <c r="Y154" s="115" t="e">
        <f>VLOOKUP($A154,'S46'!$C:$BQ,30,0)</f>
        <v>#N/A</v>
      </c>
      <c r="Z154" s="115" t="e">
        <f>VLOOKUP($A154,'S46'!$C:$BQ,52,0)</f>
        <v>#N/A</v>
      </c>
      <c r="AA154" s="115" t="e">
        <f>VLOOKUP($A154,'S46'!$C:$BQ,59,0)</f>
        <v>#N/A</v>
      </c>
      <c r="AB154" s="115" t="e">
        <f>VLOOKUP($A154,'S46'!$C:$BQ,60,0)</f>
        <v>#N/A</v>
      </c>
      <c r="AC154" s="107" t="e">
        <f>VLOOKUP($A154,'S47'!$C:$BQ,32,0)</f>
        <v>#N/A</v>
      </c>
      <c r="AD154" s="107" t="e">
        <f>VLOOKUP($A154,'S47'!$C:$BQ,39,0)</f>
        <v>#N/A</v>
      </c>
      <c r="AE154" s="107" t="e">
        <f>VLOOKUP($A154,'S47'!$C:$BQ,40,0)</f>
        <v>#N/A</v>
      </c>
      <c r="AF154" s="107" t="e">
        <f>VLOOKUP($A154,'S47'!$C:$BQ,22,0)</f>
        <v>#N/A</v>
      </c>
      <c r="AG154" s="115" t="e">
        <f>VLOOKUP($A154,'S47'!$C:$BQ,29,0)</f>
        <v>#N/A</v>
      </c>
      <c r="AH154" s="115" t="e">
        <f>VLOOKUP($A154,'S47'!$C:$BQ,30,0)</f>
        <v>#N/A</v>
      </c>
      <c r="AI154" s="115" t="e">
        <f>VLOOKUP($A154,'S47'!$C:$BQ,52,0)</f>
        <v>#N/A</v>
      </c>
      <c r="AJ154" s="115" t="e">
        <f>VLOOKUP($A154,'S47'!$C:$BQ,59,0)</f>
        <v>#N/A</v>
      </c>
      <c r="AK154" s="115" t="e">
        <f>VLOOKUP($A154,'S47'!$C:$BQ,60,0)</f>
        <v>#N/A</v>
      </c>
      <c r="AL154" s="107" t="e">
        <f>VLOOKUP($A154,'S48'!$C:$BQ,32,0)</f>
        <v>#N/A</v>
      </c>
      <c r="AM154" s="107" t="e">
        <f>VLOOKUP($A154,'S48'!$C:$BQ,39,0)</f>
        <v>#N/A</v>
      </c>
      <c r="AN154" s="107" t="e">
        <f>VLOOKUP($A154,'S48'!$C:$BQ,40,0)</f>
        <v>#N/A</v>
      </c>
      <c r="AO154" s="107" t="e">
        <f>VLOOKUP($A154,'S48'!$C:$BQ,22,0)</f>
        <v>#N/A</v>
      </c>
      <c r="AP154" s="115" t="e">
        <f>VLOOKUP($A154,'S48'!$C:$BQ,29,0)</f>
        <v>#N/A</v>
      </c>
      <c r="AQ154" s="115" t="e">
        <f>VLOOKUP($A154,'S48'!$C:$BQ,30,0)</f>
        <v>#N/A</v>
      </c>
      <c r="AR154" s="115" t="e">
        <f>VLOOKUP($A154,'S48'!$C:$BQ,52,0)</f>
        <v>#N/A</v>
      </c>
      <c r="AS154" s="115" t="e">
        <f>VLOOKUP($A154,'S48'!$C:$BQ,59,0)</f>
        <v>#N/A</v>
      </c>
      <c r="AT154" s="115" t="e">
        <f>VLOOKUP($A154,'S48'!$C:$BQ,60,0)</f>
        <v>#N/A</v>
      </c>
      <c r="AU154" s="107" t="e">
        <f>VLOOKUP($A154,'S49'!$C:$BQ,32,0)</f>
        <v>#N/A</v>
      </c>
      <c r="AV154" s="107" t="e">
        <f>VLOOKUP($A154,'S49'!$C:$BQ,39,0)</f>
        <v>#N/A</v>
      </c>
      <c r="AW154" s="107" t="e">
        <f>VLOOKUP($A154,'S49'!$C:$BQ,40,0)</f>
        <v>#N/A</v>
      </c>
      <c r="AX154" s="107" t="e">
        <f>VLOOKUP($A154,'S49'!$C:$BQ,22,0)</f>
        <v>#N/A</v>
      </c>
      <c r="AY154" s="115" t="e">
        <f>VLOOKUP($A154,'S49'!$C:$BQ,29,0)</f>
        <v>#N/A</v>
      </c>
      <c r="AZ154" s="115" t="e">
        <f>VLOOKUP($A154,'S49'!$C:$BQ,30,0)</f>
        <v>#N/A</v>
      </c>
      <c r="BA154" s="115" t="e">
        <f>VLOOKUP($A154,'S49'!$C:$BQ,52,0)</f>
        <v>#N/A</v>
      </c>
      <c r="BB154" s="115" t="e">
        <f>VLOOKUP($A154,'S49'!$C:$BQ,59,0)</f>
        <v>#N/A</v>
      </c>
      <c r="BC154" s="115" t="e">
        <f>VLOOKUP($A154,'S49'!$C:$BQ,60,0)</f>
        <v>#N/A</v>
      </c>
      <c r="BD154" s="107" t="e">
        <f>VLOOKUP($A154,'S50'!$C:$BQ,32,0)</f>
        <v>#N/A</v>
      </c>
      <c r="BE154" s="107" t="e">
        <f>VLOOKUP($A154,'S50'!$C:$BQ,39,0)</f>
        <v>#N/A</v>
      </c>
      <c r="BF154" s="107" t="e">
        <f>VLOOKUP($A154,'S50'!$C:$BQ,40,0)</f>
        <v>#N/A</v>
      </c>
      <c r="BG154" s="107" t="e">
        <f>VLOOKUP($A154,'S50'!$C:$BQ,22,0)</f>
        <v>#N/A</v>
      </c>
      <c r="BH154" s="115" t="e">
        <f>VLOOKUP($A154,'S50'!$C:$BQ,29,0)</f>
        <v>#N/A</v>
      </c>
      <c r="BI154" s="115" t="e">
        <f>VLOOKUP($A154,'S50'!$C:$BQ,30,0)</f>
        <v>#N/A</v>
      </c>
      <c r="BJ154" s="115" t="e">
        <f>VLOOKUP($A154,'S50'!$C:$BQ,52,0)</f>
        <v>#N/A</v>
      </c>
      <c r="BK154" s="115" t="e">
        <f>VLOOKUP($A154,'S50'!$C:$BQ,59,0)</f>
        <v>#N/A</v>
      </c>
      <c r="BL154" s="115" t="e">
        <f>VLOOKUP($A154,'S50'!$C:$BQ,60,0)</f>
        <v>#N/A</v>
      </c>
    </row>
    <row r="155" spans="1:64" x14ac:dyDescent="0.2">
      <c r="A155" s="106" t="s">
        <v>219</v>
      </c>
      <c r="B155" s="107">
        <f>VLOOKUP($A155,'S0 remplacer avec S44'!$C:$BQ,32,0)</f>
        <v>267.10000000000002</v>
      </c>
      <c r="C155" s="107">
        <f>VLOOKUP($A155,'S0 remplacer avec S44'!$C:$BQ,39,0)</f>
        <v>48</v>
      </c>
      <c r="D155" s="107">
        <f>VLOOKUP($A155,'S0 remplacer avec S44'!$C:$BQ,40,0)</f>
        <v>111</v>
      </c>
      <c r="E155" s="107">
        <f>VLOOKUP($A155,'S0 remplacer avec S44'!$C:$BQ,22,0)</f>
        <v>3272.9072700000002</v>
      </c>
      <c r="F155" s="115">
        <f>VLOOKUP($A155,'S0 remplacer avec S44'!$C:$BQ,29,0)</f>
        <v>0</v>
      </c>
      <c r="G155" s="115">
        <f>VLOOKUP($A155,'S0 remplacer avec S44'!$C:$BQ,30,0)</f>
        <v>160</v>
      </c>
      <c r="H155" s="115">
        <f>VLOOKUP($A155,'S0 remplacer avec S44'!$C:$BQ,52,0)</f>
        <v>230</v>
      </c>
      <c r="I155" s="115">
        <f>VLOOKUP($A155,'S0 remplacer avec S44'!$C:$BQ,59,0)</f>
        <v>0</v>
      </c>
      <c r="J155" s="115">
        <f>VLOOKUP($A155,'S0 remplacer avec S44'!$C:$BQ,60,0)</f>
        <v>0</v>
      </c>
      <c r="K155" s="107" t="e">
        <f>VLOOKUP($A155,'S45'!$C:$BQ,32,0)</f>
        <v>#N/A</v>
      </c>
      <c r="L155" s="107" t="e">
        <f>VLOOKUP($A155,'S45'!$C:$BQ,39,0)</f>
        <v>#N/A</v>
      </c>
      <c r="M155" s="107" t="e">
        <f>VLOOKUP($A155,'S45'!$C:$BQ,40,0)</f>
        <v>#N/A</v>
      </c>
      <c r="N155" s="107" t="e">
        <f>VLOOKUP($A155,'S45'!$C:$BQ,22,0)</f>
        <v>#N/A</v>
      </c>
      <c r="O155" s="115" t="e">
        <f>VLOOKUP($A155,'S45'!$C:$BQ,29,0)</f>
        <v>#N/A</v>
      </c>
      <c r="P155" s="115" t="e">
        <f>VLOOKUP($A155,'S45'!$C:$BQ,30,0)</f>
        <v>#N/A</v>
      </c>
      <c r="Q155" s="115" t="e">
        <f>VLOOKUP($A155,'S45'!$C:$BQ,52,0)</f>
        <v>#N/A</v>
      </c>
      <c r="R155" s="115" t="e">
        <f>VLOOKUP($A155,'S45'!$C:$BQ,59,0)</f>
        <v>#N/A</v>
      </c>
      <c r="S155" s="115" t="e">
        <f>VLOOKUP($A155,'S45'!$C:$BQ,60,0)</f>
        <v>#N/A</v>
      </c>
      <c r="T155" s="107" t="e">
        <f>VLOOKUP($A155,'S46'!$C:$BQ,32,0)</f>
        <v>#N/A</v>
      </c>
      <c r="U155" s="107" t="e">
        <f>VLOOKUP($A155,'S46'!$C:$BQ,39,0)</f>
        <v>#N/A</v>
      </c>
      <c r="V155" s="107" t="e">
        <f>VLOOKUP($A155,'S46'!$C:$BQ,40,0)</f>
        <v>#N/A</v>
      </c>
      <c r="W155" s="107" t="e">
        <f>VLOOKUP($A155,'S46'!$C:$BQ,22,0)</f>
        <v>#N/A</v>
      </c>
      <c r="X155" s="115" t="e">
        <f>VLOOKUP($A155,'S46'!$C:$BQ,29,0)</f>
        <v>#N/A</v>
      </c>
      <c r="Y155" s="115" t="e">
        <f>VLOOKUP($A155,'S46'!$C:$BQ,30,0)</f>
        <v>#N/A</v>
      </c>
      <c r="Z155" s="115" t="e">
        <f>VLOOKUP($A155,'S46'!$C:$BQ,52,0)</f>
        <v>#N/A</v>
      </c>
      <c r="AA155" s="115" t="e">
        <f>VLOOKUP($A155,'S46'!$C:$BQ,59,0)</f>
        <v>#N/A</v>
      </c>
      <c r="AB155" s="115" t="e">
        <f>VLOOKUP($A155,'S46'!$C:$BQ,60,0)</f>
        <v>#N/A</v>
      </c>
      <c r="AC155" s="107" t="e">
        <f>VLOOKUP($A155,'S47'!$C:$BQ,32,0)</f>
        <v>#N/A</v>
      </c>
      <c r="AD155" s="107" t="e">
        <f>VLOOKUP($A155,'S47'!$C:$BQ,39,0)</f>
        <v>#N/A</v>
      </c>
      <c r="AE155" s="107" t="e">
        <f>VLOOKUP($A155,'S47'!$C:$BQ,40,0)</f>
        <v>#N/A</v>
      </c>
      <c r="AF155" s="107" t="e">
        <f>VLOOKUP($A155,'S47'!$C:$BQ,22,0)</f>
        <v>#N/A</v>
      </c>
      <c r="AG155" s="115" t="e">
        <f>VLOOKUP($A155,'S47'!$C:$BQ,29,0)</f>
        <v>#N/A</v>
      </c>
      <c r="AH155" s="115" t="e">
        <f>VLOOKUP($A155,'S47'!$C:$BQ,30,0)</f>
        <v>#N/A</v>
      </c>
      <c r="AI155" s="115" t="e">
        <f>VLOOKUP($A155,'S47'!$C:$BQ,52,0)</f>
        <v>#N/A</v>
      </c>
      <c r="AJ155" s="115" t="e">
        <f>VLOOKUP($A155,'S47'!$C:$BQ,59,0)</f>
        <v>#N/A</v>
      </c>
      <c r="AK155" s="115" t="e">
        <f>VLOOKUP($A155,'S47'!$C:$BQ,60,0)</f>
        <v>#N/A</v>
      </c>
      <c r="AL155" s="107" t="e">
        <f>VLOOKUP($A155,'S48'!$C:$BQ,32,0)</f>
        <v>#N/A</v>
      </c>
      <c r="AM155" s="107" t="e">
        <f>VLOOKUP($A155,'S48'!$C:$BQ,39,0)</f>
        <v>#N/A</v>
      </c>
      <c r="AN155" s="107" t="e">
        <f>VLOOKUP($A155,'S48'!$C:$BQ,40,0)</f>
        <v>#N/A</v>
      </c>
      <c r="AO155" s="107" t="e">
        <f>VLOOKUP($A155,'S48'!$C:$BQ,22,0)</f>
        <v>#N/A</v>
      </c>
      <c r="AP155" s="115" t="e">
        <f>VLOOKUP($A155,'S48'!$C:$BQ,29,0)</f>
        <v>#N/A</v>
      </c>
      <c r="AQ155" s="115" t="e">
        <f>VLOOKUP($A155,'S48'!$C:$BQ,30,0)</f>
        <v>#N/A</v>
      </c>
      <c r="AR155" s="115" t="e">
        <f>VLOOKUP($A155,'S48'!$C:$BQ,52,0)</f>
        <v>#N/A</v>
      </c>
      <c r="AS155" s="115" t="e">
        <f>VLOOKUP($A155,'S48'!$C:$BQ,59,0)</f>
        <v>#N/A</v>
      </c>
      <c r="AT155" s="115" t="e">
        <f>VLOOKUP($A155,'S48'!$C:$BQ,60,0)</f>
        <v>#N/A</v>
      </c>
      <c r="AU155" s="107" t="e">
        <f>VLOOKUP($A155,'S49'!$C:$BQ,32,0)</f>
        <v>#N/A</v>
      </c>
      <c r="AV155" s="107" t="e">
        <f>VLOOKUP($A155,'S49'!$C:$BQ,39,0)</f>
        <v>#N/A</v>
      </c>
      <c r="AW155" s="107" t="e">
        <f>VLOOKUP($A155,'S49'!$C:$BQ,40,0)</f>
        <v>#N/A</v>
      </c>
      <c r="AX155" s="107" t="e">
        <f>VLOOKUP($A155,'S49'!$C:$BQ,22,0)</f>
        <v>#N/A</v>
      </c>
      <c r="AY155" s="115" t="e">
        <f>VLOOKUP($A155,'S49'!$C:$BQ,29,0)</f>
        <v>#N/A</v>
      </c>
      <c r="AZ155" s="115" t="e">
        <f>VLOOKUP($A155,'S49'!$C:$BQ,30,0)</f>
        <v>#N/A</v>
      </c>
      <c r="BA155" s="115" t="e">
        <f>VLOOKUP($A155,'S49'!$C:$BQ,52,0)</f>
        <v>#N/A</v>
      </c>
      <c r="BB155" s="115" t="e">
        <f>VLOOKUP($A155,'S49'!$C:$BQ,59,0)</f>
        <v>#N/A</v>
      </c>
      <c r="BC155" s="115" t="e">
        <f>VLOOKUP($A155,'S49'!$C:$BQ,60,0)</f>
        <v>#N/A</v>
      </c>
      <c r="BD155" s="107" t="e">
        <f>VLOOKUP($A155,'S50'!$C:$BQ,32,0)</f>
        <v>#N/A</v>
      </c>
      <c r="BE155" s="107" t="e">
        <f>VLOOKUP($A155,'S50'!$C:$BQ,39,0)</f>
        <v>#N/A</v>
      </c>
      <c r="BF155" s="107" t="e">
        <f>VLOOKUP($A155,'S50'!$C:$BQ,40,0)</f>
        <v>#N/A</v>
      </c>
      <c r="BG155" s="107" t="e">
        <f>VLOOKUP($A155,'S50'!$C:$BQ,22,0)</f>
        <v>#N/A</v>
      </c>
      <c r="BH155" s="115" t="e">
        <f>VLOOKUP($A155,'S50'!$C:$BQ,29,0)</f>
        <v>#N/A</v>
      </c>
      <c r="BI155" s="115" t="e">
        <f>VLOOKUP($A155,'S50'!$C:$BQ,30,0)</f>
        <v>#N/A</v>
      </c>
      <c r="BJ155" s="115" t="e">
        <f>VLOOKUP($A155,'S50'!$C:$BQ,52,0)</f>
        <v>#N/A</v>
      </c>
      <c r="BK155" s="115" t="e">
        <f>VLOOKUP($A155,'S50'!$C:$BQ,59,0)</f>
        <v>#N/A</v>
      </c>
      <c r="BL155" s="115" t="e">
        <f>VLOOKUP($A155,'S50'!$C:$BQ,60,0)</f>
        <v>#N/A</v>
      </c>
    </row>
    <row r="156" spans="1:64" x14ac:dyDescent="0.2">
      <c r="A156" s="106" t="s">
        <v>222</v>
      </c>
      <c r="B156" s="107">
        <f>VLOOKUP($A156,'S0 remplacer avec S44'!$C:$BQ,32,0)</f>
        <v>122.7</v>
      </c>
      <c r="C156" s="107">
        <f>VLOOKUP($A156,'S0 remplacer avec S44'!$C:$BQ,39,0)</f>
        <v>35</v>
      </c>
      <c r="D156" s="107">
        <f>VLOOKUP($A156,'S0 remplacer avec S44'!$C:$BQ,40,0)</f>
        <v>67</v>
      </c>
      <c r="E156" s="107">
        <f>VLOOKUP($A156,'S0 remplacer avec S44'!$C:$BQ,22,0)</f>
        <v>1382.69615</v>
      </c>
      <c r="F156" s="115">
        <f>VLOOKUP($A156,'S0 remplacer avec S44'!$C:$BQ,29,0)</f>
        <v>52</v>
      </c>
      <c r="G156" s="115">
        <f>VLOOKUP($A156,'S0 remplacer avec S44'!$C:$BQ,30,0)</f>
        <v>338</v>
      </c>
      <c r="H156" s="115">
        <f>VLOOKUP($A156,'S0 remplacer avec S44'!$C:$BQ,52,0)</f>
        <v>54</v>
      </c>
      <c r="I156" s="115">
        <f>VLOOKUP($A156,'S0 remplacer avec S44'!$C:$BQ,59,0)</f>
        <v>27</v>
      </c>
      <c r="J156" s="115">
        <f>VLOOKUP($A156,'S0 remplacer avec S44'!$C:$BQ,60,0)</f>
        <v>43</v>
      </c>
      <c r="K156" s="107" t="e">
        <f>VLOOKUP($A156,'S45'!$C:$BQ,32,0)</f>
        <v>#N/A</v>
      </c>
      <c r="L156" s="107" t="e">
        <f>VLOOKUP($A156,'S45'!$C:$BQ,39,0)</f>
        <v>#N/A</v>
      </c>
      <c r="M156" s="107" t="e">
        <f>VLOOKUP($A156,'S45'!$C:$BQ,40,0)</f>
        <v>#N/A</v>
      </c>
      <c r="N156" s="107" t="e">
        <f>VLOOKUP($A156,'S45'!$C:$BQ,22,0)</f>
        <v>#N/A</v>
      </c>
      <c r="O156" s="115" t="e">
        <f>VLOOKUP($A156,'S45'!$C:$BQ,29,0)</f>
        <v>#N/A</v>
      </c>
      <c r="P156" s="115" t="e">
        <f>VLOOKUP($A156,'S45'!$C:$BQ,30,0)</f>
        <v>#N/A</v>
      </c>
      <c r="Q156" s="115" t="e">
        <f>VLOOKUP($A156,'S45'!$C:$BQ,52,0)</f>
        <v>#N/A</v>
      </c>
      <c r="R156" s="115" t="e">
        <f>VLOOKUP($A156,'S45'!$C:$BQ,59,0)</f>
        <v>#N/A</v>
      </c>
      <c r="S156" s="115" t="e">
        <f>VLOOKUP($A156,'S45'!$C:$BQ,60,0)</f>
        <v>#N/A</v>
      </c>
      <c r="T156" s="107" t="e">
        <f>VLOOKUP($A156,'S46'!$C:$BQ,32,0)</f>
        <v>#N/A</v>
      </c>
      <c r="U156" s="107" t="e">
        <f>VLOOKUP($A156,'S46'!$C:$BQ,39,0)</f>
        <v>#N/A</v>
      </c>
      <c r="V156" s="107" t="e">
        <f>VLOOKUP($A156,'S46'!$C:$BQ,40,0)</f>
        <v>#N/A</v>
      </c>
      <c r="W156" s="107" t="e">
        <f>VLOOKUP($A156,'S46'!$C:$BQ,22,0)</f>
        <v>#N/A</v>
      </c>
      <c r="X156" s="115" t="e">
        <f>VLOOKUP($A156,'S46'!$C:$BQ,29,0)</f>
        <v>#N/A</v>
      </c>
      <c r="Y156" s="115" t="e">
        <f>VLOOKUP($A156,'S46'!$C:$BQ,30,0)</f>
        <v>#N/A</v>
      </c>
      <c r="Z156" s="115" t="e">
        <f>VLOOKUP($A156,'S46'!$C:$BQ,52,0)</f>
        <v>#N/A</v>
      </c>
      <c r="AA156" s="115" t="e">
        <f>VLOOKUP($A156,'S46'!$C:$BQ,59,0)</f>
        <v>#N/A</v>
      </c>
      <c r="AB156" s="115" t="e">
        <f>VLOOKUP($A156,'S46'!$C:$BQ,60,0)</f>
        <v>#N/A</v>
      </c>
      <c r="AC156" s="107" t="e">
        <f>VLOOKUP($A156,'S47'!$C:$BQ,32,0)</f>
        <v>#N/A</v>
      </c>
      <c r="AD156" s="107" t="e">
        <f>VLOOKUP($A156,'S47'!$C:$BQ,39,0)</f>
        <v>#N/A</v>
      </c>
      <c r="AE156" s="107" t="e">
        <f>VLOOKUP($A156,'S47'!$C:$BQ,40,0)</f>
        <v>#N/A</v>
      </c>
      <c r="AF156" s="107" t="e">
        <f>VLOOKUP($A156,'S47'!$C:$BQ,22,0)</f>
        <v>#N/A</v>
      </c>
      <c r="AG156" s="115" t="e">
        <f>VLOOKUP($A156,'S47'!$C:$BQ,29,0)</f>
        <v>#N/A</v>
      </c>
      <c r="AH156" s="115" t="e">
        <f>VLOOKUP($A156,'S47'!$C:$BQ,30,0)</f>
        <v>#N/A</v>
      </c>
      <c r="AI156" s="115" t="e">
        <f>VLOOKUP($A156,'S47'!$C:$BQ,52,0)</f>
        <v>#N/A</v>
      </c>
      <c r="AJ156" s="115" t="e">
        <f>VLOOKUP($A156,'S47'!$C:$BQ,59,0)</f>
        <v>#N/A</v>
      </c>
      <c r="AK156" s="115" t="e">
        <f>VLOOKUP($A156,'S47'!$C:$BQ,60,0)</f>
        <v>#N/A</v>
      </c>
      <c r="AL156" s="107" t="e">
        <f>VLOOKUP($A156,'S48'!$C:$BQ,32,0)</f>
        <v>#N/A</v>
      </c>
      <c r="AM156" s="107" t="e">
        <f>VLOOKUP($A156,'S48'!$C:$BQ,39,0)</f>
        <v>#N/A</v>
      </c>
      <c r="AN156" s="107" t="e">
        <f>VLOOKUP($A156,'S48'!$C:$BQ,40,0)</f>
        <v>#N/A</v>
      </c>
      <c r="AO156" s="107" t="e">
        <f>VLOOKUP($A156,'S48'!$C:$BQ,22,0)</f>
        <v>#N/A</v>
      </c>
      <c r="AP156" s="115" t="e">
        <f>VLOOKUP($A156,'S48'!$C:$BQ,29,0)</f>
        <v>#N/A</v>
      </c>
      <c r="AQ156" s="115" t="e">
        <f>VLOOKUP($A156,'S48'!$C:$BQ,30,0)</f>
        <v>#N/A</v>
      </c>
      <c r="AR156" s="115" t="e">
        <f>VLOOKUP($A156,'S48'!$C:$BQ,52,0)</f>
        <v>#N/A</v>
      </c>
      <c r="AS156" s="115" t="e">
        <f>VLOOKUP($A156,'S48'!$C:$BQ,59,0)</f>
        <v>#N/A</v>
      </c>
      <c r="AT156" s="115" t="e">
        <f>VLOOKUP($A156,'S48'!$C:$BQ,60,0)</f>
        <v>#N/A</v>
      </c>
      <c r="AU156" s="107" t="e">
        <f>VLOOKUP($A156,'S49'!$C:$BQ,32,0)</f>
        <v>#N/A</v>
      </c>
      <c r="AV156" s="107" t="e">
        <f>VLOOKUP($A156,'S49'!$C:$BQ,39,0)</f>
        <v>#N/A</v>
      </c>
      <c r="AW156" s="107" t="e">
        <f>VLOOKUP($A156,'S49'!$C:$BQ,40,0)</f>
        <v>#N/A</v>
      </c>
      <c r="AX156" s="107" t="e">
        <f>VLOOKUP($A156,'S49'!$C:$BQ,22,0)</f>
        <v>#N/A</v>
      </c>
      <c r="AY156" s="115" t="e">
        <f>VLOOKUP($A156,'S49'!$C:$BQ,29,0)</f>
        <v>#N/A</v>
      </c>
      <c r="AZ156" s="115" t="e">
        <f>VLOOKUP($A156,'S49'!$C:$BQ,30,0)</f>
        <v>#N/A</v>
      </c>
      <c r="BA156" s="115" t="e">
        <f>VLOOKUP($A156,'S49'!$C:$BQ,52,0)</f>
        <v>#N/A</v>
      </c>
      <c r="BB156" s="115" t="e">
        <f>VLOOKUP($A156,'S49'!$C:$BQ,59,0)</f>
        <v>#N/A</v>
      </c>
      <c r="BC156" s="115" t="e">
        <f>VLOOKUP($A156,'S49'!$C:$BQ,60,0)</f>
        <v>#N/A</v>
      </c>
      <c r="BD156" s="107" t="e">
        <f>VLOOKUP($A156,'S50'!$C:$BQ,32,0)</f>
        <v>#N/A</v>
      </c>
      <c r="BE156" s="107" t="e">
        <f>VLOOKUP($A156,'S50'!$C:$BQ,39,0)</f>
        <v>#N/A</v>
      </c>
      <c r="BF156" s="107" t="e">
        <f>VLOOKUP($A156,'S50'!$C:$BQ,40,0)</f>
        <v>#N/A</v>
      </c>
      <c r="BG156" s="107" t="e">
        <f>VLOOKUP($A156,'S50'!$C:$BQ,22,0)</f>
        <v>#N/A</v>
      </c>
      <c r="BH156" s="115" t="e">
        <f>VLOOKUP($A156,'S50'!$C:$BQ,29,0)</f>
        <v>#N/A</v>
      </c>
      <c r="BI156" s="115" t="e">
        <f>VLOOKUP($A156,'S50'!$C:$BQ,30,0)</f>
        <v>#N/A</v>
      </c>
      <c r="BJ156" s="115" t="e">
        <f>VLOOKUP($A156,'S50'!$C:$BQ,52,0)</f>
        <v>#N/A</v>
      </c>
      <c r="BK156" s="115" t="e">
        <f>VLOOKUP($A156,'S50'!$C:$BQ,59,0)</f>
        <v>#N/A</v>
      </c>
      <c r="BL156" s="115" t="e">
        <f>VLOOKUP($A156,'S50'!$C:$BQ,60,0)</f>
        <v>#N/A</v>
      </c>
    </row>
    <row r="157" spans="1:64" x14ac:dyDescent="0.2">
      <c r="A157" s="106" t="s">
        <v>223</v>
      </c>
      <c r="B157" s="107">
        <f>VLOOKUP($A157,'S0 remplacer avec S44'!$C:$BQ,32,0)</f>
        <v>70.7</v>
      </c>
      <c r="C157" s="107">
        <f>VLOOKUP($A157,'S0 remplacer avec S44'!$C:$BQ,39,0)</f>
        <v>16</v>
      </c>
      <c r="D157" s="107">
        <f>VLOOKUP($A157,'S0 remplacer avec S44'!$C:$BQ,40,0)</f>
        <v>34</v>
      </c>
      <c r="E157" s="107">
        <f>VLOOKUP($A157,'S0 remplacer avec S44'!$C:$BQ,22,0)</f>
        <v>821.34510499999999</v>
      </c>
      <c r="F157" s="115">
        <f>VLOOKUP($A157,'S0 remplacer avec S44'!$C:$BQ,29,0)</f>
        <v>0</v>
      </c>
      <c r="G157" s="115">
        <f>VLOOKUP($A157,'S0 remplacer avec S44'!$C:$BQ,30,0)</f>
        <v>124</v>
      </c>
      <c r="H157" s="115">
        <f>VLOOKUP($A157,'S0 remplacer avec S44'!$C:$BQ,52,0)</f>
        <v>31.8</v>
      </c>
      <c r="I157" s="115">
        <f>VLOOKUP($A157,'S0 remplacer avec S44'!$C:$BQ,59,0)</f>
        <v>13</v>
      </c>
      <c r="J157" s="115">
        <f>VLOOKUP($A157,'S0 remplacer avec S44'!$C:$BQ,60,0)</f>
        <v>21</v>
      </c>
      <c r="K157" s="107" t="e">
        <f>VLOOKUP($A157,'S45'!$C:$BQ,32,0)</f>
        <v>#N/A</v>
      </c>
      <c r="L157" s="107" t="e">
        <f>VLOOKUP($A157,'S45'!$C:$BQ,39,0)</f>
        <v>#N/A</v>
      </c>
      <c r="M157" s="107" t="e">
        <f>VLOOKUP($A157,'S45'!$C:$BQ,40,0)</f>
        <v>#N/A</v>
      </c>
      <c r="N157" s="107" t="e">
        <f>VLOOKUP($A157,'S45'!$C:$BQ,22,0)</f>
        <v>#N/A</v>
      </c>
      <c r="O157" s="115" t="e">
        <f>VLOOKUP($A157,'S45'!$C:$BQ,29,0)</f>
        <v>#N/A</v>
      </c>
      <c r="P157" s="115" t="e">
        <f>VLOOKUP($A157,'S45'!$C:$BQ,30,0)</f>
        <v>#N/A</v>
      </c>
      <c r="Q157" s="115" t="e">
        <f>VLOOKUP($A157,'S45'!$C:$BQ,52,0)</f>
        <v>#N/A</v>
      </c>
      <c r="R157" s="115" t="e">
        <f>VLOOKUP($A157,'S45'!$C:$BQ,59,0)</f>
        <v>#N/A</v>
      </c>
      <c r="S157" s="115" t="e">
        <f>VLOOKUP($A157,'S45'!$C:$BQ,60,0)</f>
        <v>#N/A</v>
      </c>
      <c r="T157" s="107" t="e">
        <f>VLOOKUP($A157,'S46'!$C:$BQ,32,0)</f>
        <v>#N/A</v>
      </c>
      <c r="U157" s="107" t="e">
        <f>VLOOKUP($A157,'S46'!$C:$BQ,39,0)</f>
        <v>#N/A</v>
      </c>
      <c r="V157" s="107" t="e">
        <f>VLOOKUP($A157,'S46'!$C:$BQ,40,0)</f>
        <v>#N/A</v>
      </c>
      <c r="W157" s="107" t="e">
        <f>VLOOKUP($A157,'S46'!$C:$BQ,22,0)</f>
        <v>#N/A</v>
      </c>
      <c r="X157" s="115" t="e">
        <f>VLOOKUP($A157,'S46'!$C:$BQ,29,0)</f>
        <v>#N/A</v>
      </c>
      <c r="Y157" s="115" t="e">
        <f>VLOOKUP($A157,'S46'!$C:$BQ,30,0)</f>
        <v>#N/A</v>
      </c>
      <c r="Z157" s="115" t="e">
        <f>VLOOKUP($A157,'S46'!$C:$BQ,52,0)</f>
        <v>#N/A</v>
      </c>
      <c r="AA157" s="115" t="e">
        <f>VLOOKUP($A157,'S46'!$C:$BQ,59,0)</f>
        <v>#N/A</v>
      </c>
      <c r="AB157" s="115" t="e">
        <f>VLOOKUP($A157,'S46'!$C:$BQ,60,0)</f>
        <v>#N/A</v>
      </c>
      <c r="AC157" s="107" t="e">
        <f>VLOOKUP($A157,'S47'!$C:$BQ,32,0)</f>
        <v>#N/A</v>
      </c>
      <c r="AD157" s="107" t="e">
        <f>VLOOKUP($A157,'S47'!$C:$BQ,39,0)</f>
        <v>#N/A</v>
      </c>
      <c r="AE157" s="107" t="e">
        <f>VLOOKUP($A157,'S47'!$C:$BQ,40,0)</f>
        <v>#N/A</v>
      </c>
      <c r="AF157" s="107" t="e">
        <f>VLOOKUP($A157,'S47'!$C:$BQ,22,0)</f>
        <v>#N/A</v>
      </c>
      <c r="AG157" s="115" t="e">
        <f>VLOOKUP($A157,'S47'!$C:$BQ,29,0)</f>
        <v>#N/A</v>
      </c>
      <c r="AH157" s="115" t="e">
        <f>VLOOKUP($A157,'S47'!$C:$BQ,30,0)</f>
        <v>#N/A</v>
      </c>
      <c r="AI157" s="115" t="e">
        <f>VLOOKUP($A157,'S47'!$C:$BQ,52,0)</f>
        <v>#N/A</v>
      </c>
      <c r="AJ157" s="115" t="e">
        <f>VLOOKUP($A157,'S47'!$C:$BQ,59,0)</f>
        <v>#N/A</v>
      </c>
      <c r="AK157" s="115" t="e">
        <f>VLOOKUP($A157,'S47'!$C:$BQ,60,0)</f>
        <v>#N/A</v>
      </c>
      <c r="AL157" s="107" t="e">
        <f>VLOOKUP($A157,'S48'!$C:$BQ,32,0)</f>
        <v>#N/A</v>
      </c>
      <c r="AM157" s="107" t="e">
        <f>VLOOKUP($A157,'S48'!$C:$BQ,39,0)</f>
        <v>#N/A</v>
      </c>
      <c r="AN157" s="107" t="e">
        <f>VLOOKUP($A157,'S48'!$C:$BQ,40,0)</f>
        <v>#N/A</v>
      </c>
      <c r="AO157" s="107" t="e">
        <f>VLOOKUP($A157,'S48'!$C:$BQ,22,0)</f>
        <v>#N/A</v>
      </c>
      <c r="AP157" s="115" t="e">
        <f>VLOOKUP($A157,'S48'!$C:$BQ,29,0)</f>
        <v>#N/A</v>
      </c>
      <c r="AQ157" s="115" t="e">
        <f>VLOOKUP($A157,'S48'!$C:$BQ,30,0)</f>
        <v>#N/A</v>
      </c>
      <c r="AR157" s="115" t="e">
        <f>VLOOKUP($A157,'S48'!$C:$BQ,52,0)</f>
        <v>#N/A</v>
      </c>
      <c r="AS157" s="115" t="e">
        <f>VLOOKUP($A157,'S48'!$C:$BQ,59,0)</f>
        <v>#N/A</v>
      </c>
      <c r="AT157" s="115" t="e">
        <f>VLOOKUP($A157,'S48'!$C:$BQ,60,0)</f>
        <v>#N/A</v>
      </c>
      <c r="AU157" s="107" t="e">
        <f>VLOOKUP($A157,'S49'!$C:$BQ,32,0)</f>
        <v>#N/A</v>
      </c>
      <c r="AV157" s="107" t="e">
        <f>VLOOKUP($A157,'S49'!$C:$BQ,39,0)</f>
        <v>#N/A</v>
      </c>
      <c r="AW157" s="107" t="e">
        <f>VLOOKUP($A157,'S49'!$C:$BQ,40,0)</f>
        <v>#N/A</v>
      </c>
      <c r="AX157" s="107" t="e">
        <f>VLOOKUP($A157,'S49'!$C:$BQ,22,0)</f>
        <v>#N/A</v>
      </c>
      <c r="AY157" s="115" t="e">
        <f>VLOOKUP($A157,'S49'!$C:$BQ,29,0)</f>
        <v>#N/A</v>
      </c>
      <c r="AZ157" s="115" t="e">
        <f>VLOOKUP($A157,'S49'!$C:$BQ,30,0)</f>
        <v>#N/A</v>
      </c>
      <c r="BA157" s="115" t="e">
        <f>VLOOKUP($A157,'S49'!$C:$BQ,52,0)</f>
        <v>#N/A</v>
      </c>
      <c r="BB157" s="115" t="e">
        <f>VLOOKUP($A157,'S49'!$C:$BQ,59,0)</f>
        <v>#N/A</v>
      </c>
      <c r="BC157" s="115" t="e">
        <f>VLOOKUP($A157,'S49'!$C:$BQ,60,0)</f>
        <v>#N/A</v>
      </c>
      <c r="BD157" s="107" t="e">
        <f>VLOOKUP($A157,'S50'!$C:$BQ,32,0)</f>
        <v>#N/A</v>
      </c>
      <c r="BE157" s="107" t="e">
        <f>VLOOKUP($A157,'S50'!$C:$BQ,39,0)</f>
        <v>#N/A</v>
      </c>
      <c r="BF157" s="107" t="e">
        <f>VLOOKUP($A157,'S50'!$C:$BQ,40,0)</f>
        <v>#N/A</v>
      </c>
      <c r="BG157" s="107" t="e">
        <f>VLOOKUP($A157,'S50'!$C:$BQ,22,0)</f>
        <v>#N/A</v>
      </c>
      <c r="BH157" s="115" t="e">
        <f>VLOOKUP($A157,'S50'!$C:$BQ,29,0)</f>
        <v>#N/A</v>
      </c>
      <c r="BI157" s="115" t="e">
        <f>VLOOKUP($A157,'S50'!$C:$BQ,30,0)</f>
        <v>#N/A</v>
      </c>
      <c r="BJ157" s="115" t="e">
        <f>VLOOKUP($A157,'S50'!$C:$BQ,52,0)</f>
        <v>#N/A</v>
      </c>
      <c r="BK157" s="115" t="e">
        <f>VLOOKUP($A157,'S50'!$C:$BQ,59,0)</f>
        <v>#N/A</v>
      </c>
      <c r="BL157" s="115" t="e">
        <f>VLOOKUP($A157,'S50'!$C:$BQ,60,0)</f>
        <v>#N/A</v>
      </c>
    </row>
    <row r="158" spans="1:64" x14ac:dyDescent="0.2">
      <c r="A158" s="106" t="s">
        <v>224</v>
      </c>
      <c r="B158" s="107">
        <f>VLOOKUP($A158,'S0 remplacer avec S44'!$C:$BQ,32,0)</f>
        <v>70.7</v>
      </c>
      <c r="C158" s="107">
        <f>VLOOKUP($A158,'S0 remplacer avec S44'!$C:$BQ,39,0)</f>
        <v>102</v>
      </c>
      <c r="D158" s="107">
        <f>VLOOKUP($A158,'S0 remplacer avec S44'!$C:$BQ,40,0)</f>
        <v>136</v>
      </c>
      <c r="E158" s="107">
        <f>VLOOKUP($A158,'S0 remplacer avec S44'!$C:$BQ,22,0)</f>
        <v>1628.1337149999999</v>
      </c>
      <c r="F158" s="115">
        <f>VLOOKUP($A158,'S0 remplacer avec S44'!$C:$BQ,29,0)</f>
        <v>0</v>
      </c>
      <c r="G158" s="115">
        <f>VLOOKUP($A158,'S0 remplacer avec S44'!$C:$BQ,30,0)</f>
        <v>249</v>
      </c>
      <c r="H158" s="115">
        <f>VLOOKUP($A158,'S0 remplacer avec S44'!$C:$BQ,52,0)</f>
        <v>94.6</v>
      </c>
      <c r="I158" s="115">
        <f>VLOOKUP($A158,'S0 remplacer avec S44'!$C:$BQ,59,0)</f>
        <v>0</v>
      </c>
      <c r="J158" s="115">
        <f>VLOOKUP($A158,'S0 remplacer avec S44'!$C:$BQ,60,0)</f>
        <v>11</v>
      </c>
      <c r="K158" s="107" t="e">
        <f>VLOOKUP($A158,'S45'!$C:$BQ,32,0)</f>
        <v>#N/A</v>
      </c>
      <c r="L158" s="107" t="e">
        <f>VLOOKUP($A158,'S45'!$C:$BQ,39,0)</f>
        <v>#N/A</v>
      </c>
      <c r="M158" s="107" t="e">
        <f>VLOOKUP($A158,'S45'!$C:$BQ,40,0)</f>
        <v>#N/A</v>
      </c>
      <c r="N158" s="107" t="e">
        <f>VLOOKUP($A158,'S45'!$C:$BQ,22,0)</f>
        <v>#N/A</v>
      </c>
      <c r="O158" s="115" t="e">
        <f>VLOOKUP($A158,'S45'!$C:$BQ,29,0)</f>
        <v>#N/A</v>
      </c>
      <c r="P158" s="115" t="e">
        <f>VLOOKUP($A158,'S45'!$C:$BQ,30,0)</f>
        <v>#N/A</v>
      </c>
      <c r="Q158" s="115" t="e">
        <f>VLOOKUP($A158,'S45'!$C:$BQ,52,0)</f>
        <v>#N/A</v>
      </c>
      <c r="R158" s="115" t="e">
        <f>VLOOKUP($A158,'S45'!$C:$BQ,59,0)</f>
        <v>#N/A</v>
      </c>
      <c r="S158" s="115" t="e">
        <f>VLOOKUP($A158,'S45'!$C:$BQ,60,0)</f>
        <v>#N/A</v>
      </c>
      <c r="T158" s="107" t="e">
        <f>VLOOKUP($A158,'S46'!$C:$BQ,32,0)</f>
        <v>#N/A</v>
      </c>
      <c r="U158" s="107" t="e">
        <f>VLOOKUP($A158,'S46'!$C:$BQ,39,0)</f>
        <v>#N/A</v>
      </c>
      <c r="V158" s="107" t="e">
        <f>VLOOKUP($A158,'S46'!$C:$BQ,40,0)</f>
        <v>#N/A</v>
      </c>
      <c r="W158" s="107" t="e">
        <f>VLOOKUP($A158,'S46'!$C:$BQ,22,0)</f>
        <v>#N/A</v>
      </c>
      <c r="X158" s="115" t="e">
        <f>VLOOKUP($A158,'S46'!$C:$BQ,29,0)</f>
        <v>#N/A</v>
      </c>
      <c r="Y158" s="115" t="e">
        <f>VLOOKUP($A158,'S46'!$C:$BQ,30,0)</f>
        <v>#N/A</v>
      </c>
      <c r="Z158" s="115" t="e">
        <f>VLOOKUP($A158,'S46'!$C:$BQ,52,0)</f>
        <v>#N/A</v>
      </c>
      <c r="AA158" s="115" t="e">
        <f>VLOOKUP($A158,'S46'!$C:$BQ,59,0)</f>
        <v>#N/A</v>
      </c>
      <c r="AB158" s="115" t="e">
        <f>VLOOKUP($A158,'S46'!$C:$BQ,60,0)</f>
        <v>#N/A</v>
      </c>
      <c r="AC158" s="107" t="e">
        <f>VLOOKUP($A158,'S47'!$C:$BQ,32,0)</f>
        <v>#N/A</v>
      </c>
      <c r="AD158" s="107" t="e">
        <f>VLOOKUP($A158,'S47'!$C:$BQ,39,0)</f>
        <v>#N/A</v>
      </c>
      <c r="AE158" s="107" t="e">
        <f>VLOOKUP($A158,'S47'!$C:$BQ,40,0)</f>
        <v>#N/A</v>
      </c>
      <c r="AF158" s="107" t="e">
        <f>VLOOKUP($A158,'S47'!$C:$BQ,22,0)</f>
        <v>#N/A</v>
      </c>
      <c r="AG158" s="115" t="e">
        <f>VLOOKUP($A158,'S47'!$C:$BQ,29,0)</f>
        <v>#N/A</v>
      </c>
      <c r="AH158" s="115" t="e">
        <f>VLOOKUP($A158,'S47'!$C:$BQ,30,0)</f>
        <v>#N/A</v>
      </c>
      <c r="AI158" s="115" t="e">
        <f>VLOOKUP($A158,'S47'!$C:$BQ,52,0)</f>
        <v>#N/A</v>
      </c>
      <c r="AJ158" s="115" t="e">
        <f>VLOOKUP($A158,'S47'!$C:$BQ,59,0)</f>
        <v>#N/A</v>
      </c>
      <c r="AK158" s="115" t="e">
        <f>VLOOKUP($A158,'S47'!$C:$BQ,60,0)</f>
        <v>#N/A</v>
      </c>
      <c r="AL158" s="107" t="e">
        <f>VLOOKUP($A158,'S48'!$C:$BQ,32,0)</f>
        <v>#N/A</v>
      </c>
      <c r="AM158" s="107" t="e">
        <f>VLOOKUP($A158,'S48'!$C:$BQ,39,0)</f>
        <v>#N/A</v>
      </c>
      <c r="AN158" s="107" t="e">
        <f>VLOOKUP($A158,'S48'!$C:$BQ,40,0)</f>
        <v>#N/A</v>
      </c>
      <c r="AO158" s="107" t="e">
        <f>VLOOKUP($A158,'S48'!$C:$BQ,22,0)</f>
        <v>#N/A</v>
      </c>
      <c r="AP158" s="115" t="e">
        <f>VLOOKUP($A158,'S48'!$C:$BQ,29,0)</f>
        <v>#N/A</v>
      </c>
      <c r="AQ158" s="115" t="e">
        <f>VLOOKUP($A158,'S48'!$C:$BQ,30,0)</f>
        <v>#N/A</v>
      </c>
      <c r="AR158" s="115" t="e">
        <f>VLOOKUP($A158,'S48'!$C:$BQ,52,0)</f>
        <v>#N/A</v>
      </c>
      <c r="AS158" s="115" t="e">
        <f>VLOOKUP($A158,'S48'!$C:$BQ,59,0)</f>
        <v>#N/A</v>
      </c>
      <c r="AT158" s="115" t="e">
        <f>VLOOKUP($A158,'S48'!$C:$BQ,60,0)</f>
        <v>#N/A</v>
      </c>
      <c r="AU158" s="107" t="e">
        <f>VLOOKUP($A158,'S49'!$C:$BQ,32,0)</f>
        <v>#N/A</v>
      </c>
      <c r="AV158" s="107" t="e">
        <f>VLOOKUP($A158,'S49'!$C:$BQ,39,0)</f>
        <v>#N/A</v>
      </c>
      <c r="AW158" s="107" t="e">
        <f>VLOOKUP($A158,'S49'!$C:$BQ,40,0)</f>
        <v>#N/A</v>
      </c>
      <c r="AX158" s="107" t="e">
        <f>VLOOKUP($A158,'S49'!$C:$BQ,22,0)</f>
        <v>#N/A</v>
      </c>
      <c r="AY158" s="115" t="e">
        <f>VLOOKUP($A158,'S49'!$C:$BQ,29,0)</f>
        <v>#N/A</v>
      </c>
      <c r="AZ158" s="115" t="e">
        <f>VLOOKUP($A158,'S49'!$C:$BQ,30,0)</f>
        <v>#N/A</v>
      </c>
      <c r="BA158" s="115" t="e">
        <f>VLOOKUP($A158,'S49'!$C:$BQ,52,0)</f>
        <v>#N/A</v>
      </c>
      <c r="BB158" s="115" t="e">
        <f>VLOOKUP($A158,'S49'!$C:$BQ,59,0)</f>
        <v>#N/A</v>
      </c>
      <c r="BC158" s="115" t="e">
        <f>VLOOKUP($A158,'S49'!$C:$BQ,60,0)</f>
        <v>#N/A</v>
      </c>
      <c r="BD158" s="107" t="e">
        <f>VLOOKUP($A158,'S50'!$C:$BQ,32,0)</f>
        <v>#N/A</v>
      </c>
      <c r="BE158" s="107" t="e">
        <f>VLOOKUP($A158,'S50'!$C:$BQ,39,0)</f>
        <v>#N/A</v>
      </c>
      <c r="BF158" s="107" t="e">
        <f>VLOOKUP($A158,'S50'!$C:$BQ,40,0)</f>
        <v>#N/A</v>
      </c>
      <c r="BG158" s="107" t="e">
        <f>VLOOKUP($A158,'S50'!$C:$BQ,22,0)</f>
        <v>#N/A</v>
      </c>
      <c r="BH158" s="115" t="e">
        <f>VLOOKUP($A158,'S50'!$C:$BQ,29,0)</f>
        <v>#N/A</v>
      </c>
      <c r="BI158" s="115" t="e">
        <f>VLOOKUP($A158,'S50'!$C:$BQ,30,0)</f>
        <v>#N/A</v>
      </c>
      <c r="BJ158" s="115" t="e">
        <f>VLOOKUP($A158,'S50'!$C:$BQ,52,0)</f>
        <v>#N/A</v>
      </c>
      <c r="BK158" s="115" t="e">
        <f>VLOOKUP($A158,'S50'!$C:$BQ,59,0)</f>
        <v>#N/A</v>
      </c>
      <c r="BL158" s="115" t="e">
        <f>VLOOKUP($A158,'S50'!$C:$BQ,60,0)</f>
        <v>#N/A</v>
      </c>
    </row>
    <row r="159" spans="1:64" x14ac:dyDescent="0.2">
      <c r="A159" s="106" t="s">
        <v>225</v>
      </c>
      <c r="B159" s="107">
        <f>VLOOKUP($A159,'S0 remplacer avec S44'!$C:$BQ,32,0)</f>
        <v>81.400000000000006</v>
      </c>
      <c r="C159" s="107">
        <f>VLOOKUP($A159,'S0 remplacer avec S44'!$C:$BQ,39,0)</f>
        <v>0</v>
      </c>
      <c r="D159" s="107">
        <f>VLOOKUP($A159,'S0 remplacer avec S44'!$C:$BQ,40,0)</f>
        <v>8</v>
      </c>
      <c r="E159" s="107">
        <f>VLOOKUP($A159,'S0 remplacer avec S44'!$C:$BQ,22,0)</f>
        <v>555.61907499999995</v>
      </c>
      <c r="F159" s="115">
        <f>VLOOKUP($A159,'S0 remplacer avec S44'!$C:$BQ,29,0)</f>
        <v>120</v>
      </c>
      <c r="G159" s="115">
        <f>VLOOKUP($A159,'S0 remplacer avec S44'!$C:$BQ,30,0)</f>
        <v>255</v>
      </c>
      <c r="H159" s="115">
        <f>VLOOKUP($A159,'S0 remplacer avec S44'!$C:$BQ,52,0)</f>
        <v>46.4</v>
      </c>
      <c r="I159" s="115">
        <f>VLOOKUP($A159,'S0 remplacer avec S44'!$C:$BQ,59,0)</f>
        <v>0</v>
      </c>
      <c r="J159" s="115">
        <f>VLOOKUP($A159,'S0 remplacer avec S44'!$C:$BQ,60,0)</f>
        <v>0</v>
      </c>
      <c r="K159" s="107" t="e">
        <f>VLOOKUP($A159,'S45'!$C:$BQ,32,0)</f>
        <v>#N/A</v>
      </c>
      <c r="L159" s="107" t="e">
        <f>VLOOKUP($A159,'S45'!$C:$BQ,39,0)</f>
        <v>#N/A</v>
      </c>
      <c r="M159" s="107" t="e">
        <f>VLOOKUP($A159,'S45'!$C:$BQ,40,0)</f>
        <v>#N/A</v>
      </c>
      <c r="N159" s="107" t="e">
        <f>VLOOKUP($A159,'S45'!$C:$BQ,22,0)</f>
        <v>#N/A</v>
      </c>
      <c r="O159" s="115" t="e">
        <f>VLOOKUP($A159,'S45'!$C:$BQ,29,0)</f>
        <v>#N/A</v>
      </c>
      <c r="P159" s="115" t="e">
        <f>VLOOKUP($A159,'S45'!$C:$BQ,30,0)</f>
        <v>#N/A</v>
      </c>
      <c r="Q159" s="115" t="e">
        <f>VLOOKUP($A159,'S45'!$C:$BQ,52,0)</f>
        <v>#N/A</v>
      </c>
      <c r="R159" s="115" t="e">
        <f>VLOOKUP($A159,'S45'!$C:$BQ,59,0)</f>
        <v>#N/A</v>
      </c>
      <c r="S159" s="115" t="e">
        <f>VLOOKUP($A159,'S45'!$C:$BQ,60,0)</f>
        <v>#N/A</v>
      </c>
      <c r="T159" s="107" t="e">
        <f>VLOOKUP($A159,'S46'!$C:$BQ,32,0)</f>
        <v>#N/A</v>
      </c>
      <c r="U159" s="107" t="e">
        <f>VLOOKUP($A159,'S46'!$C:$BQ,39,0)</f>
        <v>#N/A</v>
      </c>
      <c r="V159" s="107" t="e">
        <f>VLOOKUP($A159,'S46'!$C:$BQ,40,0)</f>
        <v>#N/A</v>
      </c>
      <c r="W159" s="107" t="e">
        <f>VLOOKUP($A159,'S46'!$C:$BQ,22,0)</f>
        <v>#N/A</v>
      </c>
      <c r="X159" s="115" t="e">
        <f>VLOOKUP($A159,'S46'!$C:$BQ,29,0)</f>
        <v>#N/A</v>
      </c>
      <c r="Y159" s="115" t="e">
        <f>VLOOKUP($A159,'S46'!$C:$BQ,30,0)</f>
        <v>#N/A</v>
      </c>
      <c r="Z159" s="115" t="e">
        <f>VLOOKUP($A159,'S46'!$C:$BQ,52,0)</f>
        <v>#N/A</v>
      </c>
      <c r="AA159" s="115" t="e">
        <f>VLOOKUP($A159,'S46'!$C:$BQ,59,0)</f>
        <v>#N/A</v>
      </c>
      <c r="AB159" s="115" t="e">
        <f>VLOOKUP($A159,'S46'!$C:$BQ,60,0)</f>
        <v>#N/A</v>
      </c>
      <c r="AC159" s="107" t="e">
        <f>VLOOKUP($A159,'S47'!$C:$BQ,32,0)</f>
        <v>#N/A</v>
      </c>
      <c r="AD159" s="107" t="e">
        <f>VLOOKUP($A159,'S47'!$C:$BQ,39,0)</f>
        <v>#N/A</v>
      </c>
      <c r="AE159" s="107" t="e">
        <f>VLOOKUP($A159,'S47'!$C:$BQ,40,0)</f>
        <v>#N/A</v>
      </c>
      <c r="AF159" s="107" t="e">
        <f>VLOOKUP($A159,'S47'!$C:$BQ,22,0)</f>
        <v>#N/A</v>
      </c>
      <c r="AG159" s="115" t="e">
        <f>VLOOKUP($A159,'S47'!$C:$BQ,29,0)</f>
        <v>#N/A</v>
      </c>
      <c r="AH159" s="115" t="e">
        <f>VLOOKUP($A159,'S47'!$C:$BQ,30,0)</f>
        <v>#N/A</v>
      </c>
      <c r="AI159" s="115" t="e">
        <f>VLOOKUP($A159,'S47'!$C:$BQ,52,0)</f>
        <v>#N/A</v>
      </c>
      <c r="AJ159" s="115" t="e">
        <f>VLOOKUP($A159,'S47'!$C:$BQ,59,0)</f>
        <v>#N/A</v>
      </c>
      <c r="AK159" s="115" t="e">
        <f>VLOOKUP($A159,'S47'!$C:$BQ,60,0)</f>
        <v>#N/A</v>
      </c>
      <c r="AL159" s="107" t="e">
        <f>VLOOKUP($A159,'S48'!$C:$BQ,32,0)</f>
        <v>#N/A</v>
      </c>
      <c r="AM159" s="107" t="e">
        <f>VLOOKUP($A159,'S48'!$C:$BQ,39,0)</f>
        <v>#N/A</v>
      </c>
      <c r="AN159" s="107" t="e">
        <f>VLOOKUP($A159,'S48'!$C:$BQ,40,0)</f>
        <v>#N/A</v>
      </c>
      <c r="AO159" s="107" t="e">
        <f>VLOOKUP($A159,'S48'!$C:$BQ,22,0)</f>
        <v>#N/A</v>
      </c>
      <c r="AP159" s="115" t="e">
        <f>VLOOKUP($A159,'S48'!$C:$BQ,29,0)</f>
        <v>#N/A</v>
      </c>
      <c r="AQ159" s="115" t="e">
        <f>VLOOKUP($A159,'S48'!$C:$BQ,30,0)</f>
        <v>#N/A</v>
      </c>
      <c r="AR159" s="115" t="e">
        <f>VLOOKUP($A159,'S48'!$C:$BQ,52,0)</f>
        <v>#N/A</v>
      </c>
      <c r="AS159" s="115" t="e">
        <f>VLOOKUP($A159,'S48'!$C:$BQ,59,0)</f>
        <v>#N/A</v>
      </c>
      <c r="AT159" s="115" t="e">
        <f>VLOOKUP($A159,'S48'!$C:$BQ,60,0)</f>
        <v>#N/A</v>
      </c>
      <c r="AU159" s="107" t="e">
        <f>VLOOKUP($A159,'S49'!$C:$BQ,32,0)</f>
        <v>#N/A</v>
      </c>
      <c r="AV159" s="107" t="e">
        <f>VLOOKUP($A159,'S49'!$C:$BQ,39,0)</f>
        <v>#N/A</v>
      </c>
      <c r="AW159" s="107" t="e">
        <f>VLOOKUP($A159,'S49'!$C:$BQ,40,0)</f>
        <v>#N/A</v>
      </c>
      <c r="AX159" s="107" t="e">
        <f>VLOOKUP($A159,'S49'!$C:$BQ,22,0)</f>
        <v>#N/A</v>
      </c>
      <c r="AY159" s="115" t="e">
        <f>VLOOKUP($A159,'S49'!$C:$BQ,29,0)</f>
        <v>#N/A</v>
      </c>
      <c r="AZ159" s="115" t="e">
        <f>VLOOKUP($A159,'S49'!$C:$BQ,30,0)</f>
        <v>#N/A</v>
      </c>
      <c r="BA159" s="115" t="e">
        <f>VLOOKUP($A159,'S49'!$C:$BQ,52,0)</f>
        <v>#N/A</v>
      </c>
      <c r="BB159" s="115" t="e">
        <f>VLOOKUP($A159,'S49'!$C:$BQ,59,0)</f>
        <v>#N/A</v>
      </c>
      <c r="BC159" s="115" t="e">
        <f>VLOOKUP($A159,'S49'!$C:$BQ,60,0)</f>
        <v>#N/A</v>
      </c>
      <c r="BD159" s="107" t="e">
        <f>VLOOKUP($A159,'S50'!$C:$BQ,32,0)</f>
        <v>#N/A</v>
      </c>
      <c r="BE159" s="107" t="e">
        <f>VLOOKUP($A159,'S50'!$C:$BQ,39,0)</f>
        <v>#N/A</v>
      </c>
      <c r="BF159" s="107" t="e">
        <f>VLOOKUP($A159,'S50'!$C:$BQ,40,0)</f>
        <v>#N/A</v>
      </c>
      <c r="BG159" s="107" t="e">
        <f>VLOOKUP($A159,'S50'!$C:$BQ,22,0)</f>
        <v>#N/A</v>
      </c>
      <c r="BH159" s="115" t="e">
        <f>VLOOKUP($A159,'S50'!$C:$BQ,29,0)</f>
        <v>#N/A</v>
      </c>
      <c r="BI159" s="115" t="e">
        <f>VLOOKUP($A159,'S50'!$C:$BQ,30,0)</f>
        <v>#N/A</v>
      </c>
      <c r="BJ159" s="115" t="e">
        <f>VLOOKUP($A159,'S50'!$C:$BQ,52,0)</f>
        <v>#N/A</v>
      </c>
      <c r="BK159" s="115" t="e">
        <f>VLOOKUP($A159,'S50'!$C:$BQ,59,0)</f>
        <v>#N/A</v>
      </c>
      <c r="BL159" s="115" t="e">
        <f>VLOOKUP($A159,'S50'!$C:$BQ,60,0)</f>
        <v>#N/A</v>
      </c>
    </row>
    <row r="160" spans="1:64" x14ac:dyDescent="0.2">
      <c r="A160" s="106" t="s">
        <v>226</v>
      </c>
      <c r="B160" s="107">
        <f>VLOOKUP($A160,'S0 remplacer avec S44'!$C:$BQ,32,0)</f>
        <v>303.89999999999998</v>
      </c>
      <c r="C160" s="107">
        <f>VLOOKUP($A160,'S0 remplacer avec S44'!$C:$BQ,39,0)</f>
        <v>0</v>
      </c>
      <c r="D160" s="107">
        <f>VLOOKUP($A160,'S0 remplacer avec S44'!$C:$BQ,40,0)</f>
        <v>0</v>
      </c>
      <c r="E160" s="107">
        <f>VLOOKUP($A160,'S0 remplacer avec S44'!$C:$BQ,22,0)</f>
        <v>2544.5034099999998</v>
      </c>
      <c r="F160" s="115">
        <f>VLOOKUP($A160,'S0 remplacer avec S44'!$C:$BQ,29,0)</f>
        <v>0</v>
      </c>
      <c r="G160" s="115">
        <f>VLOOKUP($A160,'S0 remplacer avec S44'!$C:$BQ,30,0)</f>
        <v>0</v>
      </c>
      <c r="H160" s="115">
        <f>VLOOKUP($A160,'S0 remplacer avec S44'!$C:$BQ,52,0)</f>
        <v>198.2</v>
      </c>
      <c r="I160" s="115">
        <f>VLOOKUP($A160,'S0 remplacer avec S44'!$C:$BQ,59,0)</f>
        <v>0</v>
      </c>
      <c r="J160" s="115">
        <f>VLOOKUP($A160,'S0 remplacer avec S44'!$C:$BQ,60,0)</f>
        <v>0</v>
      </c>
      <c r="K160" s="107" t="e">
        <f>VLOOKUP($A160,'S45'!$C:$BQ,32,0)</f>
        <v>#N/A</v>
      </c>
      <c r="L160" s="107" t="e">
        <f>VLOOKUP($A160,'S45'!$C:$BQ,39,0)</f>
        <v>#N/A</v>
      </c>
      <c r="M160" s="107" t="e">
        <f>VLOOKUP($A160,'S45'!$C:$BQ,40,0)</f>
        <v>#N/A</v>
      </c>
      <c r="N160" s="107" t="e">
        <f>VLOOKUP($A160,'S45'!$C:$BQ,22,0)</f>
        <v>#N/A</v>
      </c>
      <c r="O160" s="115" t="e">
        <f>VLOOKUP($A160,'S45'!$C:$BQ,29,0)</f>
        <v>#N/A</v>
      </c>
      <c r="P160" s="115" t="e">
        <f>VLOOKUP($A160,'S45'!$C:$BQ,30,0)</f>
        <v>#N/A</v>
      </c>
      <c r="Q160" s="115" t="e">
        <f>VLOOKUP($A160,'S45'!$C:$BQ,52,0)</f>
        <v>#N/A</v>
      </c>
      <c r="R160" s="115" t="e">
        <f>VLOOKUP($A160,'S45'!$C:$BQ,59,0)</f>
        <v>#N/A</v>
      </c>
      <c r="S160" s="115" t="e">
        <f>VLOOKUP($A160,'S45'!$C:$BQ,60,0)</f>
        <v>#N/A</v>
      </c>
      <c r="T160" s="107" t="e">
        <f>VLOOKUP($A160,'S46'!$C:$BQ,32,0)</f>
        <v>#N/A</v>
      </c>
      <c r="U160" s="107" t="e">
        <f>VLOOKUP($A160,'S46'!$C:$BQ,39,0)</f>
        <v>#N/A</v>
      </c>
      <c r="V160" s="107" t="e">
        <f>VLOOKUP($A160,'S46'!$C:$BQ,40,0)</f>
        <v>#N/A</v>
      </c>
      <c r="W160" s="107" t="e">
        <f>VLOOKUP($A160,'S46'!$C:$BQ,22,0)</f>
        <v>#N/A</v>
      </c>
      <c r="X160" s="115" t="e">
        <f>VLOOKUP($A160,'S46'!$C:$BQ,29,0)</f>
        <v>#N/A</v>
      </c>
      <c r="Y160" s="115" t="e">
        <f>VLOOKUP($A160,'S46'!$C:$BQ,30,0)</f>
        <v>#N/A</v>
      </c>
      <c r="Z160" s="115" t="e">
        <f>VLOOKUP($A160,'S46'!$C:$BQ,52,0)</f>
        <v>#N/A</v>
      </c>
      <c r="AA160" s="115" t="e">
        <f>VLOOKUP($A160,'S46'!$C:$BQ,59,0)</f>
        <v>#N/A</v>
      </c>
      <c r="AB160" s="115" t="e">
        <f>VLOOKUP($A160,'S46'!$C:$BQ,60,0)</f>
        <v>#N/A</v>
      </c>
      <c r="AC160" s="107" t="e">
        <f>VLOOKUP($A160,'S47'!$C:$BQ,32,0)</f>
        <v>#N/A</v>
      </c>
      <c r="AD160" s="107" t="e">
        <f>VLOOKUP($A160,'S47'!$C:$BQ,39,0)</f>
        <v>#N/A</v>
      </c>
      <c r="AE160" s="107" t="e">
        <f>VLOOKUP($A160,'S47'!$C:$BQ,40,0)</f>
        <v>#N/A</v>
      </c>
      <c r="AF160" s="107" t="e">
        <f>VLOOKUP($A160,'S47'!$C:$BQ,22,0)</f>
        <v>#N/A</v>
      </c>
      <c r="AG160" s="115" t="e">
        <f>VLOOKUP($A160,'S47'!$C:$BQ,29,0)</f>
        <v>#N/A</v>
      </c>
      <c r="AH160" s="115" t="e">
        <f>VLOOKUP($A160,'S47'!$C:$BQ,30,0)</f>
        <v>#N/A</v>
      </c>
      <c r="AI160" s="115" t="e">
        <f>VLOOKUP($A160,'S47'!$C:$BQ,52,0)</f>
        <v>#N/A</v>
      </c>
      <c r="AJ160" s="115" t="e">
        <f>VLOOKUP($A160,'S47'!$C:$BQ,59,0)</f>
        <v>#N/A</v>
      </c>
      <c r="AK160" s="115" t="e">
        <f>VLOOKUP($A160,'S47'!$C:$BQ,60,0)</f>
        <v>#N/A</v>
      </c>
      <c r="AL160" s="107" t="e">
        <f>VLOOKUP($A160,'S48'!$C:$BQ,32,0)</f>
        <v>#N/A</v>
      </c>
      <c r="AM160" s="107" t="e">
        <f>VLOOKUP($A160,'S48'!$C:$BQ,39,0)</f>
        <v>#N/A</v>
      </c>
      <c r="AN160" s="107" t="e">
        <f>VLOOKUP($A160,'S48'!$C:$BQ,40,0)</f>
        <v>#N/A</v>
      </c>
      <c r="AO160" s="107" t="e">
        <f>VLOOKUP($A160,'S48'!$C:$BQ,22,0)</f>
        <v>#N/A</v>
      </c>
      <c r="AP160" s="115" t="e">
        <f>VLOOKUP($A160,'S48'!$C:$BQ,29,0)</f>
        <v>#N/A</v>
      </c>
      <c r="AQ160" s="115" t="e">
        <f>VLOOKUP($A160,'S48'!$C:$BQ,30,0)</f>
        <v>#N/A</v>
      </c>
      <c r="AR160" s="115" t="e">
        <f>VLOOKUP($A160,'S48'!$C:$BQ,52,0)</f>
        <v>#N/A</v>
      </c>
      <c r="AS160" s="115" t="e">
        <f>VLOOKUP($A160,'S48'!$C:$BQ,59,0)</f>
        <v>#N/A</v>
      </c>
      <c r="AT160" s="115" t="e">
        <f>VLOOKUP($A160,'S48'!$C:$BQ,60,0)</f>
        <v>#N/A</v>
      </c>
      <c r="AU160" s="107" t="e">
        <f>VLOOKUP($A160,'S49'!$C:$BQ,32,0)</f>
        <v>#N/A</v>
      </c>
      <c r="AV160" s="107" t="e">
        <f>VLOOKUP($A160,'S49'!$C:$BQ,39,0)</f>
        <v>#N/A</v>
      </c>
      <c r="AW160" s="107" t="e">
        <f>VLOOKUP($A160,'S49'!$C:$BQ,40,0)</f>
        <v>#N/A</v>
      </c>
      <c r="AX160" s="107" t="e">
        <f>VLOOKUP($A160,'S49'!$C:$BQ,22,0)</f>
        <v>#N/A</v>
      </c>
      <c r="AY160" s="115" t="e">
        <f>VLOOKUP($A160,'S49'!$C:$BQ,29,0)</f>
        <v>#N/A</v>
      </c>
      <c r="AZ160" s="115" t="e">
        <f>VLOOKUP($A160,'S49'!$C:$BQ,30,0)</f>
        <v>#N/A</v>
      </c>
      <c r="BA160" s="115" t="e">
        <f>VLOOKUP($A160,'S49'!$C:$BQ,52,0)</f>
        <v>#N/A</v>
      </c>
      <c r="BB160" s="115" t="e">
        <f>VLOOKUP($A160,'S49'!$C:$BQ,59,0)</f>
        <v>#N/A</v>
      </c>
      <c r="BC160" s="115" t="e">
        <f>VLOOKUP($A160,'S49'!$C:$BQ,60,0)</f>
        <v>#N/A</v>
      </c>
      <c r="BD160" s="107" t="e">
        <f>VLOOKUP($A160,'S50'!$C:$BQ,32,0)</f>
        <v>#N/A</v>
      </c>
      <c r="BE160" s="107" t="e">
        <f>VLOOKUP($A160,'S50'!$C:$BQ,39,0)</f>
        <v>#N/A</v>
      </c>
      <c r="BF160" s="107" t="e">
        <f>VLOOKUP($A160,'S50'!$C:$BQ,40,0)</f>
        <v>#N/A</v>
      </c>
      <c r="BG160" s="107" t="e">
        <f>VLOOKUP($A160,'S50'!$C:$BQ,22,0)</f>
        <v>#N/A</v>
      </c>
      <c r="BH160" s="115" t="e">
        <f>VLOOKUP($A160,'S50'!$C:$BQ,29,0)</f>
        <v>#N/A</v>
      </c>
      <c r="BI160" s="115" t="e">
        <f>VLOOKUP($A160,'S50'!$C:$BQ,30,0)</f>
        <v>#N/A</v>
      </c>
      <c r="BJ160" s="115" t="e">
        <f>VLOOKUP($A160,'S50'!$C:$BQ,52,0)</f>
        <v>#N/A</v>
      </c>
      <c r="BK160" s="115" t="e">
        <f>VLOOKUP($A160,'S50'!$C:$BQ,59,0)</f>
        <v>#N/A</v>
      </c>
      <c r="BL160" s="115" t="e">
        <f>VLOOKUP($A160,'S50'!$C:$BQ,60,0)</f>
        <v>#N/A</v>
      </c>
    </row>
    <row r="161" spans="1:64" x14ac:dyDescent="0.2">
      <c r="A161" s="106" t="s">
        <v>227</v>
      </c>
      <c r="B161" s="107">
        <f>VLOOKUP($A161,'S0 remplacer avec S44'!$C:$BQ,32,0)</f>
        <v>91.2</v>
      </c>
      <c r="C161" s="107">
        <f>VLOOKUP($A161,'S0 remplacer avec S44'!$C:$BQ,39,0)</f>
        <v>143</v>
      </c>
      <c r="D161" s="107">
        <f>VLOOKUP($A161,'S0 remplacer avec S44'!$C:$BQ,40,0)</f>
        <v>190</v>
      </c>
      <c r="E161" s="107">
        <f>VLOOKUP($A161,'S0 remplacer avec S44'!$C:$BQ,22,0)</f>
        <v>1846.7188699999999</v>
      </c>
      <c r="F161" s="115">
        <f>VLOOKUP($A161,'S0 remplacer avec S44'!$C:$BQ,29,0)</f>
        <v>278</v>
      </c>
      <c r="G161" s="115">
        <f>VLOOKUP($A161,'S0 remplacer avec S44'!$C:$BQ,30,0)</f>
        <v>703</v>
      </c>
      <c r="H161" s="115">
        <f>VLOOKUP($A161,'S0 remplacer avec S44'!$C:$BQ,52,0)</f>
        <v>122</v>
      </c>
      <c r="I161" s="115">
        <f>VLOOKUP($A161,'S0 remplacer avec S44'!$C:$BQ,59,0)</f>
        <v>0</v>
      </c>
      <c r="J161" s="115">
        <f>VLOOKUP($A161,'S0 remplacer avec S44'!$C:$BQ,60,0)</f>
        <v>21</v>
      </c>
      <c r="K161" s="107" t="e">
        <f>VLOOKUP($A161,'S45'!$C:$BQ,32,0)</f>
        <v>#N/A</v>
      </c>
      <c r="L161" s="107" t="e">
        <f>VLOOKUP($A161,'S45'!$C:$BQ,39,0)</f>
        <v>#N/A</v>
      </c>
      <c r="M161" s="107" t="e">
        <f>VLOOKUP($A161,'S45'!$C:$BQ,40,0)</f>
        <v>#N/A</v>
      </c>
      <c r="N161" s="107" t="e">
        <f>VLOOKUP($A161,'S45'!$C:$BQ,22,0)</f>
        <v>#N/A</v>
      </c>
      <c r="O161" s="115" t="e">
        <f>VLOOKUP($A161,'S45'!$C:$BQ,29,0)</f>
        <v>#N/A</v>
      </c>
      <c r="P161" s="115" t="e">
        <f>VLOOKUP($A161,'S45'!$C:$BQ,30,0)</f>
        <v>#N/A</v>
      </c>
      <c r="Q161" s="115" t="e">
        <f>VLOOKUP($A161,'S45'!$C:$BQ,52,0)</f>
        <v>#N/A</v>
      </c>
      <c r="R161" s="115" t="e">
        <f>VLOOKUP($A161,'S45'!$C:$BQ,59,0)</f>
        <v>#N/A</v>
      </c>
      <c r="S161" s="115" t="e">
        <f>VLOOKUP($A161,'S45'!$C:$BQ,60,0)</f>
        <v>#N/A</v>
      </c>
      <c r="T161" s="107" t="e">
        <f>VLOOKUP($A161,'S46'!$C:$BQ,32,0)</f>
        <v>#N/A</v>
      </c>
      <c r="U161" s="107" t="e">
        <f>VLOOKUP($A161,'S46'!$C:$BQ,39,0)</f>
        <v>#N/A</v>
      </c>
      <c r="V161" s="107" t="e">
        <f>VLOOKUP($A161,'S46'!$C:$BQ,40,0)</f>
        <v>#N/A</v>
      </c>
      <c r="W161" s="107" t="e">
        <f>VLOOKUP($A161,'S46'!$C:$BQ,22,0)</f>
        <v>#N/A</v>
      </c>
      <c r="X161" s="115" t="e">
        <f>VLOOKUP($A161,'S46'!$C:$BQ,29,0)</f>
        <v>#N/A</v>
      </c>
      <c r="Y161" s="115" t="e">
        <f>VLOOKUP($A161,'S46'!$C:$BQ,30,0)</f>
        <v>#N/A</v>
      </c>
      <c r="Z161" s="115" t="e">
        <f>VLOOKUP($A161,'S46'!$C:$BQ,52,0)</f>
        <v>#N/A</v>
      </c>
      <c r="AA161" s="115" t="e">
        <f>VLOOKUP($A161,'S46'!$C:$BQ,59,0)</f>
        <v>#N/A</v>
      </c>
      <c r="AB161" s="115" t="e">
        <f>VLOOKUP($A161,'S46'!$C:$BQ,60,0)</f>
        <v>#N/A</v>
      </c>
      <c r="AC161" s="107" t="e">
        <f>VLOOKUP($A161,'S47'!$C:$BQ,32,0)</f>
        <v>#N/A</v>
      </c>
      <c r="AD161" s="107" t="e">
        <f>VLOOKUP($A161,'S47'!$C:$BQ,39,0)</f>
        <v>#N/A</v>
      </c>
      <c r="AE161" s="107" t="e">
        <f>VLOOKUP($A161,'S47'!$C:$BQ,40,0)</f>
        <v>#N/A</v>
      </c>
      <c r="AF161" s="107" t="e">
        <f>VLOOKUP($A161,'S47'!$C:$BQ,22,0)</f>
        <v>#N/A</v>
      </c>
      <c r="AG161" s="115" t="e">
        <f>VLOOKUP($A161,'S47'!$C:$BQ,29,0)</f>
        <v>#N/A</v>
      </c>
      <c r="AH161" s="115" t="e">
        <f>VLOOKUP($A161,'S47'!$C:$BQ,30,0)</f>
        <v>#N/A</v>
      </c>
      <c r="AI161" s="115" t="e">
        <f>VLOOKUP($A161,'S47'!$C:$BQ,52,0)</f>
        <v>#N/A</v>
      </c>
      <c r="AJ161" s="115" t="e">
        <f>VLOOKUP($A161,'S47'!$C:$BQ,59,0)</f>
        <v>#N/A</v>
      </c>
      <c r="AK161" s="115" t="e">
        <f>VLOOKUP($A161,'S47'!$C:$BQ,60,0)</f>
        <v>#N/A</v>
      </c>
      <c r="AL161" s="107" t="e">
        <f>VLOOKUP($A161,'S48'!$C:$BQ,32,0)</f>
        <v>#N/A</v>
      </c>
      <c r="AM161" s="107" t="e">
        <f>VLOOKUP($A161,'S48'!$C:$BQ,39,0)</f>
        <v>#N/A</v>
      </c>
      <c r="AN161" s="107" t="e">
        <f>VLOOKUP($A161,'S48'!$C:$BQ,40,0)</f>
        <v>#N/A</v>
      </c>
      <c r="AO161" s="107" t="e">
        <f>VLOOKUP($A161,'S48'!$C:$BQ,22,0)</f>
        <v>#N/A</v>
      </c>
      <c r="AP161" s="115" t="e">
        <f>VLOOKUP($A161,'S48'!$C:$BQ,29,0)</f>
        <v>#N/A</v>
      </c>
      <c r="AQ161" s="115" t="e">
        <f>VLOOKUP($A161,'S48'!$C:$BQ,30,0)</f>
        <v>#N/A</v>
      </c>
      <c r="AR161" s="115" t="e">
        <f>VLOOKUP($A161,'S48'!$C:$BQ,52,0)</f>
        <v>#N/A</v>
      </c>
      <c r="AS161" s="115" t="e">
        <f>VLOOKUP($A161,'S48'!$C:$BQ,59,0)</f>
        <v>#N/A</v>
      </c>
      <c r="AT161" s="115" t="e">
        <f>VLOOKUP($A161,'S48'!$C:$BQ,60,0)</f>
        <v>#N/A</v>
      </c>
      <c r="AU161" s="107" t="e">
        <f>VLOOKUP($A161,'S49'!$C:$BQ,32,0)</f>
        <v>#N/A</v>
      </c>
      <c r="AV161" s="107" t="e">
        <f>VLOOKUP($A161,'S49'!$C:$BQ,39,0)</f>
        <v>#N/A</v>
      </c>
      <c r="AW161" s="107" t="e">
        <f>VLOOKUP($A161,'S49'!$C:$BQ,40,0)</f>
        <v>#N/A</v>
      </c>
      <c r="AX161" s="107" t="e">
        <f>VLOOKUP($A161,'S49'!$C:$BQ,22,0)</f>
        <v>#N/A</v>
      </c>
      <c r="AY161" s="115" t="e">
        <f>VLOOKUP($A161,'S49'!$C:$BQ,29,0)</f>
        <v>#N/A</v>
      </c>
      <c r="AZ161" s="115" t="e">
        <f>VLOOKUP($A161,'S49'!$C:$BQ,30,0)</f>
        <v>#N/A</v>
      </c>
      <c r="BA161" s="115" t="e">
        <f>VLOOKUP($A161,'S49'!$C:$BQ,52,0)</f>
        <v>#N/A</v>
      </c>
      <c r="BB161" s="115" t="e">
        <f>VLOOKUP($A161,'S49'!$C:$BQ,59,0)</f>
        <v>#N/A</v>
      </c>
      <c r="BC161" s="115" t="e">
        <f>VLOOKUP($A161,'S49'!$C:$BQ,60,0)</f>
        <v>#N/A</v>
      </c>
      <c r="BD161" s="107" t="e">
        <f>VLOOKUP($A161,'S50'!$C:$BQ,32,0)</f>
        <v>#N/A</v>
      </c>
      <c r="BE161" s="107" t="e">
        <f>VLOOKUP($A161,'S50'!$C:$BQ,39,0)</f>
        <v>#N/A</v>
      </c>
      <c r="BF161" s="107" t="e">
        <f>VLOOKUP($A161,'S50'!$C:$BQ,40,0)</f>
        <v>#N/A</v>
      </c>
      <c r="BG161" s="107" t="e">
        <f>VLOOKUP($A161,'S50'!$C:$BQ,22,0)</f>
        <v>#N/A</v>
      </c>
      <c r="BH161" s="115" t="e">
        <f>VLOOKUP($A161,'S50'!$C:$BQ,29,0)</f>
        <v>#N/A</v>
      </c>
      <c r="BI161" s="115" t="e">
        <f>VLOOKUP($A161,'S50'!$C:$BQ,30,0)</f>
        <v>#N/A</v>
      </c>
      <c r="BJ161" s="115" t="e">
        <f>VLOOKUP($A161,'S50'!$C:$BQ,52,0)</f>
        <v>#N/A</v>
      </c>
      <c r="BK161" s="115" t="e">
        <f>VLOOKUP($A161,'S50'!$C:$BQ,59,0)</f>
        <v>#N/A</v>
      </c>
      <c r="BL161" s="115" t="e">
        <f>VLOOKUP($A161,'S50'!$C:$BQ,60,0)</f>
        <v>#N/A</v>
      </c>
    </row>
    <row r="162" spans="1:64" x14ac:dyDescent="0.2">
      <c r="A162" s="106" t="s">
        <v>228</v>
      </c>
      <c r="B162" s="107">
        <f>VLOOKUP($A162,'S0 remplacer avec S44'!$C:$BQ,32,0)</f>
        <v>163.30000000000001</v>
      </c>
      <c r="C162" s="107">
        <f>VLOOKUP($A162,'S0 remplacer avec S44'!$C:$BQ,39,0)</f>
        <v>63</v>
      </c>
      <c r="D162" s="107">
        <f>VLOOKUP($A162,'S0 remplacer avec S44'!$C:$BQ,40,0)</f>
        <v>109</v>
      </c>
      <c r="E162" s="107">
        <f>VLOOKUP($A162,'S0 remplacer avec S44'!$C:$BQ,22,0)</f>
        <v>1729.8518449999999</v>
      </c>
      <c r="F162" s="115">
        <f>VLOOKUP($A162,'S0 remplacer avec S44'!$C:$BQ,29,0)</f>
        <v>328</v>
      </c>
      <c r="G162" s="115">
        <f>VLOOKUP($A162,'S0 remplacer avec S44'!$C:$BQ,30,0)</f>
        <v>740</v>
      </c>
      <c r="H162" s="115">
        <f>VLOOKUP($A162,'S0 remplacer avec S44'!$C:$BQ,52,0)</f>
        <v>108.6</v>
      </c>
      <c r="I162" s="115">
        <f>VLOOKUP($A162,'S0 remplacer avec S44'!$C:$BQ,59,0)</f>
        <v>7</v>
      </c>
      <c r="J162" s="115">
        <f>VLOOKUP($A162,'S0 remplacer avec S44'!$C:$BQ,60,0)</f>
        <v>30</v>
      </c>
      <c r="K162" s="107" t="e">
        <f>VLOOKUP($A162,'S45'!$C:$BQ,32,0)</f>
        <v>#N/A</v>
      </c>
      <c r="L162" s="107" t="e">
        <f>VLOOKUP($A162,'S45'!$C:$BQ,39,0)</f>
        <v>#N/A</v>
      </c>
      <c r="M162" s="107" t="e">
        <f>VLOOKUP($A162,'S45'!$C:$BQ,40,0)</f>
        <v>#N/A</v>
      </c>
      <c r="N162" s="107" t="e">
        <f>VLOOKUP($A162,'S45'!$C:$BQ,22,0)</f>
        <v>#N/A</v>
      </c>
      <c r="O162" s="115" t="e">
        <f>VLOOKUP($A162,'S45'!$C:$BQ,29,0)</f>
        <v>#N/A</v>
      </c>
      <c r="P162" s="115" t="e">
        <f>VLOOKUP($A162,'S45'!$C:$BQ,30,0)</f>
        <v>#N/A</v>
      </c>
      <c r="Q162" s="115" t="e">
        <f>VLOOKUP($A162,'S45'!$C:$BQ,52,0)</f>
        <v>#N/A</v>
      </c>
      <c r="R162" s="115" t="e">
        <f>VLOOKUP($A162,'S45'!$C:$BQ,59,0)</f>
        <v>#N/A</v>
      </c>
      <c r="S162" s="115" t="e">
        <f>VLOOKUP($A162,'S45'!$C:$BQ,60,0)</f>
        <v>#N/A</v>
      </c>
      <c r="T162" s="107" t="e">
        <f>VLOOKUP($A162,'S46'!$C:$BQ,32,0)</f>
        <v>#N/A</v>
      </c>
      <c r="U162" s="107" t="e">
        <f>VLOOKUP($A162,'S46'!$C:$BQ,39,0)</f>
        <v>#N/A</v>
      </c>
      <c r="V162" s="107" t="e">
        <f>VLOOKUP($A162,'S46'!$C:$BQ,40,0)</f>
        <v>#N/A</v>
      </c>
      <c r="W162" s="107" t="e">
        <f>VLOOKUP($A162,'S46'!$C:$BQ,22,0)</f>
        <v>#N/A</v>
      </c>
      <c r="X162" s="115" t="e">
        <f>VLOOKUP($A162,'S46'!$C:$BQ,29,0)</f>
        <v>#N/A</v>
      </c>
      <c r="Y162" s="115" t="e">
        <f>VLOOKUP($A162,'S46'!$C:$BQ,30,0)</f>
        <v>#N/A</v>
      </c>
      <c r="Z162" s="115" t="e">
        <f>VLOOKUP($A162,'S46'!$C:$BQ,52,0)</f>
        <v>#N/A</v>
      </c>
      <c r="AA162" s="115" t="e">
        <f>VLOOKUP($A162,'S46'!$C:$BQ,59,0)</f>
        <v>#N/A</v>
      </c>
      <c r="AB162" s="115" t="e">
        <f>VLOOKUP($A162,'S46'!$C:$BQ,60,0)</f>
        <v>#N/A</v>
      </c>
      <c r="AC162" s="107" t="e">
        <f>VLOOKUP($A162,'S47'!$C:$BQ,32,0)</f>
        <v>#N/A</v>
      </c>
      <c r="AD162" s="107" t="e">
        <f>VLOOKUP($A162,'S47'!$C:$BQ,39,0)</f>
        <v>#N/A</v>
      </c>
      <c r="AE162" s="107" t="e">
        <f>VLOOKUP($A162,'S47'!$C:$BQ,40,0)</f>
        <v>#N/A</v>
      </c>
      <c r="AF162" s="107" t="e">
        <f>VLOOKUP($A162,'S47'!$C:$BQ,22,0)</f>
        <v>#N/A</v>
      </c>
      <c r="AG162" s="115" t="e">
        <f>VLOOKUP($A162,'S47'!$C:$BQ,29,0)</f>
        <v>#N/A</v>
      </c>
      <c r="AH162" s="115" t="e">
        <f>VLOOKUP($A162,'S47'!$C:$BQ,30,0)</f>
        <v>#N/A</v>
      </c>
      <c r="AI162" s="115" t="e">
        <f>VLOOKUP($A162,'S47'!$C:$BQ,52,0)</f>
        <v>#N/A</v>
      </c>
      <c r="AJ162" s="115" t="e">
        <f>VLOOKUP($A162,'S47'!$C:$BQ,59,0)</f>
        <v>#N/A</v>
      </c>
      <c r="AK162" s="115" t="e">
        <f>VLOOKUP($A162,'S47'!$C:$BQ,60,0)</f>
        <v>#N/A</v>
      </c>
      <c r="AL162" s="107" t="e">
        <f>VLOOKUP($A162,'S48'!$C:$BQ,32,0)</f>
        <v>#N/A</v>
      </c>
      <c r="AM162" s="107" t="e">
        <f>VLOOKUP($A162,'S48'!$C:$BQ,39,0)</f>
        <v>#N/A</v>
      </c>
      <c r="AN162" s="107" t="e">
        <f>VLOOKUP($A162,'S48'!$C:$BQ,40,0)</f>
        <v>#N/A</v>
      </c>
      <c r="AO162" s="107" t="e">
        <f>VLOOKUP($A162,'S48'!$C:$BQ,22,0)</f>
        <v>#N/A</v>
      </c>
      <c r="AP162" s="115" t="e">
        <f>VLOOKUP($A162,'S48'!$C:$BQ,29,0)</f>
        <v>#N/A</v>
      </c>
      <c r="AQ162" s="115" t="e">
        <f>VLOOKUP($A162,'S48'!$C:$BQ,30,0)</f>
        <v>#N/A</v>
      </c>
      <c r="AR162" s="115" t="e">
        <f>VLOOKUP($A162,'S48'!$C:$BQ,52,0)</f>
        <v>#N/A</v>
      </c>
      <c r="AS162" s="115" t="e">
        <f>VLOOKUP($A162,'S48'!$C:$BQ,59,0)</f>
        <v>#N/A</v>
      </c>
      <c r="AT162" s="115" t="e">
        <f>VLOOKUP($A162,'S48'!$C:$BQ,60,0)</f>
        <v>#N/A</v>
      </c>
      <c r="AU162" s="107" t="e">
        <f>VLOOKUP($A162,'S49'!$C:$BQ,32,0)</f>
        <v>#N/A</v>
      </c>
      <c r="AV162" s="107" t="e">
        <f>VLOOKUP($A162,'S49'!$C:$BQ,39,0)</f>
        <v>#N/A</v>
      </c>
      <c r="AW162" s="107" t="e">
        <f>VLOOKUP($A162,'S49'!$C:$BQ,40,0)</f>
        <v>#N/A</v>
      </c>
      <c r="AX162" s="107" t="e">
        <f>VLOOKUP($A162,'S49'!$C:$BQ,22,0)</f>
        <v>#N/A</v>
      </c>
      <c r="AY162" s="115" t="e">
        <f>VLOOKUP($A162,'S49'!$C:$BQ,29,0)</f>
        <v>#N/A</v>
      </c>
      <c r="AZ162" s="115" t="e">
        <f>VLOOKUP($A162,'S49'!$C:$BQ,30,0)</f>
        <v>#N/A</v>
      </c>
      <c r="BA162" s="115" t="e">
        <f>VLOOKUP($A162,'S49'!$C:$BQ,52,0)</f>
        <v>#N/A</v>
      </c>
      <c r="BB162" s="115" t="e">
        <f>VLOOKUP($A162,'S49'!$C:$BQ,59,0)</f>
        <v>#N/A</v>
      </c>
      <c r="BC162" s="115" t="e">
        <f>VLOOKUP($A162,'S49'!$C:$BQ,60,0)</f>
        <v>#N/A</v>
      </c>
      <c r="BD162" s="107" t="e">
        <f>VLOOKUP($A162,'S50'!$C:$BQ,32,0)</f>
        <v>#N/A</v>
      </c>
      <c r="BE162" s="107" t="e">
        <f>VLOOKUP($A162,'S50'!$C:$BQ,39,0)</f>
        <v>#N/A</v>
      </c>
      <c r="BF162" s="107" t="e">
        <f>VLOOKUP($A162,'S50'!$C:$BQ,40,0)</f>
        <v>#N/A</v>
      </c>
      <c r="BG162" s="107" t="e">
        <f>VLOOKUP($A162,'S50'!$C:$BQ,22,0)</f>
        <v>#N/A</v>
      </c>
      <c r="BH162" s="115" t="e">
        <f>VLOOKUP($A162,'S50'!$C:$BQ,29,0)</f>
        <v>#N/A</v>
      </c>
      <c r="BI162" s="115" t="e">
        <f>VLOOKUP($A162,'S50'!$C:$BQ,30,0)</f>
        <v>#N/A</v>
      </c>
      <c r="BJ162" s="115" t="e">
        <f>VLOOKUP($A162,'S50'!$C:$BQ,52,0)</f>
        <v>#N/A</v>
      </c>
      <c r="BK162" s="115" t="e">
        <f>VLOOKUP($A162,'S50'!$C:$BQ,59,0)</f>
        <v>#N/A</v>
      </c>
      <c r="BL162" s="115" t="e">
        <f>VLOOKUP($A162,'S50'!$C:$BQ,60,0)</f>
        <v>#N/A</v>
      </c>
    </row>
    <row r="163" spans="1:64" x14ac:dyDescent="0.2">
      <c r="A163" s="106" t="s">
        <v>229</v>
      </c>
      <c r="B163" s="107">
        <f>VLOOKUP($A163,'S0 remplacer avec S44'!$C:$BQ,32,0)</f>
        <v>498</v>
      </c>
      <c r="C163" s="107">
        <f>VLOOKUP($A163,'S0 remplacer avec S44'!$C:$BQ,39,0)</f>
        <v>24</v>
      </c>
      <c r="D163" s="107">
        <f>VLOOKUP($A163,'S0 remplacer avec S44'!$C:$BQ,40,0)</f>
        <v>128</v>
      </c>
      <c r="E163" s="107">
        <f>VLOOKUP($A163,'S0 remplacer avec S44'!$C:$BQ,22,0)</f>
        <v>4739.8393800000003</v>
      </c>
      <c r="F163" s="115">
        <f>VLOOKUP($A163,'S0 remplacer avec S44'!$C:$BQ,29,0)</f>
        <v>0</v>
      </c>
      <c r="G163" s="115">
        <f>VLOOKUP($A163,'S0 remplacer avec S44'!$C:$BQ,30,0)</f>
        <v>948</v>
      </c>
      <c r="H163" s="115">
        <f>VLOOKUP($A163,'S0 remplacer avec S44'!$C:$BQ,52,0)</f>
        <v>360</v>
      </c>
      <c r="I163" s="115">
        <f>VLOOKUP($A163,'S0 remplacer avec S44'!$C:$BQ,59,0)</f>
        <v>0</v>
      </c>
      <c r="J163" s="115">
        <f>VLOOKUP($A163,'S0 remplacer avec S44'!$C:$BQ,60,0)</f>
        <v>0</v>
      </c>
      <c r="K163" s="107" t="e">
        <f>VLOOKUP($A163,'S45'!$C:$BQ,32,0)</f>
        <v>#N/A</v>
      </c>
      <c r="L163" s="107" t="e">
        <f>VLOOKUP($A163,'S45'!$C:$BQ,39,0)</f>
        <v>#N/A</v>
      </c>
      <c r="M163" s="107" t="e">
        <f>VLOOKUP($A163,'S45'!$C:$BQ,40,0)</f>
        <v>#N/A</v>
      </c>
      <c r="N163" s="107" t="e">
        <f>VLOOKUP($A163,'S45'!$C:$BQ,22,0)</f>
        <v>#N/A</v>
      </c>
      <c r="O163" s="115" t="e">
        <f>VLOOKUP($A163,'S45'!$C:$BQ,29,0)</f>
        <v>#N/A</v>
      </c>
      <c r="P163" s="115" t="e">
        <f>VLOOKUP($A163,'S45'!$C:$BQ,30,0)</f>
        <v>#N/A</v>
      </c>
      <c r="Q163" s="115" t="e">
        <f>VLOOKUP($A163,'S45'!$C:$BQ,52,0)</f>
        <v>#N/A</v>
      </c>
      <c r="R163" s="115" t="e">
        <f>VLOOKUP($A163,'S45'!$C:$BQ,59,0)</f>
        <v>#N/A</v>
      </c>
      <c r="S163" s="115" t="e">
        <f>VLOOKUP($A163,'S45'!$C:$BQ,60,0)</f>
        <v>#N/A</v>
      </c>
      <c r="T163" s="107" t="e">
        <f>VLOOKUP($A163,'S46'!$C:$BQ,32,0)</f>
        <v>#N/A</v>
      </c>
      <c r="U163" s="107" t="e">
        <f>VLOOKUP($A163,'S46'!$C:$BQ,39,0)</f>
        <v>#N/A</v>
      </c>
      <c r="V163" s="107" t="e">
        <f>VLOOKUP($A163,'S46'!$C:$BQ,40,0)</f>
        <v>#N/A</v>
      </c>
      <c r="W163" s="107" t="e">
        <f>VLOOKUP($A163,'S46'!$C:$BQ,22,0)</f>
        <v>#N/A</v>
      </c>
      <c r="X163" s="115" t="e">
        <f>VLOOKUP($A163,'S46'!$C:$BQ,29,0)</f>
        <v>#N/A</v>
      </c>
      <c r="Y163" s="115" t="e">
        <f>VLOOKUP($A163,'S46'!$C:$BQ,30,0)</f>
        <v>#N/A</v>
      </c>
      <c r="Z163" s="115" t="e">
        <f>VLOOKUP($A163,'S46'!$C:$BQ,52,0)</f>
        <v>#N/A</v>
      </c>
      <c r="AA163" s="115" t="e">
        <f>VLOOKUP($A163,'S46'!$C:$BQ,59,0)</f>
        <v>#N/A</v>
      </c>
      <c r="AB163" s="115" t="e">
        <f>VLOOKUP($A163,'S46'!$C:$BQ,60,0)</f>
        <v>#N/A</v>
      </c>
      <c r="AC163" s="107" t="e">
        <f>VLOOKUP($A163,'S47'!$C:$BQ,32,0)</f>
        <v>#N/A</v>
      </c>
      <c r="AD163" s="107" t="e">
        <f>VLOOKUP($A163,'S47'!$C:$BQ,39,0)</f>
        <v>#N/A</v>
      </c>
      <c r="AE163" s="107" t="e">
        <f>VLOOKUP($A163,'S47'!$C:$BQ,40,0)</f>
        <v>#N/A</v>
      </c>
      <c r="AF163" s="107" t="e">
        <f>VLOOKUP($A163,'S47'!$C:$BQ,22,0)</f>
        <v>#N/A</v>
      </c>
      <c r="AG163" s="115" t="e">
        <f>VLOOKUP($A163,'S47'!$C:$BQ,29,0)</f>
        <v>#N/A</v>
      </c>
      <c r="AH163" s="115" t="e">
        <f>VLOOKUP($A163,'S47'!$C:$BQ,30,0)</f>
        <v>#N/A</v>
      </c>
      <c r="AI163" s="115" t="e">
        <f>VLOOKUP($A163,'S47'!$C:$BQ,52,0)</f>
        <v>#N/A</v>
      </c>
      <c r="AJ163" s="115" t="e">
        <f>VLOOKUP($A163,'S47'!$C:$BQ,59,0)</f>
        <v>#N/A</v>
      </c>
      <c r="AK163" s="115" t="e">
        <f>VLOOKUP($A163,'S47'!$C:$BQ,60,0)</f>
        <v>#N/A</v>
      </c>
      <c r="AL163" s="107" t="e">
        <f>VLOOKUP($A163,'S48'!$C:$BQ,32,0)</f>
        <v>#N/A</v>
      </c>
      <c r="AM163" s="107" t="e">
        <f>VLOOKUP($A163,'S48'!$C:$BQ,39,0)</f>
        <v>#N/A</v>
      </c>
      <c r="AN163" s="107" t="e">
        <f>VLOOKUP($A163,'S48'!$C:$BQ,40,0)</f>
        <v>#N/A</v>
      </c>
      <c r="AO163" s="107" t="e">
        <f>VLOOKUP($A163,'S48'!$C:$BQ,22,0)</f>
        <v>#N/A</v>
      </c>
      <c r="AP163" s="115" t="e">
        <f>VLOOKUP($A163,'S48'!$C:$BQ,29,0)</f>
        <v>#N/A</v>
      </c>
      <c r="AQ163" s="115" t="e">
        <f>VLOOKUP($A163,'S48'!$C:$BQ,30,0)</f>
        <v>#N/A</v>
      </c>
      <c r="AR163" s="115" t="e">
        <f>VLOOKUP($A163,'S48'!$C:$BQ,52,0)</f>
        <v>#N/A</v>
      </c>
      <c r="AS163" s="115" t="e">
        <f>VLOOKUP($A163,'S48'!$C:$BQ,59,0)</f>
        <v>#N/A</v>
      </c>
      <c r="AT163" s="115" t="e">
        <f>VLOOKUP($A163,'S48'!$C:$BQ,60,0)</f>
        <v>#N/A</v>
      </c>
      <c r="AU163" s="107" t="e">
        <f>VLOOKUP($A163,'S49'!$C:$BQ,32,0)</f>
        <v>#N/A</v>
      </c>
      <c r="AV163" s="107" t="e">
        <f>VLOOKUP($A163,'S49'!$C:$BQ,39,0)</f>
        <v>#N/A</v>
      </c>
      <c r="AW163" s="107" t="e">
        <f>VLOOKUP($A163,'S49'!$C:$BQ,40,0)</f>
        <v>#N/A</v>
      </c>
      <c r="AX163" s="107" t="e">
        <f>VLOOKUP($A163,'S49'!$C:$BQ,22,0)</f>
        <v>#N/A</v>
      </c>
      <c r="AY163" s="115" t="e">
        <f>VLOOKUP($A163,'S49'!$C:$BQ,29,0)</f>
        <v>#N/A</v>
      </c>
      <c r="AZ163" s="115" t="e">
        <f>VLOOKUP($A163,'S49'!$C:$BQ,30,0)</f>
        <v>#N/A</v>
      </c>
      <c r="BA163" s="115" t="e">
        <f>VLOOKUP($A163,'S49'!$C:$BQ,52,0)</f>
        <v>#N/A</v>
      </c>
      <c r="BB163" s="115" t="e">
        <f>VLOOKUP($A163,'S49'!$C:$BQ,59,0)</f>
        <v>#N/A</v>
      </c>
      <c r="BC163" s="115" t="e">
        <f>VLOOKUP($A163,'S49'!$C:$BQ,60,0)</f>
        <v>#N/A</v>
      </c>
      <c r="BD163" s="107" t="e">
        <f>VLOOKUP($A163,'S50'!$C:$BQ,32,0)</f>
        <v>#N/A</v>
      </c>
      <c r="BE163" s="107" t="e">
        <f>VLOOKUP($A163,'S50'!$C:$BQ,39,0)</f>
        <v>#N/A</v>
      </c>
      <c r="BF163" s="107" t="e">
        <f>VLOOKUP($A163,'S50'!$C:$BQ,40,0)</f>
        <v>#N/A</v>
      </c>
      <c r="BG163" s="107" t="e">
        <f>VLOOKUP($A163,'S50'!$C:$BQ,22,0)</f>
        <v>#N/A</v>
      </c>
      <c r="BH163" s="115" t="e">
        <f>VLOOKUP($A163,'S50'!$C:$BQ,29,0)</f>
        <v>#N/A</v>
      </c>
      <c r="BI163" s="115" t="e">
        <f>VLOOKUP($A163,'S50'!$C:$BQ,30,0)</f>
        <v>#N/A</v>
      </c>
      <c r="BJ163" s="115" t="e">
        <f>VLOOKUP($A163,'S50'!$C:$BQ,52,0)</f>
        <v>#N/A</v>
      </c>
      <c r="BK163" s="115" t="e">
        <f>VLOOKUP($A163,'S50'!$C:$BQ,59,0)</f>
        <v>#N/A</v>
      </c>
      <c r="BL163" s="115" t="e">
        <f>VLOOKUP($A163,'S50'!$C:$BQ,60,0)</f>
        <v>#N/A</v>
      </c>
    </row>
    <row r="164" spans="1:64" x14ac:dyDescent="0.2">
      <c r="A164" s="106" t="s">
        <v>230</v>
      </c>
      <c r="B164" s="107">
        <f>VLOOKUP($A164,'S0 remplacer avec S44'!$C:$BQ,32,0)</f>
        <v>146.25</v>
      </c>
      <c r="C164" s="107">
        <f>VLOOKUP($A164,'S0 remplacer avec S44'!$C:$BQ,39,0)</f>
        <v>0</v>
      </c>
      <c r="D164" s="107">
        <f>VLOOKUP($A164,'S0 remplacer avec S44'!$C:$BQ,40,0)</f>
        <v>10</v>
      </c>
      <c r="E164" s="107">
        <f>VLOOKUP($A164,'S0 remplacer avec S44'!$C:$BQ,22,0)</f>
        <v>883.646885</v>
      </c>
      <c r="F164" s="115">
        <f>VLOOKUP($A164,'S0 remplacer avec S44'!$C:$BQ,29,0)</f>
        <v>298</v>
      </c>
      <c r="G164" s="115">
        <f>VLOOKUP($A164,'S0 remplacer avec S44'!$C:$BQ,30,0)</f>
        <v>535</v>
      </c>
      <c r="H164" s="115">
        <f>VLOOKUP($A164,'S0 remplacer avec S44'!$C:$BQ,52,0)</f>
        <v>69.400000000000006</v>
      </c>
      <c r="I164" s="115">
        <f>VLOOKUP($A164,'S0 remplacer avec S44'!$C:$BQ,59,0)</f>
        <v>0</v>
      </c>
      <c r="J164" s="115">
        <f>VLOOKUP($A164,'S0 remplacer avec S44'!$C:$BQ,60,0)</f>
        <v>10</v>
      </c>
      <c r="K164" s="107" t="e">
        <f>VLOOKUP($A164,'S45'!$C:$BQ,32,0)</f>
        <v>#N/A</v>
      </c>
      <c r="L164" s="107" t="e">
        <f>VLOOKUP($A164,'S45'!$C:$BQ,39,0)</f>
        <v>#N/A</v>
      </c>
      <c r="M164" s="107" t="e">
        <f>VLOOKUP($A164,'S45'!$C:$BQ,40,0)</f>
        <v>#N/A</v>
      </c>
      <c r="N164" s="107" t="e">
        <f>VLOOKUP($A164,'S45'!$C:$BQ,22,0)</f>
        <v>#N/A</v>
      </c>
      <c r="O164" s="115" t="e">
        <f>VLOOKUP($A164,'S45'!$C:$BQ,29,0)</f>
        <v>#N/A</v>
      </c>
      <c r="P164" s="115" t="e">
        <f>VLOOKUP($A164,'S45'!$C:$BQ,30,0)</f>
        <v>#N/A</v>
      </c>
      <c r="Q164" s="115" t="e">
        <f>VLOOKUP($A164,'S45'!$C:$BQ,52,0)</f>
        <v>#N/A</v>
      </c>
      <c r="R164" s="115" t="e">
        <f>VLOOKUP($A164,'S45'!$C:$BQ,59,0)</f>
        <v>#N/A</v>
      </c>
      <c r="S164" s="115" t="e">
        <f>VLOOKUP($A164,'S45'!$C:$BQ,60,0)</f>
        <v>#N/A</v>
      </c>
      <c r="T164" s="107" t="e">
        <f>VLOOKUP($A164,'S46'!$C:$BQ,32,0)</f>
        <v>#N/A</v>
      </c>
      <c r="U164" s="107" t="e">
        <f>VLOOKUP($A164,'S46'!$C:$BQ,39,0)</f>
        <v>#N/A</v>
      </c>
      <c r="V164" s="107" t="e">
        <f>VLOOKUP($A164,'S46'!$C:$BQ,40,0)</f>
        <v>#N/A</v>
      </c>
      <c r="W164" s="107" t="e">
        <f>VLOOKUP($A164,'S46'!$C:$BQ,22,0)</f>
        <v>#N/A</v>
      </c>
      <c r="X164" s="115" t="e">
        <f>VLOOKUP($A164,'S46'!$C:$BQ,29,0)</f>
        <v>#N/A</v>
      </c>
      <c r="Y164" s="115" t="e">
        <f>VLOOKUP($A164,'S46'!$C:$BQ,30,0)</f>
        <v>#N/A</v>
      </c>
      <c r="Z164" s="115" t="e">
        <f>VLOOKUP($A164,'S46'!$C:$BQ,52,0)</f>
        <v>#N/A</v>
      </c>
      <c r="AA164" s="115" t="e">
        <f>VLOOKUP($A164,'S46'!$C:$BQ,59,0)</f>
        <v>#N/A</v>
      </c>
      <c r="AB164" s="115" t="e">
        <f>VLOOKUP($A164,'S46'!$C:$BQ,60,0)</f>
        <v>#N/A</v>
      </c>
      <c r="AC164" s="107" t="e">
        <f>VLOOKUP($A164,'S47'!$C:$BQ,32,0)</f>
        <v>#N/A</v>
      </c>
      <c r="AD164" s="107" t="e">
        <f>VLOOKUP($A164,'S47'!$C:$BQ,39,0)</f>
        <v>#N/A</v>
      </c>
      <c r="AE164" s="107" t="e">
        <f>VLOOKUP($A164,'S47'!$C:$BQ,40,0)</f>
        <v>#N/A</v>
      </c>
      <c r="AF164" s="107" t="e">
        <f>VLOOKUP($A164,'S47'!$C:$BQ,22,0)</f>
        <v>#N/A</v>
      </c>
      <c r="AG164" s="115" t="e">
        <f>VLOOKUP($A164,'S47'!$C:$BQ,29,0)</f>
        <v>#N/A</v>
      </c>
      <c r="AH164" s="115" t="e">
        <f>VLOOKUP($A164,'S47'!$C:$BQ,30,0)</f>
        <v>#N/A</v>
      </c>
      <c r="AI164" s="115" t="e">
        <f>VLOOKUP($A164,'S47'!$C:$BQ,52,0)</f>
        <v>#N/A</v>
      </c>
      <c r="AJ164" s="115" t="e">
        <f>VLOOKUP($A164,'S47'!$C:$BQ,59,0)</f>
        <v>#N/A</v>
      </c>
      <c r="AK164" s="115" t="e">
        <f>VLOOKUP($A164,'S47'!$C:$BQ,60,0)</f>
        <v>#N/A</v>
      </c>
      <c r="AL164" s="107" t="e">
        <f>VLOOKUP($A164,'S48'!$C:$BQ,32,0)</f>
        <v>#N/A</v>
      </c>
      <c r="AM164" s="107" t="e">
        <f>VLOOKUP($A164,'S48'!$C:$BQ,39,0)</f>
        <v>#N/A</v>
      </c>
      <c r="AN164" s="107" t="e">
        <f>VLOOKUP($A164,'S48'!$C:$BQ,40,0)</f>
        <v>#N/A</v>
      </c>
      <c r="AO164" s="107" t="e">
        <f>VLOOKUP($A164,'S48'!$C:$BQ,22,0)</f>
        <v>#N/A</v>
      </c>
      <c r="AP164" s="115" t="e">
        <f>VLOOKUP($A164,'S48'!$C:$BQ,29,0)</f>
        <v>#N/A</v>
      </c>
      <c r="AQ164" s="115" t="e">
        <f>VLOOKUP($A164,'S48'!$C:$BQ,30,0)</f>
        <v>#N/A</v>
      </c>
      <c r="AR164" s="115" t="e">
        <f>VLOOKUP($A164,'S48'!$C:$BQ,52,0)</f>
        <v>#N/A</v>
      </c>
      <c r="AS164" s="115" t="e">
        <f>VLOOKUP($A164,'S48'!$C:$BQ,59,0)</f>
        <v>#N/A</v>
      </c>
      <c r="AT164" s="115" t="e">
        <f>VLOOKUP($A164,'S48'!$C:$BQ,60,0)</f>
        <v>#N/A</v>
      </c>
      <c r="AU164" s="107" t="e">
        <f>VLOOKUP($A164,'S49'!$C:$BQ,32,0)</f>
        <v>#N/A</v>
      </c>
      <c r="AV164" s="107" t="e">
        <f>VLOOKUP($A164,'S49'!$C:$BQ,39,0)</f>
        <v>#N/A</v>
      </c>
      <c r="AW164" s="107" t="e">
        <f>VLOOKUP($A164,'S49'!$C:$BQ,40,0)</f>
        <v>#N/A</v>
      </c>
      <c r="AX164" s="107" t="e">
        <f>VLOOKUP($A164,'S49'!$C:$BQ,22,0)</f>
        <v>#N/A</v>
      </c>
      <c r="AY164" s="115" t="e">
        <f>VLOOKUP($A164,'S49'!$C:$BQ,29,0)</f>
        <v>#N/A</v>
      </c>
      <c r="AZ164" s="115" t="e">
        <f>VLOOKUP($A164,'S49'!$C:$BQ,30,0)</f>
        <v>#N/A</v>
      </c>
      <c r="BA164" s="115" t="e">
        <f>VLOOKUP($A164,'S49'!$C:$BQ,52,0)</f>
        <v>#N/A</v>
      </c>
      <c r="BB164" s="115" t="e">
        <f>VLOOKUP($A164,'S49'!$C:$BQ,59,0)</f>
        <v>#N/A</v>
      </c>
      <c r="BC164" s="115" t="e">
        <f>VLOOKUP($A164,'S49'!$C:$BQ,60,0)</f>
        <v>#N/A</v>
      </c>
      <c r="BD164" s="107" t="e">
        <f>VLOOKUP($A164,'S50'!$C:$BQ,32,0)</f>
        <v>#N/A</v>
      </c>
      <c r="BE164" s="107" t="e">
        <f>VLOOKUP($A164,'S50'!$C:$BQ,39,0)</f>
        <v>#N/A</v>
      </c>
      <c r="BF164" s="107" t="e">
        <f>VLOOKUP($A164,'S50'!$C:$BQ,40,0)</f>
        <v>#N/A</v>
      </c>
      <c r="BG164" s="107" t="e">
        <f>VLOOKUP($A164,'S50'!$C:$BQ,22,0)</f>
        <v>#N/A</v>
      </c>
      <c r="BH164" s="115" t="e">
        <f>VLOOKUP($A164,'S50'!$C:$BQ,29,0)</f>
        <v>#N/A</v>
      </c>
      <c r="BI164" s="115" t="e">
        <f>VLOOKUP($A164,'S50'!$C:$BQ,30,0)</f>
        <v>#N/A</v>
      </c>
      <c r="BJ164" s="115" t="e">
        <f>VLOOKUP($A164,'S50'!$C:$BQ,52,0)</f>
        <v>#N/A</v>
      </c>
      <c r="BK164" s="115" t="e">
        <f>VLOOKUP($A164,'S50'!$C:$BQ,59,0)</f>
        <v>#N/A</v>
      </c>
      <c r="BL164" s="115" t="e">
        <f>VLOOKUP($A164,'S50'!$C:$BQ,60,0)</f>
        <v>#N/A</v>
      </c>
    </row>
    <row r="165" spans="1:64" x14ac:dyDescent="0.2">
      <c r="A165" s="106" t="s">
        <v>231</v>
      </c>
      <c r="B165" s="107">
        <f>VLOOKUP($A165,'S0 remplacer avec S44'!$C:$BQ,32,0)</f>
        <v>114.85</v>
      </c>
      <c r="C165" s="107">
        <f>VLOOKUP($A165,'S0 remplacer avec S44'!$C:$BQ,39,0)</f>
        <v>13</v>
      </c>
      <c r="D165" s="107">
        <f>VLOOKUP($A165,'S0 remplacer avec S44'!$C:$BQ,40,0)</f>
        <v>38</v>
      </c>
      <c r="E165" s="107">
        <f>VLOOKUP($A165,'S0 remplacer avec S44'!$C:$BQ,22,0)</f>
        <v>1794.4673250000001</v>
      </c>
      <c r="F165" s="115">
        <f>VLOOKUP($A165,'S0 remplacer avec S44'!$C:$BQ,29,0)</f>
        <v>0</v>
      </c>
      <c r="G165" s="115">
        <f>VLOOKUP($A165,'S0 remplacer avec S44'!$C:$BQ,30,0)</f>
        <v>0</v>
      </c>
      <c r="H165" s="115">
        <f>VLOOKUP($A165,'S0 remplacer avec S44'!$C:$BQ,52,0)</f>
        <v>104</v>
      </c>
      <c r="I165" s="115">
        <f>VLOOKUP($A165,'S0 remplacer avec S44'!$C:$BQ,59,0)</f>
        <v>0</v>
      </c>
      <c r="J165" s="115">
        <f>VLOOKUP($A165,'S0 remplacer avec S44'!$C:$BQ,60,0)</f>
        <v>0</v>
      </c>
      <c r="K165" s="107" t="e">
        <f>VLOOKUP($A165,'S45'!$C:$BQ,32,0)</f>
        <v>#N/A</v>
      </c>
      <c r="L165" s="107" t="e">
        <f>VLOOKUP($A165,'S45'!$C:$BQ,39,0)</f>
        <v>#N/A</v>
      </c>
      <c r="M165" s="107" t="e">
        <f>VLOOKUP($A165,'S45'!$C:$BQ,40,0)</f>
        <v>#N/A</v>
      </c>
      <c r="N165" s="107" t="e">
        <f>VLOOKUP($A165,'S45'!$C:$BQ,22,0)</f>
        <v>#N/A</v>
      </c>
      <c r="O165" s="115" t="e">
        <f>VLOOKUP($A165,'S45'!$C:$BQ,29,0)</f>
        <v>#N/A</v>
      </c>
      <c r="P165" s="115" t="e">
        <f>VLOOKUP($A165,'S45'!$C:$BQ,30,0)</f>
        <v>#N/A</v>
      </c>
      <c r="Q165" s="115" t="e">
        <f>VLOOKUP($A165,'S45'!$C:$BQ,52,0)</f>
        <v>#N/A</v>
      </c>
      <c r="R165" s="115" t="e">
        <f>VLOOKUP($A165,'S45'!$C:$BQ,59,0)</f>
        <v>#N/A</v>
      </c>
      <c r="S165" s="115" t="e">
        <f>VLOOKUP($A165,'S45'!$C:$BQ,60,0)</f>
        <v>#N/A</v>
      </c>
      <c r="T165" s="107" t="e">
        <f>VLOOKUP($A165,'S46'!$C:$BQ,32,0)</f>
        <v>#N/A</v>
      </c>
      <c r="U165" s="107" t="e">
        <f>VLOOKUP($A165,'S46'!$C:$BQ,39,0)</f>
        <v>#N/A</v>
      </c>
      <c r="V165" s="107" t="e">
        <f>VLOOKUP($A165,'S46'!$C:$BQ,40,0)</f>
        <v>#N/A</v>
      </c>
      <c r="W165" s="107" t="e">
        <f>VLOOKUP($A165,'S46'!$C:$BQ,22,0)</f>
        <v>#N/A</v>
      </c>
      <c r="X165" s="115" t="e">
        <f>VLOOKUP($A165,'S46'!$C:$BQ,29,0)</f>
        <v>#N/A</v>
      </c>
      <c r="Y165" s="115" t="e">
        <f>VLOOKUP($A165,'S46'!$C:$BQ,30,0)</f>
        <v>#N/A</v>
      </c>
      <c r="Z165" s="115" t="e">
        <f>VLOOKUP($A165,'S46'!$C:$BQ,52,0)</f>
        <v>#N/A</v>
      </c>
      <c r="AA165" s="115" t="e">
        <f>VLOOKUP($A165,'S46'!$C:$BQ,59,0)</f>
        <v>#N/A</v>
      </c>
      <c r="AB165" s="115" t="e">
        <f>VLOOKUP($A165,'S46'!$C:$BQ,60,0)</f>
        <v>#N/A</v>
      </c>
      <c r="AC165" s="107" t="e">
        <f>VLOOKUP($A165,'S47'!$C:$BQ,32,0)</f>
        <v>#N/A</v>
      </c>
      <c r="AD165" s="107" t="e">
        <f>VLOOKUP($A165,'S47'!$C:$BQ,39,0)</f>
        <v>#N/A</v>
      </c>
      <c r="AE165" s="107" t="e">
        <f>VLOOKUP($A165,'S47'!$C:$BQ,40,0)</f>
        <v>#N/A</v>
      </c>
      <c r="AF165" s="107" t="e">
        <f>VLOOKUP($A165,'S47'!$C:$BQ,22,0)</f>
        <v>#N/A</v>
      </c>
      <c r="AG165" s="115" t="e">
        <f>VLOOKUP($A165,'S47'!$C:$BQ,29,0)</f>
        <v>#N/A</v>
      </c>
      <c r="AH165" s="115" t="e">
        <f>VLOOKUP($A165,'S47'!$C:$BQ,30,0)</f>
        <v>#N/A</v>
      </c>
      <c r="AI165" s="115" t="e">
        <f>VLOOKUP($A165,'S47'!$C:$BQ,52,0)</f>
        <v>#N/A</v>
      </c>
      <c r="AJ165" s="115" t="e">
        <f>VLOOKUP($A165,'S47'!$C:$BQ,59,0)</f>
        <v>#N/A</v>
      </c>
      <c r="AK165" s="115" t="e">
        <f>VLOOKUP($A165,'S47'!$C:$BQ,60,0)</f>
        <v>#N/A</v>
      </c>
      <c r="AL165" s="107" t="e">
        <f>VLOOKUP($A165,'S48'!$C:$BQ,32,0)</f>
        <v>#N/A</v>
      </c>
      <c r="AM165" s="107" t="e">
        <f>VLOOKUP($A165,'S48'!$C:$BQ,39,0)</f>
        <v>#N/A</v>
      </c>
      <c r="AN165" s="107" t="e">
        <f>VLOOKUP($A165,'S48'!$C:$BQ,40,0)</f>
        <v>#N/A</v>
      </c>
      <c r="AO165" s="107" t="e">
        <f>VLOOKUP($A165,'S48'!$C:$BQ,22,0)</f>
        <v>#N/A</v>
      </c>
      <c r="AP165" s="115" t="e">
        <f>VLOOKUP($A165,'S48'!$C:$BQ,29,0)</f>
        <v>#N/A</v>
      </c>
      <c r="AQ165" s="115" t="e">
        <f>VLOOKUP($A165,'S48'!$C:$BQ,30,0)</f>
        <v>#N/A</v>
      </c>
      <c r="AR165" s="115" t="e">
        <f>VLOOKUP($A165,'S48'!$C:$BQ,52,0)</f>
        <v>#N/A</v>
      </c>
      <c r="AS165" s="115" t="e">
        <f>VLOOKUP($A165,'S48'!$C:$BQ,59,0)</f>
        <v>#N/A</v>
      </c>
      <c r="AT165" s="115" t="e">
        <f>VLOOKUP($A165,'S48'!$C:$BQ,60,0)</f>
        <v>#N/A</v>
      </c>
      <c r="AU165" s="107" t="e">
        <f>VLOOKUP($A165,'S49'!$C:$BQ,32,0)</f>
        <v>#N/A</v>
      </c>
      <c r="AV165" s="107" t="e">
        <f>VLOOKUP($A165,'S49'!$C:$BQ,39,0)</f>
        <v>#N/A</v>
      </c>
      <c r="AW165" s="107" t="e">
        <f>VLOOKUP($A165,'S49'!$C:$BQ,40,0)</f>
        <v>#N/A</v>
      </c>
      <c r="AX165" s="107" t="e">
        <f>VLOOKUP($A165,'S49'!$C:$BQ,22,0)</f>
        <v>#N/A</v>
      </c>
      <c r="AY165" s="115" t="e">
        <f>VLOOKUP($A165,'S49'!$C:$BQ,29,0)</f>
        <v>#N/A</v>
      </c>
      <c r="AZ165" s="115" t="e">
        <f>VLOOKUP($A165,'S49'!$C:$BQ,30,0)</f>
        <v>#N/A</v>
      </c>
      <c r="BA165" s="115" t="e">
        <f>VLOOKUP($A165,'S49'!$C:$BQ,52,0)</f>
        <v>#N/A</v>
      </c>
      <c r="BB165" s="115" t="e">
        <f>VLOOKUP($A165,'S49'!$C:$BQ,59,0)</f>
        <v>#N/A</v>
      </c>
      <c r="BC165" s="115" t="e">
        <f>VLOOKUP($A165,'S49'!$C:$BQ,60,0)</f>
        <v>#N/A</v>
      </c>
      <c r="BD165" s="107" t="e">
        <f>VLOOKUP($A165,'S50'!$C:$BQ,32,0)</f>
        <v>#N/A</v>
      </c>
      <c r="BE165" s="107" t="e">
        <f>VLOOKUP($A165,'S50'!$C:$BQ,39,0)</f>
        <v>#N/A</v>
      </c>
      <c r="BF165" s="107" t="e">
        <f>VLOOKUP($A165,'S50'!$C:$BQ,40,0)</f>
        <v>#N/A</v>
      </c>
      <c r="BG165" s="107" t="e">
        <f>VLOOKUP($A165,'S50'!$C:$BQ,22,0)</f>
        <v>#N/A</v>
      </c>
      <c r="BH165" s="115" t="e">
        <f>VLOOKUP($A165,'S50'!$C:$BQ,29,0)</f>
        <v>#N/A</v>
      </c>
      <c r="BI165" s="115" t="e">
        <f>VLOOKUP($A165,'S50'!$C:$BQ,30,0)</f>
        <v>#N/A</v>
      </c>
      <c r="BJ165" s="115" t="e">
        <f>VLOOKUP($A165,'S50'!$C:$BQ,52,0)</f>
        <v>#N/A</v>
      </c>
      <c r="BK165" s="115" t="e">
        <f>VLOOKUP($A165,'S50'!$C:$BQ,59,0)</f>
        <v>#N/A</v>
      </c>
      <c r="BL165" s="115" t="e">
        <f>VLOOKUP($A165,'S50'!$C:$BQ,60,0)</f>
        <v>#N/A</v>
      </c>
    </row>
    <row r="166" spans="1:64" x14ac:dyDescent="0.2">
      <c r="A166" s="106" t="s">
        <v>232</v>
      </c>
      <c r="B166" s="107">
        <f>VLOOKUP($A166,'S0 remplacer avec S44'!$C:$BQ,32,0)</f>
        <v>106.1</v>
      </c>
      <c r="C166" s="107">
        <f>VLOOKUP($A166,'S0 remplacer avec S44'!$C:$BQ,39,0)</f>
        <v>12</v>
      </c>
      <c r="D166" s="107">
        <f>VLOOKUP($A166,'S0 remplacer avec S44'!$C:$BQ,40,0)</f>
        <v>35</v>
      </c>
      <c r="E166" s="107">
        <f>VLOOKUP($A166,'S0 remplacer avec S44'!$C:$BQ,22,0)</f>
        <v>1028.2102050000001</v>
      </c>
      <c r="F166" s="115">
        <f>VLOOKUP($A166,'S0 remplacer avec S44'!$C:$BQ,29,0)</f>
        <v>39</v>
      </c>
      <c r="G166" s="115">
        <f>VLOOKUP($A166,'S0 remplacer avec S44'!$C:$BQ,30,0)</f>
        <v>252</v>
      </c>
      <c r="H166" s="115">
        <f>VLOOKUP($A166,'S0 remplacer avec S44'!$C:$BQ,52,0)</f>
        <v>94</v>
      </c>
      <c r="I166" s="115">
        <f>VLOOKUP($A166,'S0 remplacer avec S44'!$C:$BQ,59,0)</f>
        <v>0</v>
      </c>
      <c r="J166" s="115">
        <f>VLOOKUP($A166,'S0 remplacer avec S44'!$C:$BQ,60,0)</f>
        <v>0</v>
      </c>
      <c r="K166" s="107" t="e">
        <f>VLOOKUP($A166,'S45'!$C:$BQ,32,0)</f>
        <v>#N/A</v>
      </c>
      <c r="L166" s="107" t="e">
        <f>VLOOKUP($A166,'S45'!$C:$BQ,39,0)</f>
        <v>#N/A</v>
      </c>
      <c r="M166" s="107" t="e">
        <f>VLOOKUP($A166,'S45'!$C:$BQ,40,0)</f>
        <v>#N/A</v>
      </c>
      <c r="N166" s="107" t="e">
        <f>VLOOKUP($A166,'S45'!$C:$BQ,22,0)</f>
        <v>#N/A</v>
      </c>
      <c r="O166" s="115" t="e">
        <f>VLOOKUP($A166,'S45'!$C:$BQ,29,0)</f>
        <v>#N/A</v>
      </c>
      <c r="P166" s="115" t="e">
        <f>VLOOKUP($A166,'S45'!$C:$BQ,30,0)</f>
        <v>#N/A</v>
      </c>
      <c r="Q166" s="115" t="e">
        <f>VLOOKUP($A166,'S45'!$C:$BQ,52,0)</f>
        <v>#N/A</v>
      </c>
      <c r="R166" s="115" t="e">
        <f>VLOOKUP($A166,'S45'!$C:$BQ,59,0)</f>
        <v>#N/A</v>
      </c>
      <c r="S166" s="115" t="e">
        <f>VLOOKUP($A166,'S45'!$C:$BQ,60,0)</f>
        <v>#N/A</v>
      </c>
      <c r="T166" s="107" t="e">
        <f>VLOOKUP($A166,'S46'!$C:$BQ,32,0)</f>
        <v>#N/A</v>
      </c>
      <c r="U166" s="107" t="e">
        <f>VLOOKUP($A166,'S46'!$C:$BQ,39,0)</f>
        <v>#N/A</v>
      </c>
      <c r="V166" s="107" t="e">
        <f>VLOOKUP($A166,'S46'!$C:$BQ,40,0)</f>
        <v>#N/A</v>
      </c>
      <c r="W166" s="107" t="e">
        <f>VLOOKUP($A166,'S46'!$C:$BQ,22,0)</f>
        <v>#N/A</v>
      </c>
      <c r="X166" s="115" t="e">
        <f>VLOOKUP($A166,'S46'!$C:$BQ,29,0)</f>
        <v>#N/A</v>
      </c>
      <c r="Y166" s="115" t="e">
        <f>VLOOKUP($A166,'S46'!$C:$BQ,30,0)</f>
        <v>#N/A</v>
      </c>
      <c r="Z166" s="115" t="e">
        <f>VLOOKUP($A166,'S46'!$C:$BQ,52,0)</f>
        <v>#N/A</v>
      </c>
      <c r="AA166" s="115" t="e">
        <f>VLOOKUP($A166,'S46'!$C:$BQ,59,0)</f>
        <v>#N/A</v>
      </c>
      <c r="AB166" s="115" t="e">
        <f>VLOOKUP($A166,'S46'!$C:$BQ,60,0)</f>
        <v>#N/A</v>
      </c>
      <c r="AC166" s="107" t="e">
        <f>VLOOKUP($A166,'S47'!$C:$BQ,32,0)</f>
        <v>#N/A</v>
      </c>
      <c r="AD166" s="107" t="e">
        <f>VLOOKUP($A166,'S47'!$C:$BQ,39,0)</f>
        <v>#N/A</v>
      </c>
      <c r="AE166" s="107" t="e">
        <f>VLOOKUP($A166,'S47'!$C:$BQ,40,0)</f>
        <v>#N/A</v>
      </c>
      <c r="AF166" s="107" t="e">
        <f>VLOOKUP($A166,'S47'!$C:$BQ,22,0)</f>
        <v>#N/A</v>
      </c>
      <c r="AG166" s="115" t="e">
        <f>VLOOKUP($A166,'S47'!$C:$BQ,29,0)</f>
        <v>#N/A</v>
      </c>
      <c r="AH166" s="115" t="e">
        <f>VLOOKUP($A166,'S47'!$C:$BQ,30,0)</f>
        <v>#N/A</v>
      </c>
      <c r="AI166" s="115" t="e">
        <f>VLOOKUP($A166,'S47'!$C:$BQ,52,0)</f>
        <v>#N/A</v>
      </c>
      <c r="AJ166" s="115" t="e">
        <f>VLOOKUP($A166,'S47'!$C:$BQ,59,0)</f>
        <v>#N/A</v>
      </c>
      <c r="AK166" s="115" t="e">
        <f>VLOOKUP($A166,'S47'!$C:$BQ,60,0)</f>
        <v>#N/A</v>
      </c>
      <c r="AL166" s="107" t="e">
        <f>VLOOKUP($A166,'S48'!$C:$BQ,32,0)</f>
        <v>#N/A</v>
      </c>
      <c r="AM166" s="107" t="e">
        <f>VLOOKUP($A166,'S48'!$C:$BQ,39,0)</f>
        <v>#N/A</v>
      </c>
      <c r="AN166" s="107" t="e">
        <f>VLOOKUP($A166,'S48'!$C:$BQ,40,0)</f>
        <v>#N/A</v>
      </c>
      <c r="AO166" s="107" t="e">
        <f>VLOOKUP($A166,'S48'!$C:$BQ,22,0)</f>
        <v>#N/A</v>
      </c>
      <c r="AP166" s="115" t="e">
        <f>VLOOKUP($A166,'S48'!$C:$BQ,29,0)</f>
        <v>#N/A</v>
      </c>
      <c r="AQ166" s="115" t="e">
        <f>VLOOKUP($A166,'S48'!$C:$BQ,30,0)</f>
        <v>#N/A</v>
      </c>
      <c r="AR166" s="115" t="e">
        <f>VLOOKUP($A166,'S48'!$C:$BQ,52,0)</f>
        <v>#N/A</v>
      </c>
      <c r="AS166" s="115" t="e">
        <f>VLOOKUP($A166,'S48'!$C:$BQ,59,0)</f>
        <v>#N/A</v>
      </c>
      <c r="AT166" s="115" t="e">
        <f>VLOOKUP($A166,'S48'!$C:$BQ,60,0)</f>
        <v>#N/A</v>
      </c>
      <c r="AU166" s="107" t="e">
        <f>VLOOKUP($A166,'S49'!$C:$BQ,32,0)</f>
        <v>#N/A</v>
      </c>
      <c r="AV166" s="107" t="e">
        <f>VLOOKUP($A166,'S49'!$C:$BQ,39,0)</f>
        <v>#N/A</v>
      </c>
      <c r="AW166" s="107" t="e">
        <f>VLOOKUP($A166,'S49'!$C:$BQ,40,0)</f>
        <v>#N/A</v>
      </c>
      <c r="AX166" s="107" t="e">
        <f>VLOOKUP($A166,'S49'!$C:$BQ,22,0)</f>
        <v>#N/A</v>
      </c>
      <c r="AY166" s="115" t="e">
        <f>VLOOKUP($A166,'S49'!$C:$BQ,29,0)</f>
        <v>#N/A</v>
      </c>
      <c r="AZ166" s="115" t="e">
        <f>VLOOKUP($A166,'S49'!$C:$BQ,30,0)</f>
        <v>#N/A</v>
      </c>
      <c r="BA166" s="115" t="e">
        <f>VLOOKUP($A166,'S49'!$C:$BQ,52,0)</f>
        <v>#N/A</v>
      </c>
      <c r="BB166" s="115" t="e">
        <f>VLOOKUP($A166,'S49'!$C:$BQ,59,0)</f>
        <v>#N/A</v>
      </c>
      <c r="BC166" s="115" t="e">
        <f>VLOOKUP($A166,'S49'!$C:$BQ,60,0)</f>
        <v>#N/A</v>
      </c>
      <c r="BD166" s="107" t="e">
        <f>VLOOKUP($A166,'S50'!$C:$BQ,32,0)</f>
        <v>#N/A</v>
      </c>
      <c r="BE166" s="107" t="e">
        <f>VLOOKUP($A166,'S50'!$C:$BQ,39,0)</f>
        <v>#N/A</v>
      </c>
      <c r="BF166" s="107" t="e">
        <f>VLOOKUP($A166,'S50'!$C:$BQ,40,0)</f>
        <v>#N/A</v>
      </c>
      <c r="BG166" s="107" t="e">
        <f>VLOOKUP($A166,'S50'!$C:$BQ,22,0)</f>
        <v>#N/A</v>
      </c>
      <c r="BH166" s="115" t="e">
        <f>VLOOKUP($A166,'S50'!$C:$BQ,29,0)</f>
        <v>#N/A</v>
      </c>
      <c r="BI166" s="115" t="e">
        <f>VLOOKUP($A166,'S50'!$C:$BQ,30,0)</f>
        <v>#N/A</v>
      </c>
      <c r="BJ166" s="115" t="e">
        <f>VLOOKUP($A166,'S50'!$C:$BQ,52,0)</f>
        <v>#N/A</v>
      </c>
      <c r="BK166" s="115" t="e">
        <f>VLOOKUP($A166,'S50'!$C:$BQ,59,0)</f>
        <v>#N/A</v>
      </c>
      <c r="BL166" s="115" t="e">
        <f>VLOOKUP($A166,'S50'!$C:$BQ,60,0)</f>
        <v>#N/A</v>
      </c>
    </row>
    <row r="167" spans="1:64" x14ac:dyDescent="0.2">
      <c r="A167" s="106" t="s">
        <v>233</v>
      </c>
      <c r="B167" s="107">
        <f>VLOOKUP($A167,'S0 remplacer avec S44'!$C:$BQ,32,0)</f>
        <v>850.8</v>
      </c>
      <c r="C167" s="107">
        <f>VLOOKUP($A167,'S0 remplacer avec S44'!$C:$BQ,39,0)</f>
        <v>0</v>
      </c>
      <c r="D167" s="107">
        <f>VLOOKUP($A167,'S0 remplacer avec S44'!$C:$BQ,40,0)</f>
        <v>0</v>
      </c>
      <c r="E167" s="107">
        <f>VLOOKUP($A167,'S0 remplacer avec S44'!$C:$BQ,22,0)</f>
        <v>4151.0401000000002</v>
      </c>
      <c r="F167" s="115">
        <f>VLOOKUP($A167,'S0 remplacer avec S44'!$C:$BQ,29,0)</f>
        <v>1808</v>
      </c>
      <c r="G167" s="115">
        <f>VLOOKUP($A167,'S0 remplacer avec S44'!$C:$BQ,30,0)</f>
        <v>3000</v>
      </c>
      <c r="H167" s="115">
        <f>VLOOKUP($A167,'S0 remplacer avec S44'!$C:$BQ,52,0)</f>
        <v>782</v>
      </c>
      <c r="I167" s="115">
        <f>VLOOKUP($A167,'S0 remplacer avec S44'!$C:$BQ,59,0)</f>
        <v>0</v>
      </c>
      <c r="J167" s="115">
        <f>VLOOKUP($A167,'S0 remplacer avec S44'!$C:$BQ,60,0)</f>
        <v>0</v>
      </c>
      <c r="K167" s="107" t="e">
        <f>VLOOKUP($A167,'S45'!$C:$BQ,32,0)</f>
        <v>#N/A</v>
      </c>
      <c r="L167" s="107" t="e">
        <f>VLOOKUP($A167,'S45'!$C:$BQ,39,0)</f>
        <v>#N/A</v>
      </c>
      <c r="M167" s="107" t="e">
        <f>VLOOKUP($A167,'S45'!$C:$BQ,40,0)</f>
        <v>#N/A</v>
      </c>
      <c r="N167" s="107" t="e">
        <f>VLOOKUP($A167,'S45'!$C:$BQ,22,0)</f>
        <v>#N/A</v>
      </c>
      <c r="O167" s="115" t="e">
        <f>VLOOKUP($A167,'S45'!$C:$BQ,29,0)</f>
        <v>#N/A</v>
      </c>
      <c r="P167" s="115" t="e">
        <f>VLOOKUP($A167,'S45'!$C:$BQ,30,0)</f>
        <v>#N/A</v>
      </c>
      <c r="Q167" s="115" t="e">
        <f>VLOOKUP($A167,'S45'!$C:$BQ,52,0)</f>
        <v>#N/A</v>
      </c>
      <c r="R167" s="115" t="e">
        <f>VLOOKUP($A167,'S45'!$C:$BQ,59,0)</f>
        <v>#N/A</v>
      </c>
      <c r="S167" s="115" t="e">
        <f>VLOOKUP($A167,'S45'!$C:$BQ,60,0)</f>
        <v>#N/A</v>
      </c>
      <c r="T167" s="107" t="e">
        <f>VLOOKUP($A167,'S46'!$C:$BQ,32,0)</f>
        <v>#N/A</v>
      </c>
      <c r="U167" s="107" t="e">
        <f>VLOOKUP($A167,'S46'!$C:$BQ,39,0)</f>
        <v>#N/A</v>
      </c>
      <c r="V167" s="107" t="e">
        <f>VLOOKUP($A167,'S46'!$C:$BQ,40,0)</f>
        <v>#N/A</v>
      </c>
      <c r="W167" s="107" t="e">
        <f>VLOOKUP($A167,'S46'!$C:$BQ,22,0)</f>
        <v>#N/A</v>
      </c>
      <c r="X167" s="115" t="e">
        <f>VLOOKUP($A167,'S46'!$C:$BQ,29,0)</f>
        <v>#N/A</v>
      </c>
      <c r="Y167" s="115" t="e">
        <f>VLOOKUP($A167,'S46'!$C:$BQ,30,0)</f>
        <v>#N/A</v>
      </c>
      <c r="Z167" s="115" t="e">
        <f>VLOOKUP($A167,'S46'!$C:$BQ,52,0)</f>
        <v>#N/A</v>
      </c>
      <c r="AA167" s="115" t="e">
        <f>VLOOKUP($A167,'S46'!$C:$BQ,59,0)</f>
        <v>#N/A</v>
      </c>
      <c r="AB167" s="115" t="e">
        <f>VLOOKUP($A167,'S46'!$C:$BQ,60,0)</f>
        <v>#N/A</v>
      </c>
      <c r="AC167" s="107" t="e">
        <f>VLOOKUP($A167,'S47'!$C:$BQ,32,0)</f>
        <v>#N/A</v>
      </c>
      <c r="AD167" s="107" t="e">
        <f>VLOOKUP($A167,'S47'!$C:$BQ,39,0)</f>
        <v>#N/A</v>
      </c>
      <c r="AE167" s="107" t="e">
        <f>VLOOKUP($A167,'S47'!$C:$BQ,40,0)</f>
        <v>#N/A</v>
      </c>
      <c r="AF167" s="107" t="e">
        <f>VLOOKUP($A167,'S47'!$C:$BQ,22,0)</f>
        <v>#N/A</v>
      </c>
      <c r="AG167" s="115" t="e">
        <f>VLOOKUP($A167,'S47'!$C:$BQ,29,0)</f>
        <v>#N/A</v>
      </c>
      <c r="AH167" s="115" t="e">
        <f>VLOOKUP($A167,'S47'!$C:$BQ,30,0)</f>
        <v>#N/A</v>
      </c>
      <c r="AI167" s="115" t="e">
        <f>VLOOKUP($A167,'S47'!$C:$BQ,52,0)</f>
        <v>#N/A</v>
      </c>
      <c r="AJ167" s="115" t="e">
        <f>VLOOKUP($A167,'S47'!$C:$BQ,59,0)</f>
        <v>#N/A</v>
      </c>
      <c r="AK167" s="115" t="e">
        <f>VLOOKUP($A167,'S47'!$C:$BQ,60,0)</f>
        <v>#N/A</v>
      </c>
      <c r="AL167" s="107" t="e">
        <f>VLOOKUP($A167,'S48'!$C:$BQ,32,0)</f>
        <v>#N/A</v>
      </c>
      <c r="AM167" s="107" t="e">
        <f>VLOOKUP($A167,'S48'!$C:$BQ,39,0)</f>
        <v>#N/A</v>
      </c>
      <c r="AN167" s="107" t="e">
        <f>VLOOKUP($A167,'S48'!$C:$BQ,40,0)</f>
        <v>#N/A</v>
      </c>
      <c r="AO167" s="107" t="e">
        <f>VLOOKUP($A167,'S48'!$C:$BQ,22,0)</f>
        <v>#N/A</v>
      </c>
      <c r="AP167" s="115" t="e">
        <f>VLOOKUP($A167,'S48'!$C:$BQ,29,0)</f>
        <v>#N/A</v>
      </c>
      <c r="AQ167" s="115" t="e">
        <f>VLOOKUP($A167,'S48'!$C:$BQ,30,0)</f>
        <v>#N/A</v>
      </c>
      <c r="AR167" s="115" t="e">
        <f>VLOOKUP($A167,'S48'!$C:$BQ,52,0)</f>
        <v>#N/A</v>
      </c>
      <c r="AS167" s="115" t="e">
        <f>VLOOKUP($A167,'S48'!$C:$BQ,59,0)</f>
        <v>#N/A</v>
      </c>
      <c r="AT167" s="115" t="e">
        <f>VLOOKUP($A167,'S48'!$C:$BQ,60,0)</f>
        <v>#N/A</v>
      </c>
      <c r="AU167" s="107" t="e">
        <f>VLOOKUP($A167,'S49'!$C:$BQ,32,0)</f>
        <v>#N/A</v>
      </c>
      <c r="AV167" s="107" t="e">
        <f>VLOOKUP($A167,'S49'!$C:$BQ,39,0)</f>
        <v>#N/A</v>
      </c>
      <c r="AW167" s="107" t="e">
        <f>VLOOKUP($A167,'S49'!$C:$BQ,40,0)</f>
        <v>#N/A</v>
      </c>
      <c r="AX167" s="107" t="e">
        <f>VLOOKUP($A167,'S49'!$C:$BQ,22,0)</f>
        <v>#N/A</v>
      </c>
      <c r="AY167" s="115" t="e">
        <f>VLOOKUP($A167,'S49'!$C:$BQ,29,0)</f>
        <v>#N/A</v>
      </c>
      <c r="AZ167" s="115" t="e">
        <f>VLOOKUP($A167,'S49'!$C:$BQ,30,0)</f>
        <v>#N/A</v>
      </c>
      <c r="BA167" s="115" t="e">
        <f>VLOOKUP($A167,'S49'!$C:$BQ,52,0)</f>
        <v>#N/A</v>
      </c>
      <c r="BB167" s="115" t="e">
        <f>VLOOKUP($A167,'S49'!$C:$BQ,59,0)</f>
        <v>#N/A</v>
      </c>
      <c r="BC167" s="115" t="e">
        <f>VLOOKUP($A167,'S49'!$C:$BQ,60,0)</f>
        <v>#N/A</v>
      </c>
      <c r="BD167" s="107" t="e">
        <f>VLOOKUP($A167,'S50'!$C:$BQ,32,0)</f>
        <v>#N/A</v>
      </c>
      <c r="BE167" s="107" t="e">
        <f>VLOOKUP($A167,'S50'!$C:$BQ,39,0)</f>
        <v>#N/A</v>
      </c>
      <c r="BF167" s="107" t="e">
        <f>VLOOKUP($A167,'S50'!$C:$BQ,40,0)</f>
        <v>#N/A</v>
      </c>
      <c r="BG167" s="107" t="e">
        <f>VLOOKUP($A167,'S50'!$C:$BQ,22,0)</f>
        <v>#N/A</v>
      </c>
      <c r="BH167" s="115" t="e">
        <f>VLOOKUP($A167,'S50'!$C:$BQ,29,0)</f>
        <v>#N/A</v>
      </c>
      <c r="BI167" s="115" t="e">
        <f>VLOOKUP($A167,'S50'!$C:$BQ,30,0)</f>
        <v>#N/A</v>
      </c>
      <c r="BJ167" s="115" t="e">
        <f>VLOOKUP($A167,'S50'!$C:$BQ,52,0)</f>
        <v>#N/A</v>
      </c>
      <c r="BK167" s="115" t="e">
        <f>VLOOKUP($A167,'S50'!$C:$BQ,59,0)</f>
        <v>#N/A</v>
      </c>
      <c r="BL167" s="115" t="e">
        <f>VLOOKUP($A167,'S50'!$C:$BQ,60,0)</f>
        <v>#N/A</v>
      </c>
    </row>
    <row r="168" spans="1:64" x14ac:dyDescent="0.2">
      <c r="A168" s="106" t="s">
        <v>234</v>
      </c>
      <c r="B168" s="107">
        <f>VLOOKUP($A168,'S0 remplacer avec S44'!$C:$BQ,32,0)</f>
        <v>218.8</v>
      </c>
      <c r="C168" s="107">
        <f>VLOOKUP($A168,'S0 remplacer avec S44'!$C:$BQ,39,0)</f>
        <v>81</v>
      </c>
      <c r="D168" s="107">
        <f>VLOOKUP($A168,'S0 remplacer avec S44'!$C:$BQ,40,0)</f>
        <v>141</v>
      </c>
      <c r="E168" s="107">
        <f>VLOOKUP($A168,'S0 remplacer avec S44'!$C:$BQ,22,0)</f>
        <v>2123.9812449999999</v>
      </c>
      <c r="F168" s="115">
        <f>VLOOKUP($A168,'S0 remplacer avec S44'!$C:$BQ,29,0)</f>
        <v>598</v>
      </c>
      <c r="G168" s="115">
        <f>VLOOKUP($A168,'S0 remplacer avec S44'!$C:$BQ,30,0)</f>
        <v>1143</v>
      </c>
      <c r="H168" s="115">
        <f>VLOOKUP($A168,'S0 remplacer avec S44'!$C:$BQ,52,0)</f>
        <v>161.19999999999999</v>
      </c>
      <c r="I168" s="115">
        <f>VLOOKUP($A168,'S0 remplacer avec S44'!$C:$BQ,59,0)</f>
        <v>0</v>
      </c>
      <c r="J168" s="115">
        <f>VLOOKUP($A168,'S0 remplacer avec S44'!$C:$BQ,60,0)</f>
        <v>22</v>
      </c>
      <c r="K168" s="107" t="e">
        <f>VLOOKUP($A168,'S45'!$C:$BQ,32,0)</f>
        <v>#N/A</v>
      </c>
      <c r="L168" s="107" t="e">
        <f>VLOOKUP($A168,'S45'!$C:$BQ,39,0)</f>
        <v>#N/A</v>
      </c>
      <c r="M168" s="107" t="e">
        <f>VLOOKUP($A168,'S45'!$C:$BQ,40,0)</f>
        <v>#N/A</v>
      </c>
      <c r="N168" s="107" t="e">
        <f>VLOOKUP($A168,'S45'!$C:$BQ,22,0)</f>
        <v>#N/A</v>
      </c>
      <c r="O168" s="115" t="e">
        <f>VLOOKUP($A168,'S45'!$C:$BQ,29,0)</f>
        <v>#N/A</v>
      </c>
      <c r="P168" s="115" t="e">
        <f>VLOOKUP($A168,'S45'!$C:$BQ,30,0)</f>
        <v>#N/A</v>
      </c>
      <c r="Q168" s="115" t="e">
        <f>VLOOKUP($A168,'S45'!$C:$BQ,52,0)</f>
        <v>#N/A</v>
      </c>
      <c r="R168" s="115" t="e">
        <f>VLOOKUP($A168,'S45'!$C:$BQ,59,0)</f>
        <v>#N/A</v>
      </c>
      <c r="S168" s="115" t="e">
        <f>VLOOKUP($A168,'S45'!$C:$BQ,60,0)</f>
        <v>#N/A</v>
      </c>
      <c r="T168" s="107" t="e">
        <f>VLOOKUP($A168,'S46'!$C:$BQ,32,0)</f>
        <v>#N/A</v>
      </c>
      <c r="U168" s="107" t="e">
        <f>VLOOKUP($A168,'S46'!$C:$BQ,39,0)</f>
        <v>#N/A</v>
      </c>
      <c r="V168" s="107" t="e">
        <f>VLOOKUP($A168,'S46'!$C:$BQ,40,0)</f>
        <v>#N/A</v>
      </c>
      <c r="W168" s="107" t="e">
        <f>VLOOKUP($A168,'S46'!$C:$BQ,22,0)</f>
        <v>#N/A</v>
      </c>
      <c r="X168" s="115" t="e">
        <f>VLOOKUP($A168,'S46'!$C:$BQ,29,0)</f>
        <v>#N/A</v>
      </c>
      <c r="Y168" s="115" t="e">
        <f>VLOOKUP($A168,'S46'!$C:$BQ,30,0)</f>
        <v>#N/A</v>
      </c>
      <c r="Z168" s="115" t="e">
        <f>VLOOKUP($A168,'S46'!$C:$BQ,52,0)</f>
        <v>#N/A</v>
      </c>
      <c r="AA168" s="115" t="e">
        <f>VLOOKUP($A168,'S46'!$C:$BQ,59,0)</f>
        <v>#N/A</v>
      </c>
      <c r="AB168" s="115" t="e">
        <f>VLOOKUP($A168,'S46'!$C:$BQ,60,0)</f>
        <v>#N/A</v>
      </c>
      <c r="AC168" s="107" t="e">
        <f>VLOOKUP($A168,'S47'!$C:$BQ,32,0)</f>
        <v>#N/A</v>
      </c>
      <c r="AD168" s="107" t="e">
        <f>VLOOKUP($A168,'S47'!$C:$BQ,39,0)</f>
        <v>#N/A</v>
      </c>
      <c r="AE168" s="107" t="e">
        <f>VLOOKUP($A168,'S47'!$C:$BQ,40,0)</f>
        <v>#N/A</v>
      </c>
      <c r="AF168" s="107" t="e">
        <f>VLOOKUP($A168,'S47'!$C:$BQ,22,0)</f>
        <v>#N/A</v>
      </c>
      <c r="AG168" s="115" t="e">
        <f>VLOOKUP($A168,'S47'!$C:$BQ,29,0)</f>
        <v>#N/A</v>
      </c>
      <c r="AH168" s="115" t="e">
        <f>VLOOKUP($A168,'S47'!$C:$BQ,30,0)</f>
        <v>#N/A</v>
      </c>
      <c r="AI168" s="115" t="e">
        <f>VLOOKUP($A168,'S47'!$C:$BQ,52,0)</f>
        <v>#N/A</v>
      </c>
      <c r="AJ168" s="115" t="e">
        <f>VLOOKUP($A168,'S47'!$C:$BQ,59,0)</f>
        <v>#N/A</v>
      </c>
      <c r="AK168" s="115" t="e">
        <f>VLOOKUP($A168,'S47'!$C:$BQ,60,0)</f>
        <v>#N/A</v>
      </c>
      <c r="AL168" s="107" t="e">
        <f>VLOOKUP($A168,'S48'!$C:$BQ,32,0)</f>
        <v>#N/A</v>
      </c>
      <c r="AM168" s="107" t="e">
        <f>VLOOKUP($A168,'S48'!$C:$BQ,39,0)</f>
        <v>#N/A</v>
      </c>
      <c r="AN168" s="107" t="e">
        <f>VLOOKUP($A168,'S48'!$C:$BQ,40,0)</f>
        <v>#N/A</v>
      </c>
      <c r="AO168" s="107" t="e">
        <f>VLOOKUP($A168,'S48'!$C:$BQ,22,0)</f>
        <v>#N/A</v>
      </c>
      <c r="AP168" s="115" t="e">
        <f>VLOOKUP($A168,'S48'!$C:$BQ,29,0)</f>
        <v>#N/A</v>
      </c>
      <c r="AQ168" s="115" t="e">
        <f>VLOOKUP($A168,'S48'!$C:$BQ,30,0)</f>
        <v>#N/A</v>
      </c>
      <c r="AR168" s="115" t="e">
        <f>VLOOKUP($A168,'S48'!$C:$BQ,52,0)</f>
        <v>#N/A</v>
      </c>
      <c r="AS168" s="115" t="e">
        <f>VLOOKUP($A168,'S48'!$C:$BQ,59,0)</f>
        <v>#N/A</v>
      </c>
      <c r="AT168" s="115" t="e">
        <f>VLOOKUP($A168,'S48'!$C:$BQ,60,0)</f>
        <v>#N/A</v>
      </c>
      <c r="AU168" s="107" t="e">
        <f>VLOOKUP($A168,'S49'!$C:$BQ,32,0)</f>
        <v>#N/A</v>
      </c>
      <c r="AV168" s="107" t="e">
        <f>VLOOKUP($A168,'S49'!$C:$BQ,39,0)</f>
        <v>#N/A</v>
      </c>
      <c r="AW168" s="107" t="e">
        <f>VLOOKUP($A168,'S49'!$C:$BQ,40,0)</f>
        <v>#N/A</v>
      </c>
      <c r="AX168" s="107" t="e">
        <f>VLOOKUP($A168,'S49'!$C:$BQ,22,0)</f>
        <v>#N/A</v>
      </c>
      <c r="AY168" s="115" t="e">
        <f>VLOOKUP($A168,'S49'!$C:$BQ,29,0)</f>
        <v>#N/A</v>
      </c>
      <c r="AZ168" s="115" t="e">
        <f>VLOOKUP($A168,'S49'!$C:$BQ,30,0)</f>
        <v>#N/A</v>
      </c>
      <c r="BA168" s="115" t="e">
        <f>VLOOKUP($A168,'S49'!$C:$BQ,52,0)</f>
        <v>#N/A</v>
      </c>
      <c r="BB168" s="115" t="e">
        <f>VLOOKUP($A168,'S49'!$C:$BQ,59,0)</f>
        <v>#N/A</v>
      </c>
      <c r="BC168" s="115" t="e">
        <f>VLOOKUP($A168,'S49'!$C:$BQ,60,0)</f>
        <v>#N/A</v>
      </c>
      <c r="BD168" s="107" t="e">
        <f>VLOOKUP($A168,'S50'!$C:$BQ,32,0)</f>
        <v>#N/A</v>
      </c>
      <c r="BE168" s="107" t="e">
        <f>VLOOKUP($A168,'S50'!$C:$BQ,39,0)</f>
        <v>#N/A</v>
      </c>
      <c r="BF168" s="107" t="e">
        <f>VLOOKUP($A168,'S50'!$C:$BQ,40,0)</f>
        <v>#N/A</v>
      </c>
      <c r="BG168" s="107" t="e">
        <f>VLOOKUP($A168,'S50'!$C:$BQ,22,0)</f>
        <v>#N/A</v>
      </c>
      <c r="BH168" s="115" t="e">
        <f>VLOOKUP($A168,'S50'!$C:$BQ,29,0)</f>
        <v>#N/A</v>
      </c>
      <c r="BI168" s="115" t="e">
        <f>VLOOKUP($A168,'S50'!$C:$BQ,30,0)</f>
        <v>#N/A</v>
      </c>
      <c r="BJ168" s="115" t="e">
        <f>VLOOKUP($A168,'S50'!$C:$BQ,52,0)</f>
        <v>#N/A</v>
      </c>
      <c r="BK168" s="115" t="e">
        <f>VLOOKUP($A168,'S50'!$C:$BQ,59,0)</f>
        <v>#N/A</v>
      </c>
      <c r="BL168" s="115" t="e">
        <f>VLOOKUP($A168,'S50'!$C:$BQ,60,0)</f>
        <v>#N/A</v>
      </c>
    </row>
    <row r="169" spans="1:64" x14ac:dyDescent="0.2">
      <c r="A169" s="106" t="s">
        <v>235</v>
      </c>
      <c r="B169" s="107">
        <f>VLOOKUP($A169,'S0 remplacer avec S44'!$C:$BQ,32,0)</f>
        <v>162.80000000000001</v>
      </c>
      <c r="C169" s="107">
        <f>VLOOKUP($A169,'S0 remplacer avec S44'!$C:$BQ,39,0)</f>
        <v>46</v>
      </c>
      <c r="D169" s="107">
        <f>VLOOKUP($A169,'S0 remplacer avec S44'!$C:$BQ,40,0)</f>
        <v>87</v>
      </c>
      <c r="E169" s="107">
        <f>VLOOKUP($A169,'S0 remplacer avec S44'!$C:$BQ,22,0)</f>
        <v>1594.5323149999999</v>
      </c>
      <c r="F169" s="115">
        <f>VLOOKUP($A169,'S0 remplacer avec S44'!$C:$BQ,29,0)</f>
        <v>298</v>
      </c>
      <c r="G169" s="115">
        <f>VLOOKUP($A169,'S0 remplacer avec S44'!$C:$BQ,30,0)</f>
        <v>676</v>
      </c>
      <c r="H169" s="115">
        <f>VLOOKUP($A169,'S0 remplacer avec S44'!$C:$BQ,52,0)</f>
        <v>119.8</v>
      </c>
      <c r="I169" s="115">
        <f>VLOOKUP($A169,'S0 remplacer avec S44'!$C:$BQ,59,0)</f>
        <v>0</v>
      </c>
      <c r="J169" s="115">
        <f>VLOOKUP($A169,'S0 remplacer avec S44'!$C:$BQ,60,0)</f>
        <v>7</v>
      </c>
      <c r="K169" s="107" t="e">
        <f>VLOOKUP($A169,'S45'!$C:$BQ,32,0)</f>
        <v>#N/A</v>
      </c>
      <c r="L169" s="107" t="e">
        <f>VLOOKUP($A169,'S45'!$C:$BQ,39,0)</f>
        <v>#N/A</v>
      </c>
      <c r="M169" s="107" t="e">
        <f>VLOOKUP($A169,'S45'!$C:$BQ,40,0)</f>
        <v>#N/A</v>
      </c>
      <c r="N169" s="107" t="e">
        <f>VLOOKUP($A169,'S45'!$C:$BQ,22,0)</f>
        <v>#N/A</v>
      </c>
      <c r="O169" s="115" t="e">
        <f>VLOOKUP($A169,'S45'!$C:$BQ,29,0)</f>
        <v>#N/A</v>
      </c>
      <c r="P169" s="115" t="e">
        <f>VLOOKUP($A169,'S45'!$C:$BQ,30,0)</f>
        <v>#N/A</v>
      </c>
      <c r="Q169" s="115" t="e">
        <f>VLOOKUP($A169,'S45'!$C:$BQ,52,0)</f>
        <v>#N/A</v>
      </c>
      <c r="R169" s="115" t="e">
        <f>VLOOKUP($A169,'S45'!$C:$BQ,59,0)</f>
        <v>#N/A</v>
      </c>
      <c r="S169" s="115" t="e">
        <f>VLOOKUP($A169,'S45'!$C:$BQ,60,0)</f>
        <v>#N/A</v>
      </c>
      <c r="T169" s="107" t="e">
        <f>VLOOKUP($A169,'S46'!$C:$BQ,32,0)</f>
        <v>#N/A</v>
      </c>
      <c r="U169" s="107" t="e">
        <f>VLOOKUP($A169,'S46'!$C:$BQ,39,0)</f>
        <v>#N/A</v>
      </c>
      <c r="V169" s="107" t="e">
        <f>VLOOKUP($A169,'S46'!$C:$BQ,40,0)</f>
        <v>#N/A</v>
      </c>
      <c r="W169" s="107" t="e">
        <f>VLOOKUP($A169,'S46'!$C:$BQ,22,0)</f>
        <v>#N/A</v>
      </c>
      <c r="X169" s="115" t="e">
        <f>VLOOKUP($A169,'S46'!$C:$BQ,29,0)</f>
        <v>#N/A</v>
      </c>
      <c r="Y169" s="115" t="e">
        <f>VLOOKUP($A169,'S46'!$C:$BQ,30,0)</f>
        <v>#N/A</v>
      </c>
      <c r="Z169" s="115" t="e">
        <f>VLOOKUP($A169,'S46'!$C:$BQ,52,0)</f>
        <v>#N/A</v>
      </c>
      <c r="AA169" s="115" t="e">
        <f>VLOOKUP($A169,'S46'!$C:$BQ,59,0)</f>
        <v>#N/A</v>
      </c>
      <c r="AB169" s="115" t="e">
        <f>VLOOKUP($A169,'S46'!$C:$BQ,60,0)</f>
        <v>#N/A</v>
      </c>
      <c r="AC169" s="107" t="e">
        <f>VLOOKUP($A169,'S47'!$C:$BQ,32,0)</f>
        <v>#N/A</v>
      </c>
      <c r="AD169" s="107" t="e">
        <f>VLOOKUP($A169,'S47'!$C:$BQ,39,0)</f>
        <v>#N/A</v>
      </c>
      <c r="AE169" s="107" t="e">
        <f>VLOOKUP($A169,'S47'!$C:$BQ,40,0)</f>
        <v>#N/A</v>
      </c>
      <c r="AF169" s="107" t="e">
        <f>VLOOKUP($A169,'S47'!$C:$BQ,22,0)</f>
        <v>#N/A</v>
      </c>
      <c r="AG169" s="115" t="e">
        <f>VLOOKUP($A169,'S47'!$C:$BQ,29,0)</f>
        <v>#N/A</v>
      </c>
      <c r="AH169" s="115" t="e">
        <f>VLOOKUP($A169,'S47'!$C:$BQ,30,0)</f>
        <v>#N/A</v>
      </c>
      <c r="AI169" s="115" t="e">
        <f>VLOOKUP($A169,'S47'!$C:$BQ,52,0)</f>
        <v>#N/A</v>
      </c>
      <c r="AJ169" s="115" t="e">
        <f>VLOOKUP($A169,'S47'!$C:$BQ,59,0)</f>
        <v>#N/A</v>
      </c>
      <c r="AK169" s="115" t="e">
        <f>VLOOKUP($A169,'S47'!$C:$BQ,60,0)</f>
        <v>#N/A</v>
      </c>
      <c r="AL169" s="107" t="e">
        <f>VLOOKUP($A169,'S48'!$C:$BQ,32,0)</f>
        <v>#N/A</v>
      </c>
      <c r="AM169" s="107" t="e">
        <f>VLOOKUP($A169,'S48'!$C:$BQ,39,0)</f>
        <v>#N/A</v>
      </c>
      <c r="AN169" s="107" t="e">
        <f>VLOOKUP($A169,'S48'!$C:$BQ,40,0)</f>
        <v>#N/A</v>
      </c>
      <c r="AO169" s="107" t="e">
        <f>VLOOKUP($A169,'S48'!$C:$BQ,22,0)</f>
        <v>#N/A</v>
      </c>
      <c r="AP169" s="115" t="e">
        <f>VLOOKUP($A169,'S48'!$C:$BQ,29,0)</f>
        <v>#N/A</v>
      </c>
      <c r="AQ169" s="115" t="e">
        <f>VLOOKUP($A169,'S48'!$C:$BQ,30,0)</f>
        <v>#N/A</v>
      </c>
      <c r="AR169" s="115" t="e">
        <f>VLOOKUP($A169,'S48'!$C:$BQ,52,0)</f>
        <v>#N/A</v>
      </c>
      <c r="AS169" s="115" t="e">
        <f>VLOOKUP($A169,'S48'!$C:$BQ,59,0)</f>
        <v>#N/A</v>
      </c>
      <c r="AT169" s="115" t="e">
        <f>VLOOKUP($A169,'S48'!$C:$BQ,60,0)</f>
        <v>#N/A</v>
      </c>
      <c r="AU169" s="107" t="e">
        <f>VLOOKUP($A169,'S49'!$C:$BQ,32,0)</f>
        <v>#N/A</v>
      </c>
      <c r="AV169" s="107" t="e">
        <f>VLOOKUP($A169,'S49'!$C:$BQ,39,0)</f>
        <v>#N/A</v>
      </c>
      <c r="AW169" s="107" t="e">
        <f>VLOOKUP($A169,'S49'!$C:$BQ,40,0)</f>
        <v>#N/A</v>
      </c>
      <c r="AX169" s="107" t="e">
        <f>VLOOKUP($A169,'S49'!$C:$BQ,22,0)</f>
        <v>#N/A</v>
      </c>
      <c r="AY169" s="115" t="e">
        <f>VLOOKUP($A169,'S49'!$C:$BQ,29,0)</f>
        <v>#N/A</v>
      </c>
      <c r="AZ169" s="115" t="e">
        <f>VLOOKUP($A169,'S49'!$C:$BQ,30,0)</f>
        <v>#N/A</v>
      </c>
      <c r="BA169" s="115" t="e">
        <f>VLOOKUP($A169,'S49'!$C:$BQ,52,0)</f>
        <v>#N/A</v>
      </c>
      <c r="BB169" s="115" t="e">
        <f>VLOOKUP($A169,'S49'!$C:$BQ,59,0)</f>
        <v>#N/A</v>
      </c>
      <c r="BC169" s="115" t="e">
        <f>VLOOKUP($A169,'S49'!$C:$BQ,60,0)</f>
        <v>#N/A</v>
      </c>
      <c r="BD169" s="107" t="e">
        <f>VLOOKUP($A169,'S50'!$C:$BQ,32,0)</f>
        <v>#N/A</v>
      </c>
      <c r="BE169" s="107" t="e">
        <f>VLOOKUP($A169,'S50'!$C:$BQ,39,0)</f>
        <v>#N/A</v>
      </c>
      <c r="BF169" s="107" t="e">
        <f>VLOOKUP($A169,'S50'!$C:$BQ,40,0)</f>
        <v>#N/A</v>
      </c>
      <c r="BG169" s="107" t="e">
        <f>VLOOKUP($A169,'S50'!$C:$BQ,22,0)</f>
        <v>#N/A</v>
      </c>
      <c r="BH169" s="115" t="e">
        <f>VLOOKUP($A169,'S50'!$C:$BQ,29,0)</f>
        <v>#N/A</v>
      </c>
      <c r="BI169" s="115" t="e">
        <f>VLOOKUP($A169,'S50'!$C:$BQ,30,0)</f>
        <v>#N/A</v>
      </c>
      <c r="BJ169" s="115" t="e">
        <f>VLOOKUP($A169,'S50'!$C:$BQ,52,0)</f>
        <v>#N/A</v>
      </c>
      <c r="BK169" s="115" t="e">
        <f>VLOOKUP($A169,'S50'!$C:$BQ,59,0)</f>
        <v>#N/A</v>
      </c>
      <c r="BL169" s="115" t="e">
        <f>VLOOKUP($A169,'S50'!$C:$BQ,60,0)</f>
        <v>#N/A</v>
      </c>
    </row>
    <row r="170" spans="1:64" x14ac:dyDescent="0.2">
      <c r="A170" s="106" t="s">
        <v>236</v>
      </c>
      <c r="B170" s="107">
        <f>VLOOKUP($A170,'S0 remplacer avec S44'!$C:$BQ,32,0)</f>
        <v>139</v>
      </c>
      <c r="C170" s="107">
        <f>VLOOKUP($A170,'S0 remplacer avec S44'!$C:$BQ,39,0)</f>
        <v>113</v>
      </c>
      <c r="D170" s="107">
        <f>VLOOKUP($A170,'S0 remplacer avec S44'!$C:$BQ,40,0)</f>
        <v>163</v>
      </c>
      <c r="E170" s="107">
        <f>VLOOKUP($A170,'S0 remplacer avec S44'!$C:$BQ,22,0)</f>
        <v>1279.9856400000001</v>
      </c>
      <c r="F170" s="115">
        <f>VLOOKUP($A170,'S0 remplacer avec S44'!$C:$BQ,29,0)</f>
        <v>1004</v>
      </c>
      <c r="G170" s="115">
        <f>VLOOKUP($A170,'S0 remplacer avec S44'!$C:$BQ,30,0)</f>
        <v>1461</v>
      </c>
      <c r="H170" s="115">
        <f>VLOOKUP($A170,'S0 remplacer avec S44'!$C:$BQ,52,0)</f>
        <v>120.4</v>
      </c>
      <c r="I170" s="115">
        <f>VLOOKUP($A170,'S0 remplacer avec S44'!$C:$BQ,59,0)</f>
        <v>8</v>
      </c>
      <c r="J170" s="115">
        <f>VLOOKUP($A170,'S0 remplacer avec S44'!$C:$BQ,60,0)</f>
        <v>33</v>
      </c>
      <c r="K170" s="107" t="e">
        <f>VLOOKUP($A170,'S45'!$C:$BQ,32,0)</f>
        <v>#N/A</v>
      </c>
      <c r="L170" s="107" t="e">
        <f>VLOOKUP($A170,'S45'!$C:$BQ,39,0)</f>
        <v>#N/A</v>
      </c>
      <c r="M170" s="107" t="e">
        <f>VLOOKUP($A170,'S45'!$C:$BQ,40,0)</f>
        <v>#N/A</v>
      </c>
      <c r="N170" s="107" t="e">
        <f>VLOOKUP($A170,'S45'!$C:$BQ,22,0)</f>
        <v>#N/A</v>
      </c>
      <c r="O170" s="115" t="e">
        <f>VLOOKUP($A170,'S45'!$C:$BQ,29,0)</f>
        <v>#N/A</v>
      </c>
      <c r="P170" s="115" t="e">
        <f>VLOOKUP($A170,'S45'!$C:$BQ,30,0)</f>
        <v>#N/A</v>
      </c>
      <c r="Q170" s="115" t="e">
        <f>VLOOKUP($A170,'S45'!$C:$BQ,52,0)</f>
        <v>#N/A</v>
      </c>
      <c r="R170" s="115" t="e">
        <f>VLOOKUP($A170,'S45'!$C:$BQ,59,0)</f>
        <v>#N/A</v>
      </c>
      <c r="S170" s="115" t="e">
        <f>VLOOKUP($A170,'S45'!$C:$BQ,60,0)</f>
        <v>#N/A</v>
      </c>
      <c r="T170" s="107" t="e">
        <f>VLOOKUP($A170,'S46'!$C:$BQ,32,0)</f>
        <v>#N/A</v>
      </c>
      <c r="U170" s="107" t="e">
        <f>VLOOKUP($A170,'S46'!$C:$BQ,39,0)</f>
        <v>#N/A</v>
      </c>
      <c r="V170" s="107" t="e">
        <f>VLOOKUP($A170,'S46'!$C:$BQ,40,0)</f>
        <v>#N/A</v>
      </c>
      <c r="W170" s="107" t="e">
        <f>VLOOKUP($A170,'S46'!$C:$BQ,22,0)</f>
        <v>#N/A</v>
      </c>
      <c r="X170" s="115" t="e">
        <f>VLOOKUP($A170,'S46'!$C:$BQ,29,0)</f>
        <v>#N/A</v>
      </c>
      <c r="Y170" s="115" t="e">
        <f>VLOOKUP($A170,'S46'!$C:$BQ,30,0)</f>
        <v>#N/A</v>
      </c>
      <c r="Z170" s="115" t="e">
        <f>VLOOKUP($A170,'S46'!$C:$BQ,52,0)</f>
        <v>#N/A</v>
      </c>
      <c r="AA170" s="115" t="e">
        <f>VLOOKUP($A170,'S46'!$C:$BQ,59,0)</f>
        <v>#N/A</v>
      </c>
      <c r="AB170" s="115" t="e">
        <f>VLOOKUP($A170,'S46'!$C:$BQ,60,0)</f>
        <v>#N/A</v>
      </c>
      <c r="AC170" s="107" t="e">
        <f>VLOOKUP($A170,'S47'!$C:$BQ,32,0)</f>
        <v>#N/A</v>
      </c>
      <c r="AD170" s="107" t="e">
        <f>VLOOKUP($A170,'S47'!$C:$BQ,39,0)</f>
        <v>#N/A</v>
      </c>
      <c r="AE170" s="107" t="e">
        <f>VLOOKUP($A170,'S47'!$C:$BQ,40,0)</f>
        <v>#N/A</v>
      </c>
      <c r="AF170" s="107" t="e">
        <f>VLOOKUP($A170,'S47'!$C:$BQ,22,0)</f>
        <v>#N/A</v>
      </c>
      <c r="AG170" s="115" t="e">
        <f>VLOOKUP($A170,'S47'!$C:$BQ,29,0)</f>
        <v>#N/A</v>
      </c>
      <c r="AH170" s="115" t="e">
        <f>VLOOKUP($A170,'S47'!$C:$BQ,30,0)</f>
        <v>#N/A</v>
      </c>
      <c r="AI170" s="115" t="e">
        <f>VLOOKUP($A170,'S47'!$C:$BQ,52,0)</f>
        <v>#N/A</v>
      </c>
      <c r="AJ170" s="115" t="e">
        <f>VLOOKUP($A170,'S47'!$C:$BQ,59,0)</f>
        <v>#N/A</v>
      </c>
      <c r="AK170" s="115" t="e">
        <f>VLOOKUP($A170,'S47'!$C:$BQ,60,0)</f>
        <v>#N/A</v>
      </c>
      <c r="AL170" s="107" t="e">
        <f>VLOOKUP($A170,'S48'!$C:$BQ,32,0)</f>
        <v>#N/A</v>
      </c>
      <c r="AM170" s="107" t="e">
        <f>VLOOKUP($A170,'S48'!$C:$BQ,39,0)</f>
        <v>#N/A</v>
      </c>
      <c r="AN170" s="107" t="e">
        <f>VLOOKUP($A170,'S48'!$C:$BQ,40,0)</f>
        <v>#N/A</v>
      </c>
      <c r="AO170" s="107" t="e">
        <f>VLOOKUP($A170,'S48'!$C:$BQ,22,0)</f>
        <v>#N/A</v>
      </c>
      <c r="AP170" s="115" t="e">
        <f>VLOOKUP($A170,'S48'!$C:$BQ,29,0)</f>
        <v>#N/A</v>
      </c>
      <c r="AQ170" s="115" t="e">
        <f>VLOOKUP($A170,'S48'!$C:$BQ,30,0)</f>
        <v>#N/A</v>
      </c>
      <c r="AR170" s="115" t="e">
        <f>VLOOKUP($A170,'S48'!$C:$BQ,52,0)</f>
        <v>#N/A</v>
      </c>
      <c r="AS170" s="115" t="e">
        <f>VLOOKUP($A170,'S48'!$C:$BQ,59,0)</f>
        <v>#N/A</v>
      </c>
      <c r="AT170" s="115" t="e">
        <f>VLOOKUP($A170,'S48'!$C:$BQ,60,0)</f>
        <v>#N/A</v>
      </c>
      <c r="AU170" s="107" t="e">
        <f>VLOOKUP($A170,'S49'!$C:$BQ,32,0)</f>
        <v>#N/A</v>
      </c>
      <c r="AV170" s="107" t="e">
        <f>VLOOKUP($A170,'S49'!$C:$BQ,39,0)</f>
        <v>#N/A</v>
      </c>
      <c r="AW170" s="107" t="e">
        <f>VLOOKUP($A170,'S49'!$C:$BQ,40,0)</f>
        <v>#N/A</v>
      </c>
      <c r="AX170" s="107" t="e">
        <f>VLOOKUP($A170,'S49'!$C:$BQ,22,0)</f>
        <v>#N/A</v>
      </c>
      <c r="AY170" s="115" t="e">
        <f>VLOOKUP($A170,'S49'!$C:$BQ,29,0)</f>
        <v>#N/A</v>
      </c>
      <c r="AZ170" s="115" t="e">
        <f>VLOOKUP($A170,'S49'!$C:$BQ,30,0)</f>
        <v>#N/A</v>
      </c>
      <c r="BA170" s="115" t="e">
        <f>VLOOKUP($A170,'S49'!$C:$BQ,52,0)</f>
        <v>#N/A</v>
      </c>
      <c r="BB170" s="115" t="e">
        <f>VLOOKUP($A170,'S49'!$C:$BQ,59,0)</f>
        <v>#N/A</v>
      </c>
      <c r="BC170" s="115" t="e">
        <f>VLOOKUP($A170,'S49'!$C:$BQ,60,0)</f>
        <v>#N/A</v>
      </c>
      <c r="BD170" s="107" t="e">
        <f>VLOOKUP($A170,'S50'!$C:$BQ,32,0)</f>
        <v>#N/A</v>
      </c>
      <c r="BE170" s="107" t="e">
        <f>VLOOKUP($A170,'S50'!$C:$BQ,39,0)</f>
        <v>#N/A</v>
      </c>
      <c r="BF170" s="107" t="e">
        <f>VLOOKUP($A170,'S50'!$C:$BQ,40,0)</f>
        <v>#N/A</v>
      </c>
      <c r="BG170" s="107" t="e">
        <f>VLOOKUP($A170,'S50'!$C:$BQ,22,0)</f>
        <v>#N/A</v>
      </c>
      <c r="BH170" s="115" t="e">
        <f>VLOOKUP($A170,'S50'!$C:$BQ,29,0)</f>
        <v>#N/A</v>
      </c>
      <c r="BI170" s="115" t="e">
        <f>VLOOKUP($A170,'S50'!$C:$BQ,30,0)</f>
        <v>#N/A</v>
      </c>
      <c r="BJ170" s="115" t="e">
        <f>VLOOKUP($A170,'S50'!$C:$BQ,52,0)</f>
        <v>#N/A</v>
      </c>
      <c r="BK170" s="115" t="e">
        <f>VLOOKUP($A170,'S50'!$C:$BQ,59,0)</f>
        <v>#N/A</v>
      </c>
      <c r="BL170" s="115" t="e">
        <f>VLOOKUP($A170,'S50'!$C:$BQ,60,0)</f>
        <v>#N/A</v>
      </c>
    </row>
    <row r="171" spans="1:64" x14ac:dyDescent="0.2">
      <c r="A171" s="106" t="s">
        <v>237</v>
      </c>
      <c r="B171" s="107">
        <f>VLOOKUP($A171,'S0 remplacer avec S44'!$C:$BQ,32,0)</f>
        <v>124.4</v>
      </c>
      <c r="C171" s="107">
        <f>VLOOKUP($A171,'S0 remplacer avec S44'!$C:$BQ,39,0)</f>
        <v>65</v>
      </c>
      <c r="D171" s="107">
        <f>VLOOKUP($A171,'S0 remplacer avec S44'!$C:$BQ,40,0)</f>
        <v>103</v>
      </c>
      <c r="E171" s="107">
        <f>VLOOKUP($A171,'S0 remplacer avec S44'!$C:$BQ,22,0)</f>
        <v>1194.6413299999999</v>
      </c>
      <c r="F171" s="115">
        <f>VLOOKUP($A171,'S0 remplacer avec S44'!$C:$BQ,29,0)</f>
        <v>526</v>
      </c>
      <c r="G171" s="115">
        <f>VLOOKUP($A171,'S0 remplacer avec S44'!$C:$BQ,30,0)</f>
        <v>870</v>
      </c>
      <c r="H171" s="115">
        <f>VLOOKUP($A171,'S0 remplacer avec S44'!$C:$BQ,52,0)</f>
        <v>121.2</v>
      </c>
      <c r="I171" s="115">
        <f>VLOOKUP($A171,'S0 remplacer avec S44'!$C:$BQ,59,0)</f>
        <v>0</v>
      </c>
      <c r="J171" s="115">
        <f>VLOOKUP($A171,'S0 remplacer avec S44'!$C:$BQ,60,0)</f>
        <v>0</v>
      </c>
      <c r="K171" s="107" t="e">
        <f>VLOOKUP($A171,'S45'!$C:$BQ,32,0)</f>
        <v>#N/A</v>
      </c>
      <c r="L171" s="107" t="e">
        <f>VLOOKUP($A171,'S45'!$C:$BQ,39,0)</f>
        <v>#N/A</v>
      </c>
      <c r="M171" s="107" t="e">
        <f>VLOOKUP($A171,'S45'!$C:$BQ,40,0)</f>
        <v>#N/A</v>
      </c>
      <c r="N171" s="107" t="e">
        <f>VLOOKUP($A171,'S45'!$C:$BQ,22,0)</f>
        <v>#N/A</v>
      </c>
      <c r="O171" s="115" t="e">
        <f>VLOOKUP($A171,'S45'!$C:$BQ,29,0)</f>
        <v>#N/A</v>
      </c>
      <c r="P171" s="115" t="e">
        <f>VLOOKUP($A171,'S45'!$C:$BQ,30,0)</f>
        <v>#N/A</v>
      </c>
      <c r="Q171" s="115" t="e">
        <f>VLOOKUP($A171,'S45'!$C:$BQ,52,0)</f>
        <v>#N/A</v>
      </c>
      <c r="R171" s="115" t="e">
        <f>VLOOKUP($A171,'S45'!$C:$BQ,59,0)</f>
        <v>#N/A</v>
      </c>
      <c r="S171" s="115" t="e">
        <f>VLOOKUP($A171,'S45'!$C:$BQ,60,0)</f>
        <v>#N/A</v>
      </c>
      <c r="T171" s="107" t="e">
        <f>VLOOKUP($A171,'S46'!$C:$BQ,32,0)</f>
        <v>#N/A</v>
      </c>
      <c r="U171" s="107" t="e">
        <f>VLOOKUP($A171,'S46'!$C:$BQ,39,0)</f>
        <v>#N/A</v>
      </c>
      <c r="V171" s="107" t="e">
        <f>VLOOKUP($A171,'S46'!$C:$BQ,40,0)</f>
        <v>#N/A</v>
      </c>
      <c r="W171" s="107" t="e">
        <f>VLOOKUP($A171,'S46'!$C:$BQ,22,0)</f>
        <v>#N/A</v>
      </c>
      <c r="X171" s="115" t="e">
        <f>VLOOKUP($A171,'S46'!$C:$BQ,29,0)</f>
        <v>#N/A</v>
      </c>
      <c r="Y171" s="115" t="e">
        <f>VLOOKUP($A171,'S46'!$C:$BQ,30,0)</f>
        <v>#N/A</v>
      </c>
      <c r="Z171" s="115" t="e">
        <f>VLOOKUP($A171,'S46'!$C:$BQ,52,0)</f>
        <v>#N/A</v>
      </c>
      <c r="AA171" s="115" t="e">
        <f>VLOOKUP($A171,'S46'!$C:$BQ,59,0)</f>
        <v>#N/A</v>
      </c>
      <c r="AB171" s="115" t="e">
        <f>VLOOKUP($A171,'S46'!$C:$BQ,60,0)</f>
        <v>#N/A</v>
      </c>
      <c r="AC171" s="107" t="e">
        <f>VLOOKUP($A171,'S47'!$C:$BQ,32,0)</f>
        <v>#N/A</v>
      </c>
      <c r="AD171" s="107" t="e">
        <f>VLOOKUP($A171,'S47'!$C:$BQ,39,0)</f>
        <v>#N/A</v>
      </c>
      <c r="AE171" s="107" t="e">
        <f>VLOOKUP($A171,'S47'!$C:$BQ,40,0)</f>
        <v>#N/A</v>
      </c>
      <c r="AF171" s="107" t="e">
        <f>VLOOKUP($A171,'S47'!$C:$BQ,22,0)</f>
        <v>#N/A</v>
      </c>
      <c r="AG171" s="115" t="e">
        <f>VLOOKUP($A171,'S47'!$C:$BQ,29,0)</f>
        <v>#N/A</v>
      </c>
      <c r="AH171" s="115" t="e">
        <f>VLOOKUP($A171,'S47'!$C:$BQ,30,0)</f>
        <v>#N/A</v>
      </c>
      <c r="AI171" s="115" t="e">
        <f>VLOOKUP($A171,'S47'!$C:$BQ,52,0)</f>
        <v>#N/A</v>
      </c>
      <c r="AJ171" s="115" t="e">
        <f>VLOOKUP($A171,'S47'!$C:$BQ,59,0)</f>
        <v>#N/A</v>
      </c>
      <c r="AK171" s="115" t="e">
        <f>VLOOKUP($A171,'S47'!$C:$BQ,60,0)</f>
        <v>#N/A</v>
      </c>
      <c r="AL171" s="107" t="e">
        <f>VLOOKUP($A171,'S48'!$C:$BQ,32,0)</f>
        <v>#N/A</v>
      </c>
      <c r="AM171" s="107" t="e">
        <f>VLOOKUP($A171,'S48'!$C:$BQ,39,0)</f>
        <v>#N/A</v>
      </c>
      <c r="AN171" s="107" t="e">
        <f>VLOOKUP($A171,'S48'!$C:$BQ,40,0)</f>
        <v>#N/A</v>
      </c>
      <c r="AO171" s="107" t="e">
        <f>VLOOKUP($A171,'S48'!$C:$BQ,22,0)</f>
        <v>#N/A</v>
      </c>
      <c r="AP171" s="115" t="e">
        <f>VLOOKUP($A171,'S48'!$C:$BQ,29,0)</f>
        <v>#N/A</v>
      </c>
      <c r="AQ171" s="115" t="e">
        <f>VLOOKUP($A171,'S48'!$C:$BQ,30,0)</f>
        <v>#N/A</v>
      </c>
      <c r="AR171" s="115" t="e">
        <f>VLOOKUP($A171,'S48'!$C:$BQ,52,0)</f>
        <v>#N/A</v>
      </c>
      <c r="AS171" s="115" t="e">
        <f>VLOOKUP($A171,'S48'!$C:$BQ,59,0)</f>
        <v>#N/A</v>
      </c>
      <c r="AT171" s="115" t="e">
        <f>VLOOKUP($A171,'S48'!$C:$BQ,60,0)</f>
        <v>#N/A</v>
      </c>
      <c r="AU171" s="107" t="e">
        <f>VLOOKUP($A171,'S49'!$C:$BQ,32,0)</f>
        <v>#N/A</v>
      </c>
      <c r="AV171" s="107" t="e">
        <f>VLOOKUP($A171,'S49'!$C:$BQ,39,0)</f>
        <v>#N/A</v>
      </c>
      <c r="AW171" s="107" t="e">
        <f>VLOOKUP($A171,'S49'!$C:$BQ,40,0)</f>
        <v>#N/A</v>
      </c>
      <c r="AX171" s="107" t="e">
        <f>VLOOKUP($A171,'S49'!$C:$BQ,22,0)</f>
        <v>#N/A</v>
      </c>
      <c r="AY171" s="115" t="e">
        <f>VLOOKUP($A171,'S49'!$C:$BQ,29,0)</f>
        <v>#N/A</v>
      </c>
      <c r="AZ171" s="115" t="e">
        <f>VLOOKUP($A171,'S49'!$C:$BQ,30,0)</f>
        <v>#N/A</v>
      </c>
      <c r="BA171" s="115" t="e">
        <f>VLOOKUP($A171,'S49'!$C:$BQ,52,0)</f>
        <v>#N/A</v>
      </c>
      <c r="BB171" s="115" t="e">
        <f>VLOOKUP($A171,'S49'!$C:$BQ,59,0)</f>
        <v>#N/A</v>
      </c>
      <c r="BC171" s="115" t="e">
        <f>VLOOKUP($A171,'S49'!$C:$BQ,60,0)</f>
        <v>#N/A</v>
      </c>
      <c r="BD171" s="107" t="e">
        <f>VLOOKUP($A171,'S50'!$C:$BQ,32,0)</f>
        <v>#N/A</v>
      </c>
      <c r="BE171" s="107" t="e">
        <f>VLOOKUP($A171,'S50'!$C:$BQ,39,0)</f>
        <v>#N/A</v>
      </c>
      <c r="BF171" s="107" t="e">
        <f>VLOOKUP($A171,'S50'!$C:$BQ,40,0)</f>
        <v>#N/A</v>
      </c>
      <c r="BG171" s="107" t="e">
        <f>VLOOKUP($A171,'S50'!$C:$BQ,22,0)</f>
        <v>#N/A</v>
      </c>
      <c r="BH171" s="115" t="e">
        <f>VLOOKUP($A171,'S50'!$C:$BQ,29,0)</f>
        <v>#N/A</v>
      </c>
      <c r="BI171" s="115" t="e">
        <f>VLOOKUP($A171,'S50'!$C:$BQ,30,0)</f>
        <v>#N/A</v>
      </c>
      <c r="BJ171" s="115" t="e">
        <f>VLOOKUP($A171,'S50'!$C:$BQ,52,0)</f>
        <v>#N/A</v>
      </c>
      <c r="BK171" s="115" t="e">
        <f>VLOOKUP($A171,'S50'!$C:$BQ,59,0)</f>
        <v>#N/A</v>
      </c>
      <c r="BL171" s="115" t="e">
        <f>VLOOKUP($A171,'S50'!$C:$BQ,60,0)</f>
        <v>#N/A</v>
      </c>
    </row>
    <row r="172" spans="1:64" x14ac:dyDescent="0.2">
      <c r="A172" s="106" t="s">
        <v>238</v>
      </c>
      <c r="B172" s="107">
        <f>VLOOKUP($A172,'S0 remplacer avec S44'!$C:$BQ,32,0)</f>
        <v>177.85</v>
      </c>
      <c r="C172" s="107">
        <f>VLOOKUP($A172,'S0 remplacer avec S44'!$C:$BQ,39,0)</f>
        <v>0</v>
      </c>
      <c r="D172" s="107">
        <f>VLOOKUP($A172,'S0 remplacer avec S44'!$C:$BQ,40,0)</f>
        <v>27</v>
      </c>
      <c r="E172" s="107">
        <f>VLOOKUP($A172,'S0 remplacer avec S44'!$C:$BQ,22,0)</f>
        <v>1766.9174949999999</v>
      </c>
      <c r="F172" s="115">
        <f>VLOOKUP($A172,'S0 remplacer avec S44'!$C:$BQ,29,0)</f>
        <v>0</v>
      </c>
      <c r="G172" s="115">
        <f>VLOOKUP($A172,'S0 remplacer avec S44'!$C:$BQ,30,0)</f>
        <v>95</v>
      </c>
      <c r="H172" s="115">
        <f>VLOOKUP($A172,'S0 remplacer avec S44'!$C:$BQ,52,0)</f>
        <v>113.8</v>
      </c>
      <c r="I172" s="115">
        <f>VLOOKUP($A172,'S0 remplacer avec S44'!$C:$BQ,59,0)</f>
        <v>0</v>
      </c>
      <c r="J172" s="115">
        <f>VLOOKUP($A172,'S0 remplacer avec S44'!$C:$BQ,60,0)</f>
        <v>0</v>
      </c>
      <c r="K172" s="107" t="e">
        <f>VLOOKUP($A172,'S45'!$C:$BQ,32,0)</f>
        <v>#N/A</v>
      </c>
      <c r="L172" s="107" t="e">
        <f>VLOOKUP($A172,'S45'!$C:$BQ,39,0)</f>
        <v>#N/A</v>
      </c>
      <c r="M172" s="107" t="e">
        <f>VLOOKUP($A172,'S45'!$C:$BQ,40,0)</f>
        <v>#N/A</v>
      </c>
      <c r="N172" s="107" t="e">
        <f>VLOOKUP($A172,'S45'!$C:$BQ,22,0)</f>
        <v>#N/A</v>
      </c>
      <c r="O172" s="115" t="e">
        <f>VLOOKUP($A172,'S45'!$C:$BQ,29,0)</f>
        <v>#N/A</v>
      </c>
      <c r="P172" s="115" t="e">
        <f>VLOOKUP($A172,'S45'!$C:$BQ,30,0)</f>
        <v>#N/A</v>
      </c>
      <c r="Q172" s="115" t="e">
        <f>VLOOKUP($A172,'S45'!$C:$BQ,52,0)</f>
        <v>#N/A</v>
      </c>
      <c r="R172" s="115" t="e">
        <f>VLOOKUP($A172,'S45'!$C:$BQ,59,0)</f>
        <v>#N/A</v>
      </c>
      <c r="S172" s="115" t="e">
        <f>VLOOKUP($A172,'S45'!$C:$BQ,60,0)</f>
        <v>#N/A</v>
      </c>
      <c r="T172" s="107" t="e">
        <f>VLOOKUP($A172,'S46'!$C:$BQ,32,0)</f>
        <v>#N/A</v>
      </c>
      <c r="U172" s="107" t="e">
        <f>VLOOKUP($A172,'S46'!$C:$BQ,39,0)</f>
        <v>#N/A</v>
      </c>
      <c r="V172" s="107" t="e">
        <f>VLOOKUP($A172,'S46'!$C:$BQ,40,0)</f>
        <v>#N/A</v>
      </c>
      <c r="W172" s="107" t="e">
        <f>VLOOKUP($A172,'S46'!$C:$BQ,22,0)</f>
        <v>#N/A</v>
      </c>
      <c r="X172" s="115" t="e">
        <f>VLOOKUP($A172,'S46'!$C:$BQ,29,0)</f>
        <v>#N/A</v>
      </c>
      <c r="Y172" s="115" t="e">
        <f>VLOOKUP($A172,'S46'!$C:$BQ,30,0)</f>
        <v>#N/A</v>
      </c>
      <c r="Z172" s="115" t="e">
        <f>VLOOKUP($A172,'S46'!$C:$BQ,52,0)</f>
        <v>#N/A</v>
      </c>
      <c r="AA172" s="115" t="e">
        <f>VLOOKUP($A172,'S46'!$C:$BQ,59,0)</f>
        <v>#N/A</v>
      </c>
      <c r="AB172" s="115" t="e">
        <f>VLOOKUP($A172,'S46'!$C:$BQ,60,0)</f>
        <v>#N/A</v>
      </c>
      <c r="AC172" s="107" t="e">
        <f>VLOOKUP($A172,'S47'!$C:$BQ,32,0)</f>
        <v>#N/A</v>
      </c>
      <c r="AD172" s="107" t="e">
        <f>VLOOKUP($A172,'S47'!$C:$BQ,39,0)</f>
        <v>#N/A</v>
      </c>
      <c r="AE172" s="107" t="e">
        <f>VLOOKUP($A172,'S47'!$C:$BQ,40,0)</f>
        <v>#N/A</v>
      </c>
      <c r="AF172" s="107" t="e">
        <f>VLOOKUP($A172,'S47'!$C:$BQ,22,0)</f>
        <v>#N/A</v>
      </c>
      <c r="AG172" s="115" t="e">
        <f>VLOOKUP($A172,'S47'!$C:$BQ,29,0)</f>
        <v>#N/A</v>
      </c>
      <c r="AH172" s="115" t="e">
        <f>VLOOKUP($A172,'S47'!$C:$BQ,30,0)</f>
        <v>#N/A</v>
      </c>
      <c r="AI172" s="115" t="e">
        <f>VLOOKUP($A172,'S47'!$C:$BQ,52,0)</f>
        <v>#N/A</v>
      </c>
      <c r="AJ172" s="115" t="e">
        <f>VLOOKUP($A172,'S47'!$C:$BQ,59,0)</f>
        <v>#N/A</v>
      </c>
      <c r="AK172" s="115" t="e">
        <f>VLOOKUP($A172,'S47'!$C:$BQ,60,0)</f>
        <v>#N/A</v>
      </c>
      <c r="AL172" s="107" t="e">
        <f>VLOOKUP($A172,'S48'!$C:$BQ,32,0)</f>
        <v>#N/A</v>
      </c>
      <c r="AM172" s="107" t="e">
        <f>VLOOKUP($A172,'S48'!$C:$BQ,39,0)</f>
        <v>#N/A</v>
      </c>
      <c r="AN172" s="107" t="e">
        <f>VLOOKUP($A172,'S48'!$C:$BQ,40,0)</f>
        <v>#N/A</v>
      </c>
      <c r="AO172" s="107" t="e">
        <f>VLOOKUP($A172,'S48'!$C:$BQ,22,0)</f>
        <v>#N/A</v>
      </c>
      <c r="AP172" s="115" t="e">
        <f>VLOOKUP($A172,'S48'!$C:$BQ,29,0)</f>
        <v>#N/A</v>
      </c>
      <c r="AQ172" s="115" t="e">
        <f>VLOOKUP($A172,'S48'!$C:$BQ,30,0)</f>
        <v>#N/A</v>
      </c>
      <c r="AR172" s="115" t="e">
        <f>VLOOKUP($A172,'S48'!$C:$BQ,52,0)</f>
        <v>#N/A</v>
      </c>
      <c r="AS172" s="115" t="e">
        <f>VLOOKUP($A172,'S48'!$C:$BQ,59,0)</f>
        <v>#N/A</v>
      </c>
      <c r="AT172" s="115" t="e">
        <f>VLOOKUP($A172,'S48'!$C:$BQ,60,0)</f>
        <v>#N/A</v>
      </c>
      <c r="AU172" s="107" t="e">
        <f>VLOOKUP($A172,'S49'!$C:$BQ,32,0)</f>
        <v>#N/A</v>
      </c>
      <c r="AV172" s="107" t="e">
        <f>VLOOKUP($A172,'S49'!$C:$BQ,39,0)</f>
        <v>#N/A</v>
      </c>
      <c r="AW172" s="107" t="e">
        <f>VLOOKUP($A172,'S49'!$C:$BQ,40,0)</f>
        <v>#N/A</v>
      </c>
      <c r="AX172" s="107" t="e">
        <f>VLOOKUP($A172,'S49'!$C:$BQ,22,0)</f>
        <v>#N/A</v>
      </c>
      <c r="AY172" s="115" t="e">
        <f>VLOOKUP($A172,'S49'!$C:$BQ,29,0)</f>
        <v>#N/A</v>
      </c>
      <c r="AZ172" s="115" t="e">
        <f>VLOOKUP($A172,'S49'!$C:$BQ,30,0)</f>
        <v>#N/A</v>
      </c>
      <c r="BA172" s="115" t="e">
        <f>VLOOKUP($A172,'S49'!$C:$BQ,52,0)</f>
        <v>#N/A</v>
      </c>
      <c r="BB172" s="115" t="e">
        <f>VLOOKUP($A172,'S49'!$C:$BQ,59,0)</f>
        <v>#N/A</v>
      </c>
      <c r="BC172" s="115" t="e">
        <f>VLOOKUP($A172,'S49'!$C:$BQ,60,0)</f>
        <v>#N/A</v>
      </c>
      <c r="BD172" s="107" t="e">
        <f>VLOOKUP($A172,'S50'!$C:$BQ,32,0)</f>
        <v>#N/A</v>
      </c>
      <c r="BE172" s="107" t="e">
        <f>VLOOKUP($A172,'S50'!$C:$BQ,39,0)</f>
        <v>#N/A</v>
      </c>
      <c r="BF172" s="107" t="e">
        <f>VLOOKUP($A172,'S50'!$C:$BQ,40,0)</f>
        <v>#N/A</v>
      </c>
      <c r="BG172" s="107" t="e">
        <f>VLOOKUP($A172,'S50'!$C:$BQ,22,0)</f>
        <v>#N/A</v>
      </c>
      <c r="BH172" s="115" t="e">
        <f>VLOOKUP($A172,'S50'!$C:$BQ,29,0)</f>
        <v>#N/A</v>
      </c>
      <c r="BI172" s="115" t="e">
        <f>VLOOKUP($A172,'S50'!$C:$BQ,30,0)</f>
        <v>#N/A</v>
      </c>
      <c r="BJ172" s="115" t="e">
        <f>VLOOKUP($A172,'S50'!$C:$BQ,52,0)</f>
        <v>#N/A</v>
      </c>
      <c r="BK172" s="115" t="e">
        <f>VLOOKUP($A172,'S50'!$C:$BQ,59,0)</f>
        <v>#N/A</v>
      </c>
      <c r="BL172" s="115" t="e">
        <f>VLOOKUP($A172,'S50'!$C:$BQ,60,0)</f>
        <v>#N/A</v>
      </c>
    </row>
    <row r="173" spans="1:64" x14ac:dyDescent="0.2">
      <c r="A173" s="106" t="s">
        <v>239</v>
      </c>
      <c r="B173" s="107">
        <f>VLOOKUP($A173,'S0 remplacer avec S44'!$C:$BQ,32,0)</f>
        <v>207.6</v>
      </c>
      <c r="C173" s="107">
        <f>VLOOKUP($A173,'S0 remplacer avec S44'!$C:$BQ,39,0)</f>
        <v>68</v>
      </c>
      <c r="D173" s="107">
        <f>VLOOKUP($A173,'S0 remplacer avec S44'!$C:$BQ,40,0)</f>
        <v>124</v>
      </c>
      <c r="E173" s="107">
        <f>VLOOKUP($A173,'S0 remplacer avec S44'!$C:$BQ,22,0)</f>
        <v>2054.2890950000001</v>
      </c>
      <c r="F173" s="115">
        <f>VLOOKUP($A173,'S0 remplacer avec S44'!$C:$BQ,29,0)</f>
        <v>453</v>
      </c>
      <c r="G173" s="115">
        <f>VLOOKUP($A173,'S0 remplacer avec S44'!$C:$BQ,30,0)</f>
        <v>954</v>
      </c>
      <c r="H173" s="115">
        <f>VLOOKUP($A173,'S0 remplacer avec S44'!$C:$BQ,52,0)</f>
        <v>186.8</v>
      </c>
      <c r="I173" s="115">
        <f>VLOOKUP($A173,'S0 remplacer avec S44'!$C:$BQ,59,0)</f>
        <v>0</v>
      </c>
      <c r="J173" s="115">
        <f>VLOOKUP($A173,'S0 remplacer avec S44'!$C:$BQ,60,0)</f>
        <v>0</v>
      </c>
      <c r="K173" s="107" t="e">
        <f>VLOOKUP($A173,'S45'!$C:$BQ,32,0)</f>
        <v>#N/A</v>
      </c>
      <c r="L173" s="107" t="e">
        <f>VLOOKUP($A173,'S45'!$C:$BQ,39,0)</f>
        <v>#N/A</v>
      </c>
      <c r="M173" s="107" t="e">
        <f>VLOOKUP($A173,'S45'!$C:$BQ,40,0)</f>
        <v>#N/A</v>
      </c>
      <c r="N173" s="107" t="e">
        <f>VLOOKUP($A173,'S45'!$C:$BQ,22,0)</f>
        <v>#N/A</v>
      </c>
      <c r="O173" s="115" t="e">
        <f>VLOOKUP($A173,'S45'!$C:$BQ,29,0)</f>
        <v>#N/A</v>
      </c>
      <c r="P173" s="115" t="e">
        <f>VLOOKUP($A173,'S45'!$C:$BQ,30,0)</f>
        <v>#N/A</v>
      </c>
      <c r="Q173" s="115" t="e">
        <f>VLOOKUP($A173,'S45'!$C:$BQ,52,0)</f>
        <v>#N/A</v>
      </c>
      <c r="R173" s="115" t="e">
        <f>VLOOKUP($A173,'S45'!$C:$BQ,59,0)</f>
        <v>#N/A</v>
      </c>
      <c r="S173" s="115" t="e">
        <f>VLOOKUP($A173,'S45'!$C:$BQ,60,0)</f>
        <v>#N/A</v>
      </c>
      <c r="T173" s="107" t="e">
        <f>VLOOKUP($A173,'S46'!$C:$BQ,32,0)</f>
        <v>#N/A</v>
      </c>
      <c r="U173" s="107" t="e">
        <f>VLOOKUP($A173,'S46'!$C:$BQ,39,0)</f>
        <v>#N/A</v>
      </c>
      <c r="V173" s="107" t="e">
        <f>VLOOKUP($A173,'S46'!$C:$BQ,40,0)</f>
        <v>#N/A</v>
      </c>
      <c r="W173" s="107" t="e">
        <f>VLOOKUP($A173,'S46'!$C:$BQ,22,0)</f>
        <v>#N/A</v>
      </c>
      <c r="X173" s="115" t="e">
        <f>VLOOKUP($A173,'S46'!$C:$BQ,29,0)</f>
        <v>#N/A</v>
      </c>
      <c r="Y173" s="115" t="e">
        <f>VLOOKUP($A173,'S46'!$C:$BQ,30,0)</f>
        <v>#N/A</v>
      </c>
      <c r="Z173" s="115" t="e">
        <f>VLOOKUP($A173,'S46'!$C:$BQ,52,0)</f>
        <v>#N/A</v>
      </c>
      <c r="AA173" s="115" t="e">
        <f>VLOOKUP($A173,'S46'!$C:$BQ,59,0)</f>
        <v>#N/A</v>
      </c>
      <c r="AB173" s="115" t="e">
        <f>VLOOKUP($A173,'S46'!$C:$BQ,60,0)</f>
        <v>#N/A</v>
      </c>
      <c r="AC173" s="107" t="e">
        <f>VLOOKUP($A173,'S47'!$C:$BQ,32,0)</f>
        <v>#N/A</v>
      </c>
      <c r="AD173" s="107" t="e">
        <f>VLOOKUP($A173,'S47'!$C:$BQ,39,0)</f>
        <v>#N/A</v>
      </c>
      <c r="AE173" s="107" t="e">
        <f>VLOOKUP($A173,'S47'!$C:$BQ,40,0)</f>
        <v>#N/A</v>
      </c>
      <c r="AF173" s="107" t="e">
        <f>VLOOKUP($A173,'S47'!$C:$BQ,22,0)</f>
        <v>#N/A</v>
      </c>
      <c r="AG173" s="115" t="e">
        <f>VLOOKUP($A173,'S47'!$C:$BQ,29,0)</f>
        <v>#N/A</v>
      </c>
      <c r="AH173" s="115" t="e">
        <f>VLOOKUP($A173,'S47'!$C:$BQ,30,0)</f>
        <v>#N/A</v>
      </c>
      <c r="AI173" s="115" t="e">
        <f>VLOOKUP($A173,'S47'!$C:$BQ,52,0)</f>
        <v>#N/A</v>
      </c>
      <c r="AJ173" s="115" t="e">
        <f>VLOOKUP($A173,'S47'!$C:$BQ,59,0)</f>
        <v>#N/A</v>
      </c>
      <c r="AK173" s="115" t="e">
        <f>VLOOKUP($A173,'S47'!$C:$BQ,60,0)</f>
        <v>#N/A</v>
      </c>
      <c r="AL173" s="107" t="e">
        <f>VLOOKUP($A173,'S48'!$C:$BQ,32,0)</f>
        <v>#N/A</v>
      </c>
      <c r="AM173" s="107" t="e">
        <f>VLOOKUP($A173,'S48'!$C:$BQ,39,0)</f>
        <v>#N/A</v>
      </c>
      <c r="AN173" s="107" t="e">
        <f>VLOOKUP($A173,'S48'!$C:$BQ,40,0)</f>
        <v>#N/A</v>
      </c>
      <c r="AO173" s="107" t="e">
        <f>VLOOKUP($A173,'S48'!$C:$BQ,22,0)</f>
        <v>#N/A</v>
      </c>
      <c r="AP173" s="115" t="e">
        <f>VLOOKUP($A173,'S48'!$C:$BQ,29,0)</f>
        <v>#N/A</v>
      </c>
      <c r="AQ173" s="115" t="e">
        <f>VLOOKUP($A173,'S48'!$C:$BQ,30,0)</f>
        <v>#N/A</v>
      </c>
      <c r="AR173" s="115" t="e">
        <f>VLOOKUP($A173,'S48'!$C:$BQ,52,0)</f>
        <v>#N/A</v>
      </c>
      <c r="AS173" s="115" t="e">
        <f>VLOOKUP($A173,'S48'!$C:$BQ,59,0)</f>
        <v>#N/A</v>
      </c>
      <c r="AT173" s="115" t="e">
        <f>VLOOKUP($A173,'S48'!$C:$BQ,60,0)</f>
        <v>#N/A</v>
      </c>
      <c r="AU173" s="107" t="e">
        <f>VLOOKUP($A173,'S49'!$C:$BQ,32,0)</f>
        <v>#N/A</v>
      </c>
      <c r="AV173" s="107" t="e">
        <f>VLOOKUP($A173,'S49'!$C:$BQ,39,0)</f>
        <v>#N/A</v>
      </c>
      <c r="AW173" s="107" t="e">
        <f>VLOOKUP($A173,'S49'!$C:$BQ,40,0)</f>
        <v>#N/A</v>
      </c>
      <c r="AX173" s="107" t="e">
        <f>VLOOKUP($A173,'S49'!$C:$BQ,22,0)</f>
        <v>#N/A</v>
      </c>
      <c r="AY173" s="115" t="e">
        <f>VLOOKUP($A173,'S49'!$C:$BQ,29,0)</f>
        <v>#N/A</v>
      </c>
      <c r="AZ173" s="115" t="e">
        <f>VLOOKUP($A173,'S49'!$C:$BQ,30,0)</f>
        <v>#N/A</v>
      </c>
      <c r="BA173" s="115" t="e">
        <f>VLOOKUP($A173,'S49'!$C:$BQ,52,0)</f>
        <v>#N/A</v>
      </c>
      <c r="BB173" s="115" t="e">
        <f>VLOOKUP($A173,'S49'!$C:$BQ,59,0)</f>
        <v>#N/A</v>
      </c>
      <c r="BC173" s="115" t="e">
        <f>VLOOKUP($A173,'S49'!$C:$BQ,60,0)</f>
        <v>#N/A</v>
      </c>
      <c r="BD173" s="107" t="e">
        <f>VLOOKUP($A173,'S50'!$C:$BQ,32,0)</f>
        <v>#N/A</v>
      </c>
      <c r="BE173" s="107" t="e">
        <f>VLOOKUP($A173,'S50'!$C:$BQ,39,0)</f>
        <v>#N/A</v>
      </c>
      <c r="BF173" s="107" t="e">
        <f>VLOOKUP($A173,'S50'!$C:$BQ,40,0)</f>
        <v>#N/A</v>
      </c>
      <c r="BG173" s="107" t="e">
        <f>VLOOKUP($A173,'S50'!$C:$BQ,22,0)</f>
        <v>#N/A</v>
      </c>
      <c r="BH173" s="115" t="e">
        <f>VLOOKUP($A173,'S50'!$C:$BQ,29,0)</f>
        <v>#N/A</v>
      </c>
      <c r="BI173" s="115" t="e">
        <f>VLOOKUP($A173,'S50'!$C:$BQ,30,0)</f>
        <v>#N/A</v>
      </c>
      <c r="BJ173" s="115" t="e">
        <f>VLOOKUP($A173,'S50'!$C:$BQ,52,0)</f>
        <v>#N/A</v>
      </c>
      <c r="BK173" s="115" t="e">
        <f>VLOOKUP($A173,'S50'!$C:$BQ,59,0)</f>
        <v>#N/A</v>
      </c>
      <c r="BL173" s="115" t="e">
        <f>VLOOKUP($A173,'S50'!$C:$BQ,60,0)</f>
        <v>#N/A</v>
      </c>
    </row>
    <row r="174" spans="1:64" x14ac:dyDescent="0.2">
      <c r="A174" s="106" t="s">
        <v>241</v>
      </c>
      <c r="B174" s="107">
        <f>VLOOKUP($A174,'S0 remplacer avec S44'!$C:$BQ,32,0)</f>
        <v>181</v>
      </c>
      <c r="C174" s="107">
        <f>VLOOKUP($A174,'S0 remplacer avec S44'!$C:$BQ,39,0)</f>
        <v>70</v>
      </c>
      <c r="D174" s="107">
        <f>VLOOKUP($A174,'S0 remplacer avec S44'!$C:$BQ,40,0)</f>
        <v>120</v>
      </c>
      <c r="E174" s="107">
        <f>VLOOKUP($A174,'S0 remplacer avec S44'!$C:$BQ,22,0)</f>
        <v>2252.4365400000002</v>
      </c>
      <c r="F174" s="115">
        <f>VLOOKUP($A174,'S0 remplacer avec S44'!$C:$BQ,29,0)</f>
        <v>26</v>
      </c>
      <c r="G174" s="115">
        <f>VLOOKUP($A174,'S0 remplacer avec S44'!$C:$BQ,30,0)</f>
        <v>481</v>
      </c>
      <c r="H174" s="115">
        <f>VLOOKUP($A174,'S0 remplacer avec S44'!$C:$BQ,52,0)</f>
        <v>94.2</v>
      </c>
      <c r="I174" s="115">
        <f>VLOOKUP($A174,'S0 remplacer avec S44'!$C:$BQ,59,0)</f>
        <v>34</v>
      </c>
      <c r="J174" s="115">
        <f>VLOOKUP($A174,'S0 remplacer avec S44'!$C:$BQ,60,0)</f>
        <v>59</v>
      </c>
      <c r="K174" s="107" t="e">
        <f>VLOOKUP($A174,'S45'!$C:$BQ,32,0)</f>
        <v>#N/A</v>
      </c>
      <c r="L174" s="107" t="e">
        <f>VLOOKUP($A174,'S45'!$C:$BQ,39,0)</f>
        <v>#N/A</v>
      </c>
      <c r="M174" s="107" t="e">
        <f>VLOOKUP($A174,'S45'!$C:$BQ,40,0)</f>
        <v>#N/A</v>
      </c>
      <c r="N174" s="107" t="e">
        <f>VLOOKUP($A174,'S45'!$C:$BQ,22,0)</f>
        <v>#N/A</v>
      </c>
      <c r="O174" s="115" t="e">
        <f>VLOOKUP($A174,'S45'!$C:$BQ,29,0)</f>
        <v>#N/A</v>
      </c>
      <c r="P174" s="115" t="e">
        <f>VLOOKUP($A174,'S45'!$C:$BQ,30,0)</f>
        <v>#N/A</v>
      </c>
      <c r="Q174" s="115" t="e">
        <f>VLOOKUP($A174,'S45'!$C:$BQ,52,0)</f>
        <v>#N/A</v>
      </c>
      <c r="R174" s="115" t="e">
        <f>VLOOKUP($A174,'S45'!$C:$BQ,59,0)</f>
        <v>#N/A</v>
      </c>
      <c r="S174" s="115" t="e">
        <f>VLOOKUP($A174,'S45'!$C:$BQ,60,0)</f>
        <v>#N/A</v>
      </c>
      <c r="T174" s="107" t="e">
        <f>VLOOKUP($A174,'S46'!$C:$BQ,32,0)</f>
        <v>#N/A</v>
      </c>
      <c r="U174" s="107" t="e">
        <f>VLOOKUP($A174,'S46'!$C:$BQ,39,0)</f>
        <v>#N/A</v>
      </c>
      <c r="V174" s="107" t="e">
        <f>VLOOKUP($A174,'S46'!$C:$BQ,40,0)</f>
        <v>#N/A</v>
      </c>
      <c r="W174" s="107" t="e">
        <f>VLOOKUP($A174,'S46'!$C:$BQ,22,0)</f>
        <v>#N/A</v>
      </c>
      <c r="X174" s="115" t="e">
        <f>VLOOKUP($A174,'S46'!$C:$BQ,29,0)</f>
        <v>#N/A</v>
      </c>
      <c r="Y174" s="115" t="e">
        <f>VLOOKUP($A174,'S46'!$C:$BQ,30,0)</f>
        <v>#N/A</v>
      </c>
      <c r="Z174" s="115" t="e">
        <f>VLOOKUP($A174,'S46'!$C:$BQ,52,0)</f>
        <v>#N/A</v>
      </c>
      <c r="AA174" s="115" t="e">
        <f>VLOOKUP($A174,'S46'!$C:$BQ,59,0)</f>
        <v>#N/A</v>
      </c>
      <c r="AB174" s="115" t="e">
        <f>VLOOKUP($A174,'S46'!$C:$BQ,60,0)</f>
        <v>#N/A</v>
      </c>
      <c r="AC174" s="107" t="e">
        <f>VLOOKUP($A174,'S47'!$C:$BQ,32,0)</f>
        <v>#N/A</v>
      </c>
      <c r="AD174" s="107" t="e">
        <f>VLOOKUP($A174,'S47'!$C:$BQ,39,0)</f>
        <v>#N/A</v>
      </c>
      <c r="AE174" s="107" t="e">
        <f>VLOOKUP($A174,'S47'!$C:$BQ,40,0)</f>
        <v>#N/A</v>
      </c>
      <c r="AF174" s="107" t="e">
        <f>VLOOKUP($A174,'S47'!$C:$BQ,22,0)</f>
        <v>#N/A</v>
      </c>
      <c r="AG174" s="115" t="e">
        <f>VLOOKUP($A174,'S47'!$C:$BQ,29,0)</f>
        <v>#N/A</v>
      </c>
      <c r="AH174" s="115" t="e">
        <f>VLOOKUP($A174,'S47'!$C:$BQ,30,0)</f>
        <v>#N/A</v>
      </c>
      <c r="AI174" s="115" t="e">
        <f>VLOOKUP($A174,'S47'!$C:$BQ,52,0)</f>
        <v>#N/A</v>
      </c>
      <c r="AJ174" s="115" t="e">
        <f>VLOOKUP($A174,'S47'!$C:$BQ,59,0)</f>
        <v>#N/A</v>
      </c>
      <c r="AK174" s="115" t="e">
        <f>VLOOKUP($A174,'S47'!$C:$BQ,60,0)</f>
        <v>#N/A</v>
      </c>
      <c r="AL174" s="107" t="e">
        <f>VLOOKUP($A174,'S48'!$C:$BQ,32,0)</f>
        <v>#N/A</v>
      </c>
      <c r="AM174" s="107" t="e">
        <f>VLOOKUP($A174,'S48'!$C:$BQ,39,0)</f>
        <v>#N/A</v>
      </c>
      <c r="AN174" s="107" t="e">
        <f>VLOOKUP($A174,'S48'!$C:$BQ,40,0)</f>
        <v>#N/A</v>
      </c>
      <c r="AO174" s="107" t="e">
        <f>VLOOKUP($A174,'S48'!$C:$BQ,22,0)</f>
        <v>#N/A</v>
      </c>
      <c r="AP174" s="115" t="e">
        <f>VLOOKUP($A174,'S48'!$C:$BQ,29,0)</f>
        <v>#N/A</v>
      </c>
      <c r="AQ174" s="115" t="e">
        <f>VLOOKUP($A174,'S48'!$C:$BQ,30,0)</f>
        <v>#N/A</v>
      </c>
      <c r="AR174" s="115" t="e">
        <f>VLOOKUP($A174,'S48'!$C:$BQ,52,0)</f>
        <v>#N/A</v>
      </c>
      <c r="AS174" s="115" t="e">
        <f>VLOOKUP($A174,'S48'!$C:$BQ,59,0)</f>
        <v>#N/A</v>
      </c>
      <c r="AT174" s="115" t="e">
        <f>VLOOKUP($A174,'S48'!$C:$BQ,60,0)</f>
        <v>#N/A</v>
      </c>
      <c r="AU174" s="107" t="e">
        <f>VLOOKUP($A174,'S49'!$C:$BQ,32,0)</f>
        <v>#N/A</v>
      </c>
      <c r="AV174" s="107" t="e">
        <f>VLOOKUP($A174,'S49'!$C:$BQ,39,0)</f>
        <v>#N/A</v>
      </c>
      <c r="AW174" s="107" t="e">
        <f>VLOOKUP($A174,'S49'!$C:$BQ,40,0)</f>
        <v>#N/A</v>
      </c>
      <c r="AX174" s="107" t="e">
        <f>VLOOKUP($A174,'S49'!$C:$BQ,22,0)</f>
        <v>#N/A</v>
      </c>
      <c r="AY174" s="115" t="e">
        <f>VLOOKUP($A174,'S49'!$C:$BQ,29,0)</f>
        <v>#N/A</v>
      </c>
      <c r="AZ174" s="115" t="e">
        <f>VLOOKUP($A174,'S49'!$C:$BQ,30,0)</f>
        <v>#N/A</v>
      </c>
      <c r="BA174" s="115" t="e">
        <f>VLOOKUP($A174,'S49'!$C:$BQ,52,0)</f>
        <v>#N/A</v>
      </c>
      <c r="BB174" s="115" t="e">
        <f>VLOOKUP($A174,'S49'!$C:$BQ,59,0)</f>
        <v>#N/A</v>
      </c>
      <c r="BC174" s="115" t="e">
        <f>VLOOKUP($A174,'S49'!$C:$BQ,60,0)</f>
        <v>#N/A</v>
      </c>
      <c r="BD174" s="107" t="e">
        <f>VLOOKUP($A174,'S50'!$C:$BQ,32,0)</f>
        <v>#N/A</v>
      </c>
      <c r="BE174" s="107" t="e">
        <f>VLOOKUP($A174,'S50'!$C:$BQ,39,0)</f>
        <v>#N/A</v>
      </c>
      <c r="BF174" s="107" t="e">
        <f>VLOOKUP($A174,'S50'!$C:$BQ,40,0)</f>
        <v>#N/A</v>
      </c>
      <c r="BG174" s="107" t="e">
        <f>VLOOKUP($A174,'S50'!$C:$BQ,22,0)</f>
        <v>#N/A</v>
      </c>
      <c r="BH174" s="115" t="e">
        <f>VLOOKUP($A174,'S50'!$C:$BQ,29,0)</f>
        <v>#N/A</v>
      </c>
      <c r="BI174" s="115" t="e">
        <f>VLOOKUP($A174,'S50'!$C:$BQ,30,0)</f>
        <v>#N/A</v>
      </c>
      <c r="BJ174" s="115" t="e">
        <f>VLOOKUP($A174,'S50'!$C:$BQ,52,0)</f>
        <v>#N/A</v>
      </c>
      <c r="BK174" s="115" t="e">
        <f>VLOOKUP($A174,'S50'!$C:$BQ,59,0)</f>
        <v>#N/A</v>
      </c>
      <c r="BL174" s="115" t="e">
        <f>VLOOKUP($A174,'S50'!$C:$BQ,60,0)</f>
        <v>#N/A</v>
      </c>
    </row>
    <row r="175" spans="1:64" x14ac:dyDescent="0.2">
      <c r="A175" s="106" t="s">
        <v>242</v>
      </c>
      <c r="B175" s="107">
        <f>VLOOKUP($A175,'S0 remplacer avec S44'!$C:$BQ,32,0)</f>
        <v>205.8</v>
      </c>
      <c r="C175" s="107">
        <f>VLOOKUP($A175,'S0 remplacer avec S44'!$C:$BQ,39,0)</f>
        <v>0</v>
      </c>
      <c r="D175" s="107">
        <f>VLOOKUP($A175,'S0 remplacer avec S44'!$C:$BQ,40,0)</f>
        <v>0</v>
      </c>
      <c r="E175" s="107">
        <f>VLOOKUP($A175,'S0 remplacer avec S44'!$C:$BQ,22,0)</f>
        <v>1209.2613100000001</v>
      </c>
      <c r="F175" s="115">
        <f>VLOOKUP($A175,'S0 remplacer avec S44'!$C:$BQ,29,0)</f>
        <v>293</v>
      </c>
      <c r="G175" s="115">
        <f>VLOOKUP($A175,'S0 remplacer avec S44'!$C:$BQ,30,0)</f>
        <v>593</v>
      </c>
      <c r="H175" s="115">
        <f>VLOOKUP($A175,'S0 remplacer avec S44'!$C:$BQ,52,0)</f>
        <v>137.19999999999999</v>
      </c>
      <c r="I175" s="115">
        <f>VLOOKUP($A175,'S0 remplacer avec S44'!$C:$BQ,59,0)</f>
        <v>0</v>
      </c>
      <c r="J175" s="115">
        <f>VLOOKUP($A175,'S0 remplacer avec S44'!$C:$BQ,60,0)</f>
        <v>0</v>
      </c>
      <c r="K175" s="107" t="e">
        <f>VLOOKUP($A175,'S45'!$C:$BQ,32,0)</f>
        <v>#N/A</v>
      </c>
      <c r="L175" s="107" t="e">
        <f>VLOOKUP($A175,'S45'!$C:$BQ,39,0)</f>
        <v>#N/A</v>
      </c>
      <c r="M175" s="107" t="e">
        <f>VLOOKUP($A175,'S45'!$C:$BQ,40,0)</f>
        <v>#N/A</v>
      </c>
      <c r="N175" s="107" t="e">
        <f>VLOOKUP($A175,'S45'!$C:$BQ,22,0)</f>
        <v>#N/A</v>
      </c>
      <c r="O175" s="115" t="e">
        <f>VLOOKUP($A175,'S45'!$C:$BQ,29,0)</f>
        <v>#N/A</v>
      </c>
      <c r="P175" s="115" t="e">
        <f>VLOOKUP($A175,'S45'!$C:$BQ,30,0)</f>
        <v>#N/A</v>
      </c>
      <c r="Q175" s="115" t="e">
        <f>VLOOKUP($A175,'S45'!$C:$BQ,52,0)</f>
        <v>#N/A</v>
      </c>
      <c r="R175" s="115" t="e">
        <f>VLOOKUP($A175,'S45'!$C:$BQ,59,0)</f>
        <v>#N/A</v>
      </c>
      <c r="S175" s="115" t="e">
        <f>VLOOKUP($A175,'S45'!$C:$BQ,60,0)</f>
        <v>#N/A</v>
      </c>
      <c r="T175" s="107" t="e">
        <f>VLOOKUP($A175,'S46'!$C:$BQ,32,0)</f>
        <v>#N/A</v>
      </c>
      <c r="U175" s="107" t="e">
        <f>VLOOKUP($A175,'S46'!$C:$BQ,39,0)</f>
        <v>#N/A</v>
      </c>
      <c r="V175" s="107" t="e">
        <f>VLOOKUP($A175,'S46'!$C:$BQ,40,0)</f>
        <v>#N/A</v>
      </c>
      <c r="W175" s="107" t="e">
        <f>VLOOKUP($A175,'S46'!$C:$BQ,22,0)</f>
        <v>#N/A</v>
      </c>
      <c r="X175" s="115" t="e">
        <f>VLOOKUP($A175,'S46'!$C:$BQ,29,0)</f>
        <v>#N/A</v>
      </c>
      <c r="Y175" s="115" t="e">
        <f>VLOOKUP($A175,'S46'!$C:$BQ,30,0)</f>
        <v>#N/A</v>
      </c>
      <c r="Z175" s="115" t="e">
        <f>VLOOKUP($A175,'S46'!$C:$BQ,52,0)</f>
        <v>#N/A</v>
      </c>
      <c r="AA175" s="115" t="e">
        <f>VLOOKUP($A175,'S46'!$C:$BQ,59,0)</f>
        <v>#N/A</v>
      </c>
      <c r="AB175" s="115" t="e">
        <f>VLOOKUP($A175,'S46'!$C:$BQ,60,0)</f>
        <v>#N/A</v>
      </c>
      <c r="AC175" s="107" t="e">
        <f>VLOOKUP($A175,'S47'!$C:$BQ,32,0)</f>
        <v>#N/A</v>
      </c>
      <c r="AD175" s="107" t="e">
        <f>VLOOKUP($A175,'S47'!$C:$BQ,39,0)</f>
        <v>#N/A</v>
      </c>
      <c r="AE175" s="107" t="e">
        <f>VLOOKUP($A175,'S47'!$C:$BQ,40,0)</f>
        <v>#N/A</v>
      </c>
      <c r="AF175" s="107" t="e">
        <f>VLOOKUP($A175,'S47'!$C:$BQ,22,0)</f>
        <v>#N/A</v>
      </c>
      <c r="AG175" s="115" t="e">
        <f>VLOOKUP($A175,'S47'!$C:$BQ,29,0)</f>
        <v>#N/A</v>
      </c>
      <c r="AH175" s="115" t="e">
        <f>VLOOKUP($A175,'S47'!$C:$BQ,30,0)</f>
        <v>#N/A</v>
      </c>
      <c r="AI175" s="115" t="e">
        <f>VLOOKUP($A175,'S47'!$C:$BQ,52,0)</f>
        <v>#N/A</v>
      </c>
      <c r="AJ175" s="115" t="e">
        <f>VLOOKUP($A175,'S47'!$C:$BQ,59,0)</f>
        <v>#N/A</v>
      </c>
      <c r="AK175" s="115" t="e">
        <f>VLOOKUP($A175,'S47'!$C:$BQ,60,0)</f>
        <v>#N/A</v>
      </c>
      <c r="AL175" s="107" t="e">
        <f>VLOOKUP($A175,'S48'!$C:$BQ,32,0)</f>
        <v>#N/A</v>
      </c>
      <c r="AM175" s="107" t="e">
        <f>VLOOKUP($A175,'S48'!$C:$BQ,39,0)</f>
        <v>#N/A</v>
      </c>
      <c r="AN175" s="107" t="e">
        <f>VLOOKUP($A175,'S48'!$C:$BQ,40,0)</f>
        <v>#N/A</v>
      </c>
      <c r="AO175" s="107" t="e">
        <f>VLOOKUP($A175,'S48'!$C:$BQ,22,0)</f>
        <v>#N/A</v>
      </c>
      <c r="AP175" s="115" t="e">
        <f>VLOOKUP($A175,'S48'!$C:$BQ,29,0)</f>
        <v>#N/A</v>
      </c>
      <c r="AQ175" s="115" t="e">
        <f>VLOOKUP($A175,'S48'!$C:$BQ,30,0)</f>
        <v>#N/A</v>
      </c>
      <c r="AR175" s="115" t="e">
        <f>VLOOKUP($A175,'S48'!$C:$BQ,52,0)</f>
        <v>#N/A</v>
      </c>
      <c r="AS175" s="115" t="e">
        <f>VLOOKUP($A175,'S48'!$C:$BQ,59,0)</f>
        <v>#N/A</v>
      </c>
      <c r="AT175" s="115" t="e">
        <f>VLOOKUP($A175,'S48'!$C:$BQ,60,0)</f>
        <v>#N/A</v>
      </c>
      <c r="AU175" s="107" t="e">
        <f>VLOOKUP($A175,'S49'!$C:$BQ,32,0)</f>
        <v>#N/A</v>
      </c>
      <c r="AV175" s="107" t="e">
        <f>VLOOKUP($A175,'S49'!$C:$BQ,39,0)</f>
        <v>#N/A</v>
      </c>
      <c r="AW175" s="107" t="e">
        <f>VLOOKUP($A175,'S49'!$C:$BQ,40,0)</f>
        <v>#N/A</v>
      </c>
      <c r="AX175" s="107" t="e">
        <f>VLOOKUP($A175,'S49'!$C:$BQ,22,0)</f>
        <v>#N/A</v>
      </c>
      <c r="AY175" s="115" t="e">
        <f>VLOOKUP($A175,'S49'!$C:$BQ,29,0)</f>
        <v>#N/A</v>
      </c>
      <c r="AZ175" s="115" t="e">
        <f>VLOOKUP($A175,'S49'!$C:$BQ,30,0)</f>
        <v>#N/A</v>
      </c>
      <c r="BA175" s="115" t="e">
        <f>VLOOKUP($A175,'S49'!$C:$BQ,52,0)</f>
        <v>#N/A</v>
      </c>
      <c r="BB175" s="115" t="e">
        <f>VLOOKUP($A175,'S49'!$C:$BQ,59,0)</f>
        <v>#N/A</v>
      </c>
      <c r="BC175" s="115" t="e">
        <f>VLOOKUP($A175,'S49'!$C:$BQ,60,0)</f>
        <v>#N/A</v>
      </c>
      <c r="BD175" s="107" t="e">
        <f>VLOOKUP($A175,'S50'!$C:$BQ,32,0)</f>
        <v>#N/A</v>
      </c>
      <c r="BE175" s="107" t="e">
        <f>VLOOKUP($A175,'S50'!$C:$BQ,39,0)</f>
        <v>#N/A</v>
      </c>
      <c r="BF175" s="107" t="e">
        <f>VLOOKUP($A175,'S50'!$C:$BQ,40,0)</f>
        <v>#N/A</v>
      </c>
      <c r="BG175" s="107" t="e">
        <f>VLOOKUP($A175,'S50'!$C:$BQ,22,0)</f>
        <v>#N/A</v>
      </c>
      <c r="BH175" s="115" t="e">
        <f>VLOOKUP($A175,'S50'!$C:$BQ,29,0)</f>
        <v>#N/A</v>
      </c>
      <c r="BI175" s="115" t="e">
        <f>VLOOKUP($A175,'S50'!$C:$BQ,30,0)</f>
        <v>#N/A</v>
      </c>
      <c r="BJ175" s="115" t="e">
        <f>VLOOKUP($A175,'S50'!$C:$BQ,52,0)</f>
        <v>#N/A</v>
      </c>
      <c r="BK175" s="115" t="e">
        <f>VLOOKUP($A175,'S50'!$C:$BQ,59,0)</f>
        <v>#N/A</v>
      </c>
      <c r="BL175" s="115" t="e">
        <f>VLOOKUP($A175,'S50'!$C:$BQ,60,0)</f>
        <v>#N/A</v>
      </c>
    </row>
    <row r="176" spans="1:64" x14ac:dyDescent="0.2">
      <c r="A176" s="106" t="s">
        <v>243</v>
      </c>
      <c r="B176" s="107">
        <f>VLOOKUP($A176,'S0 remplacer avec S44'!$C:$BQ,32,0)</f>
        <v>161</v>
      </c>
      <c r="C176" s="107">
        <f>VLOOKUP($A176,'S0 remplacer avec S44'!$C:$BQ,39,0)</f>
        <v>39</v>
      </c>
      <c r="D176" s="107">
        <f>VLOOKUP($A176,'S0 remplacer avec S44'!$C:$BQ,40,0)</f>
        <v>79</v>
      </c>
      <c r="E176" s="107">
        <f>VLOOKUP($A176,'S0 remplacer avec S44'!$C:$BQ,22,0)</f>
        <v>1933.2929200000001</v>
      </c>
      <c r="F176" s="115">
        <f>VLOOKUP($A176,'S0 remplacer avec S44'!$C:$BQ,29,0)</f>
        <v>0</v>
      </c>
      <c r="G176" s="115">
        <f>VLOOKUP($A176,'S0 remplacer avec S44'!$C:$BQ,30,0)</f>
        <v>248</v>
      </c>
      <c r="H176" s="115">
        <f>VLOOKUP($A176,'S0 remplacer avec S44'!$C:$BQ,52,0)</f>
        <v>92</v>
      </c>
      <c r="I176" s="115">
        <f>VLOOKUP($A176,'S0 remplacer avec S44'!$C:$BQ,59,0)</f>
        <v>10</v>
      </c>
      <c r="J176" s="115">
        <f>VLOOKUP($A176,'S0 remplacer avec S44'!$C:$BQ,60,0)</f>
        <v>30</v>
      </c>
      <c r="K176" s="107" t="e">
        <f>VLOOKUP($A176,'S45'!$C:$BQ,32,0)</f>
        <v>#N/A</v>
      </c>
      <c r="L176" s="107" t="e">
        <f>VLOOKUP($A176,'S45'!$C:$BQ,39,0)</f>
        <v>#N/A</v>
      </c>
      <c r="M176" s="107" t="e">
        <f>VLOOKUP($A176,'S45'!$C:$BQ,40,0)</f>
        <v>#N/A</v>
      </c>
      <c r="N176" s="107" t="e">
        <f>VLOOKUP($A176,'S45'!$C:$BQ,22,0)</f>
        <v>#N/A</v>
      </c>
      <c r="O176" s="115" t="e">
        <f>VLOOKUP($A176,'S45'!$C:$BQ,29,0)</f>
        <v>#N/A</v>
      </c>
      <c r="P176" s="115" t="e">
        <f>VLOOKUP($A176,'S45'!$C:$BQ,30,0)</f>
        <v>#N/A</v>
      </c>
      <c r="Q176" s="115" t="e">
        <f>VLOOKUP($A176,'S45'!$C:$BQ,52,0)</f>
        <v>#N/A</v>
      </c>
      <c r="R176" s="115" t="e">
        <f>VLOOKUP($A176,'S45'!$C:$BQ,59,0)</f>
        <v>#N/A</v>
      </c>
      <c r="S176" s="115" t="e">
        <f>VLOOKUP($A176,'S45'!$C:$BQ,60,0)</f>
        <v>#N/A</v>
      </c>
      <c r="T176" s="107" t="e">
        <f>VLOOKUP($A176,'S46'!$C:$BQ,32,0)</f>
        <v>#N/A</v>
      </c>
      <c r="U176" s="107" t="e">
        <f>VLOOKUP($A176,'S46'!$C:$BQ,39,0)</f>
        <v>#N/A</v>
      </c>
      <c r="V176" s="107" t="e">
        <f>VLOOKUP($A176,'S46'!$C:$BQ,40,0)</f>
        <v>#N/A</v>
      </c>
      <c r="W176" s="107" t="e">
        <f>VLOOKUP($A176,'S46'!$C:$BQ,22,0)</f>
        <v>#N/A</v>
      </c>
      <c r="X176" s="115" t="e">
        <f>VLOOKUP($A176,'S46'!$C:$BQ,29,0)</f>
        <v>#N/A</v>
      </c>
      <c r="Y176" s="115" t="e">
        <f>VLOOKUP($A176,'S46'!$C:$BQ,30,0)</f>
        <v>#N/A</v>
      </c>
      <c r="Z176" s="115" t="e">
        <f>VLOOKUP($A176,'S46'!$C:$BQ,52,0)</f>
        <v>#N/A</v>
      </c>
      <c r="AA176" s="115" t="e">
        <f>VLOOKUP($A176,'S46'!$C:$BQ,59,0)</f>
        <v>#N/A</v>
      </c>
      <c r="AB176" s="115" t="e">
        <f>VLOOKUP($A176,'S46'!$C:$BQ,60,0)</f>
        <v>#N/A</v>
      </c>
      <c r="AC176" s="107" t="e">
        <f>VLOOKUP($A176,'S47'!$C:$BQ,32,0)</f>
        <v>#N/A</v>
      </c>
      <c r="AD176" s="107" t="e">
        <f>VLOOKUP($A176,'S47'!$C:$BQ,39,0)</f>
        <v>#N/A</v>
      </c>
      <c r="AE176" s="107" t="e">
        <f>VLOOKUP($A176,'S47'!$C:$BQ,40,0)</f>
        <v>#N/A</v>
      </c>
      <c r="AF176" s="107" t="e">
        <f>VLOOKUP($A176,'S47'!$C:$BQ,22,0)</f>
        <v>#N/A</v>
      </c>
      <c r="AG176" s="115" t="e">
        <f>VLOOKUP($A176,'S47'!$C:$BQ,29,0)</f>
        <v>#N/A</v>
      </c>
      <c r="AH176" s="115" t="e">
        <f>VLOOKUP($A176,'S47'!$C:$BQ,30,0)</f>
        <v>#N/A</v>
      </c>
      <c r="AI176" s="115" t="e">
        <f>VLOOKUP($A176,'S47'!$C:$BQ,52,0)</f>
        <v>#N/A</v>
      </c>
      <c r="AJ176" s="115" t="e">
        <f>VLOOKUP($A176,'S47'!$C:$BQ,59,0)</f>
        <v>#N/A</v>
      </c>
      <c r="AK176" s="115" t="e">
        <f>VLOOKUP($A176,'S47'!$C:$BQ,60,0)</f>
        <v>#N/A</v>
      </c>
      <c r="AL176" s="107" t="e">
        <f>VLOOKUP($A176,'S48'!$C:$BQ,32,0)</f>
        <v>#N/A</v>
      </c>
      <c r="AM176" s="107" t="e">
        <f>VLOOKUP($A176,'S48'!$C:$BQ,39,0)</f>
        <v>#N/A</v>
      </c>
      <c r="AN176" s="107" t="e">
        <f>VLOOKUP($A176,'S48'!$C:$BQ,40,0)</f>
        <v>#N/A</v>
      </c>
      <c r="AO176" s="107" t="e">
        <f>VLOOKUP($A176,'S48'!$C:$BQ,22,0)</f>
        <v>#N/A</v>
      </c>
      <c r="AP176" s="115" t="e">
        <f>VLOOKUP($A176,'S48'!$C:$BQ,29,0)</f>
        <v>#N/A</v>
      </c>
      <c r="AQ176" s="115" t="e">
        <f>VLOOKUP($A176,'S48'!$C:$BQ,30,0)</f>
        <v>#N/A</v>
      </c>
      <c r="AR176" s="115" t="e">
        <f>VLOOKUP($A176,'S48'!$C:$BQ,52,0)</f>
        <v>#N/A</v>
      </c>
      <c r="AS176" s="115" t="e">
        <f>VLOOKUP($A176,'S48'!$C:$BQ,59,0)</f>
        <v>#N/A</v>
      </c>
      <c r="AT176" s="115" t="e">
        <f>VLOOKUP($A176,'S48'!$C:$BQ,60,0)</f>
        <v>#N/A</v>
      </c>
      <c r="AU176" s="107" t="e">
        <f>VLOOKUP($A176,'S49'!$C:$BQ,32,0)</f>
        <v>#N/A</v>
      </c>
      <c r="AV176" s="107" t="e">
        <f>VLOOKUP($A176,'S49'!$C:$BQ,39,0)</f>
        <v>#N/A</v>
      </c>
      <c r="AW176" s="107" t="e">
        <f>VLOOKUP($A176,'S49'!$C:$BQ,40,0)</f>
        <v>#N/A</v>
      </c>
      <c r="AX176" s="107" t="e">
        <f>VLOOKUP($A176,'S49'!$C:$BQ,22,0)</f>
        <v>#N/A</v>
      </c>
      <c r="AY176" s="115" t="e">
        <f>VLOOKUP($A176,'S49'!$C:$BQ,29,0)</f>
        <v>#N/A</v>
      </c>
      <c r="AZ176" s="115" t="e">
        <f>VLOOKUP($A176,'S49'!$C:$BQ,30,0)</f>
        <v>#N/A</v>
      </c>
      <c r="BA176" s="115" t="e">
        <f>VLOOKUP($A176,'S49'!$C:$BQ,52,0)</f>
        <v>#N/A</v>
      </c>
      <c r="BB176" s="115" t="e">
        <f>VLOOKUP($A176,'S49'!$C:$BQ,59,0)</f>
        <v>#N/A</v>
      </c>
      <c r="BC176" s="115" t="e">
        <f>VLOOKUP($A176,'S49'!$C:$BQ,60,0)</f>
        <v>#N/A</v>
      </c>
      <c r="BD176" s="107" t="e">
        <f>VLOOKUP($A176,'S50'!$C:$BQ,32,0)</f>
        <v>#N/A</v>
      </c>
      <c r="BE176" s="107" t="e">
        <f>VLOOKUP($A176,'S50'!$C:$BQ,39,0)</f>
        <v>#N/A</v>
      </c>
      <c r="BF176" s="107" t="e">
        <f>VLOOKUP($A176,'S50'!$C:$BQ,40,0)</f>
        <v>#N/A</v>
      </c>
      <c r="BG176" s="107" t="e">
        <f>VLOOKUP($A176,'S50'!$C:$BQ,22,0)</f>
        <v>#N/A</v>
      </c>
      <c r="BH176" s="115" t="e">
        <f>VLOOKUP($A176,'S50'!$C:$BQ,29,0)</f>
        <v>#N/A</v>
      </c>
      <c r="BI176" s="115" t="e">
        <f>VLOOKUP($A176,'S50'!$C:$BQ,30,0)</f>
        <v>#N/A</v>
      </c>
      <c r="BJ176" s="115" t="e">
        <f>VLOOKUP($A176,'S50'!$C:$BQ,52,0)</f>
        <v>#N/A</v>
      </c>
      <c r="BK176" s="115" t="e">
        <f>VLOOKUP($A176,'S50'!$C:$BQ,59,0)</f>
        <v>#N/A</v>
      </c>
      <c r="BL176" s="115" t="e">
        <f>VLOOKUP($A176,'S50'!$C:$BQ,60,0)</f>
        <v>#N/A</v>
      </c>
    </row>
    <row r="177" spans="1:64" x14ac:dyDescent="0.2">
      <c r="A177" s="106" t="s">
        <v>244</v>
      </c>
      <c r="B177" s="107">
        <f>VLOOKUP($A177,'S0 remplacer avec S44'!$C:$BQ,32,0)</f>
        <v>180.4</v>
      </c>
      <c r="C177" s="107">
        <f>VLOOKUP($A177,'S0 remplacer avec S44'!$C:$BQ,39,0)</f>
        <v>40</v>
      </c>
      <c r="D177" s="107">
        <f>VLOOKUP($A177,'S0 remplacer avec S44'!$C:$BQ,40,0)</f>
        <v>84</v>
      </c>
      <c r="E177" s="107">
        <f>VLOOKUP($A177,'S0 remplacer avec S44'!$C:$BQ,22,0)</f>
        <v>1321.425915</v>
      </c>
      <c r="F177" s="115">
        <f>VLOOKUP($A177,'S0 remplacer avec S44'!$C:$BQ,29,0)</f>
        <v>679</v>
      </c>
      <c r="G177" s="115">
        <f>VLOOKUP($A177,'S0 remplacer avec S44'!$C:$BQ,30,0)</f>
        <v>1079</v>
      </c>
      <c r="H177" s="115">
        <f>VLOOKUP($A177,'S0 remplacer avec S44'!$C:$BQ,52,0)</f>
        <v>79.2</v>
      </c>
      <c r="I177" s="115">
        <f>VLOOKUP($A177,'S0 remplacer avec S44'!$C:$BQ,59,0)</f>
        <v>33</v>
      </c>
      <c r="J177" s="115">
        <f>VLOOKUP($A177,'S0 remplacer avec S44'!$C:$BQ,60,0)</f>
        <v>55</v>
      </c>
      <c r="K177" s="107" t="e">
        <f>VLOOKUP($A177,'S45'!$C:$BQ,32,0)</f>
        <v>#N/A</v>
      </c>
      <c r="L177" s="107" t="e">
        <f>VLOOKUP($A177,'S45'!$C:$BQ,39,0)</f>
        <v>#N/A</v>
      </c>
      <c r="M177" s="107" t="e">
        <f>VLOOKUP($A177,'S45'!$C:$BQ,40,0)</f>
        <v>#N/A</v>
      </c>
      <c r="N177" s="107" t="e">
        <f>VLOOKUP($A177,'S45'!$C:$BQ,22,0)</f>
        <v>#N/A</v>
      </c>
      <c r="O177" s="115" t="e">
        <f>VLOOKUP($A177,'S45'!$C:$BQ,29,0)</f>
        <v>#N/A</v>
      </c>
      <c r="P177" s="115" t="e">
        <f>VLOOKUP($A177,'S45'!$C:$BQ,30,0)</f>
        <v>#N/A</v>
      </c>
      <c r="Q177" s="115" t="e">
        <f>VLOOKUP($A177,'S45'!$C:$BQ,52,0)</f>
        <v>#N/A</v>
      </c>
      <c r="R177" s="115" t="e">
        <f>VLOOKUP($A177,'S45'!$C:$BQ,59,0)</f>
        <v>#N/A</v>
      </c>
      <c r="S177" s="115" t="e">
        <f>VLOOKUP($A177,'S45'!$C:$BQ,60,0)</f>
        <v>#N/A</v>
      </c>
      <c r="T177" s="107" t="e">
        <f>VLOOKUP($A177,'S46'!$C:$BQ,32,0)</f>
        <v>#N/A</v>
      </c>
      <c r="U177" s="107" t="e">
        <f>VLOOKUP($A177,'S46'!$C:$BQ,39,0)</f>
        <v>#N/A</v>
      </c>
      <c r="V177" s="107" t="e">
        <f>VLOOKUP($A177,'S46'!$C:$BQ,40,0)</f>
        <v>#N/A</v>
      </c>
      <c r="W177" s="107" t="e">
        <f>VLOOKUP($A177,'S46'!$C:$BQ,22,0)</f>
        <v>#N/A</v>
      </c>
      <c r="X177" s="115" t="e">
        <f>VLOOKUP($A177,'S46'!$C:$BQ,29,0)</f>
        <v>#N/A</v>
      </c>
      <c r="Y177" s="115" t="e">
        <f>VLOOKUP($A177,'S46'!$C:$BQ,30,0)</f>
        <v>#N/A</v>
      </c>
      <c r="Z177" s="115" t="e">
        <f>VLOOKUP($A177,'S46'!$C:$BQ,52,0)</f>
        <v>#N/A</v>
      </c>
      <c r="AA177" s="115" t="e">
        <f>VLOOKUP($A177,'S46'!$C:$BQ,59,0)</f>
        <v>#N/A</v>
      </c>
      <c r="AB177" s="115" t="e">
        <f>VLOOKUP($A177,'S46'!$C:$BQ,60,0)</f>
        <v>#N/A</v>
      </c>
      <c r="AC177" s="107" t="e">
        <f>VLOOKUP($A177,'S47'!$C:$BQ,32,0)</f>
        <v>#N/A</v>
      </c>
      <c r="AD177" s="107" t="e">
        <f>VLOOKUP($A177,'S47'!$C:$BQ,39,0)</f>
        <v>#N/A</v>
      </c>
      <c r="AE177" s="107" t="e">
        <f>VLOOKUP($A177,'S47'!$C:$BQ,40,0)</f>
        <v>#N/A</v>
      </c>
      <c r="AF177" s="107" t="e">
        <f>VLOOKUP($A177,'S47'!$C:$BQ,22,0)</f>
        <v>#N/A</v>
      </c>
      <c r="AG177" s="115" t="e">
        <f>VLOOKUP($A177,'S47'!$C:$BQ,29,0)</f>
        <v>#N/A</v>
      </c>
      <c r="AH177" s="115" t="e">
        <f>VLOOKUP($A177,'S47'!$C:$BQ,30,0)</f>
        <v>#N/A</v>
      </c>
      <c r="AI177" s="115" t="e">
        <f>VLOOKUP($A177,'S47'!$C:$BQ,52,0)</f>
        <v>#N/A</v>
      </c>
      <c r="AJ177" s="115" t="e">
        <f>VLOOKUP($A177,'S47'!$C:$BQ,59,0)</f>
        <v>#N/A</v>
      </c>
      <c r="AK177" s="115" t="e">
        <f>VLOOKUP($A177,'S47'!$C:$BQ,60,0)</f>
        <v>#N/A</v>
      </c>
      <c r="AL177" s="107" t="e">
        <f>VLOOKUP($A177,'S48'!$C:$BQ,32,0)</f>
        <v>#N/A</v>
      </c>
      <c r="AM177" s="107" t="e">
        <f>VLOOKUP($A177,'S48'!$C:$BQ,39,0)</f>
        <v>#N/A</v>
      </c>
      <c r="AN177" s="107" t="e">
        <f>VLOOKUP($A177,'S48'!$C:$BQ,40,0)</f>
        <v>#N/A</v>
      </c>
      <c r="AO177" s="107" t="e">
        <f>VLOOKUP($A177,'S48'!$C:$BQ,22,0)</f>
        <v>#N/A</v>
      </c>
      <c r="AP177" s="115" t="e">
        <f>VLOOKUP($A177,'S48'!$C:$BQ,29,0)</f>
        <v>#N/A</v>
      </c>
      <c r="AQ177" s="115" t="e">
        <f>VLOOKUP($A177,'S48'!$C:$BQ,30,0)</f>
        <v>#N/A</v>
      </c>
      <c r="AR177" s="115" t="e">
        <f>VLOOKUP($A177,'S48'!$C:$BQ,52,0)</f>
        <v>#N/A</v>
      </c>
      <c r="AS177" s="115" t="e">
        <f>VLOOKUP($A177,'S48'!$C:$BQ,59,0)</f>
        <v>#N/A</v>
      </c>
      <c r="AT177" s="115" t="e">
        <f>VLOOKUP($A177,'S48'!$C:$BQ,60,0)</f>
        <v>#N/A</v>
      </c>
      <c r="AU177" s="107" t="e">
        <f>VLOOKUP($A177,'S49'!$C:$BQ,32,0)</f>
        <v>#N/A</v>
      </c>
      <c r="AV177" s="107" t="e">
        <f>VLOOKUP($A177,'S49'!$C:$BQ,39,0)</f>
        <v>#N/A</v>
      </c>
      <c r="AW177" s="107" t="e">
        <f>VLOOKUP($A177,'S49'!$C:$BQ,40,0)</f>
        <v>#N/A</v>
      </c>
      <c r="AX177" s="107" t="e">
        <f>VLOOKUP($A177,'S49'!$C:$BQ,22,0)</f>
        <v>#N/A</v>
      </c>
      <c r="AY177" s="115" t="e">
        <f>VLOOKUP($A177,'S49'!$C:$BQ,29,0)</f>
        <v>#N/A</v>
      </c>
      <c r="AZ177" s="115" t="e">
        <f>VLOOKUP($A177,'S49'!$C:$BQ,30,0)</f>
        <v>#N/A</v>
      </c>
      <c r="BA177" s="115" t="e">
        <f>VLOOKUP($A177,'S49'!$C:$BQ,52,0)</f>
        <v>#N/A</v>
      </c>
      <c r="BB177" s="115" t="e">
        <f>VLOOKUP($A177,'S49'!$C:$BQ,59,0)</f>
        <v>#N/A</v>
      </c>
      <c r="BC177" s="115" t="e">
        <f>VLOOKUP($A177,'S49'!$C:$BQ,60,0)</f>
        <v>#N/A</v>
      </c>
      <c r="BD177" s="107" t="e">
        <f>VLOOKUP($A177,'S50'!$C:$BQ,32,0)</f>
        <v>#N/A</v>
      </c>
      <c r="BE177" s="107" t="e">
        <f>VLOOKUP($A177,'S50'!$C:$BQ,39,0)</f>
        <v>#N/A</v>
      </c>
      <c r="BF177" s="107" t="e">
        <f>VLOOKUP($A177,'S50'!$C:$BQ,40,0)</f>
        <v>#N/A</v>
      </c>
      <c r="BG177" s="107" t="e">
        <f>VLOOKUP($A177,'S50'!$C:$BQ,22,0)</f>
        <v>#N/A</v>
      </c>
      <c r="BH177" s="115" t="e">
        <f>VLOOKUP($A177,'S50'!$C:$BQ,29,0)</f>
        <v>#N/A</v>
      </c>
      <c r="BI177" s="115" t="e">
        <f>VLOOKUP($A177,'S50'!$C:$BQ,30,0)</f>
        <v>#N/A</v>
      </c>
      <c r="BJ177" s="115" t="e">
        <f>VLOOKUP($A177,'S50'!$C:$BQ,52,0)</f>
        <v>#N/A</v>
      </c>
      <c r="BK177" s="115" t="e">
        <f>VLOOKUP($A177,'S50'!$C:$BQ,59,0)</f>
        <v>#N/A</v>
      </c>
      <c r="BL177" s="115" t="e">
        <f>VLOOKUP($A177,'S50'!$C:$BQ,60,0)</f>
        <v>#N/A</v>
      </c>
    </row>
    <row r="178" spans="1:64" x14ac:dyDescent="0.2">
      <c r="A178" s="106" t="s">
        <v>245</v>
      </c>
      <c r="B178" s="107">
        <f>VLOOKUP($A178,'S0 remplacer avec S44'!$C:$BQ,32,0)</f>
        <v>185.4</v>
      </c>
      <c r="C178" s="107">
        <f>VLOOKUP($A178,'S0 remplacer avec S44'!$C:$BQ,39,0)</f>
        <v>0</v>
      </c>
      <c r="D178" s="107">
        <f>VLOOKUP($A178,'S0 remplacer avec S44'!$C:$BQ,40,0)</f>
        <v>7</v>
      </c>
      <c r="E178" s="107">
        <f>VLOOKUP($A178,'S0 remplacer avec S44'!$C:$BQ,22,0)</f>
        <v>1588.9842599999999</v>
      </c>
      <c r="F178" s="115">
        <f>VLOOKUP($A178,'S0 remplacer avec S44'!$C:$BQ,29,0)</f>
        <v>0</v>
      </c>
      <c r="G178" s="115">
        <f>VLOOKUP($A178,'S0 remplacer avec S44'!$C:$BQ,30,0)</f>
        <v>154</v>
      </c>
      <c r="H178" s="115">
        <f>VLOOKUP($A178,'S0 remplacer avec S44'!$C:$BQ,52,0)</f>
        <v>116.6</v>
      </c>
      <c r="I178" s="115">
        <f>VLOOKUP($A178,'S0 remplacer avec S44'!$C:$BQ,59,0)</f>
        <v>0</v>
      </c>
      <c r="J178" s="115">
        <f>VLOOKUP($A178,'S0 remplacer avec S44'!$C:$BQ,60,0)</f>
        <v>0</v>
      </c>
      <c r="K178" s="107" t="e">
        <f>VLOOKUP($A178,'S45'!$C:$BQ,32,0)</f>
        <v>#N/A</v>
      </c>
      <c r="L178" s="107" t="e">
        <f>VLOOKUP($A178,'S45'!$C:$BQ,39,0)</f>
        <v>#N/A</v>
      </c>
      <c r="M178" s="107" t="e">
        <f>VLOOKUP($A178,'S45'!$C:$BQ,40,0)</f>
        <v>#N/A</v>
      </c>
      <c r="N178" s="107" t="e">
        <f>VLOOKUP($A178,'S45'!$C:$BQ,22,0)</f>
        <v>#N/A</v>
      </c>
      <c r="O178" s="115" t="e">
        <f>VLOOKUP($A178,'S45'!$C:$BQ,29,0)</f>
        <v>#N/A</v>
      </c>
      <c r="P178" s="115" t="e">
        <f>VLOOKUP($A178,'S45'!$C:$BQ,30,0)</f>
        <v>#N/A</v>
      </c>
      <c r="Q178" s="115" t="e">
        <f>VLOOKUP($A178,'S45'!$C:$BQ,52,0)</f>
        <v>#N/A</v>
      </c>
      <c r="R178" s="115" t="e">
        <f>VLOOKUP($A178,'S45'!$C:$BQ,59,0)</f>
        <v>#N/A</v>
      </c>
      <c r="S178" s="115" t="e">
        <f>VLOOKUP($A178,'S45'!$C:$BQ,60,0)</f>
        <v>#N/A</v>
      </c>
      <c r="T178" s="107" t="e">
        <f>VLOOKUP($A178,'S46'!$C:$BQ,32,0)</f>
        <v>#N/A</v>
      </c>
      <c r="U178" s="107" t="e">
        <f>VLOOKUP($A178,'S46'!$C:$BQ,39,0)</f>
        <v>#N/A</v>
      </c>
      <c r="V178" s="107" t="e">
        <f>VLOOKUP($A178,'S46'!$C:$BQ,40,0)</f>
        <v>#N/A</v>
      </c>
      <c r="W178" s="107" t="e">
        <f>VLOOKUP($A178,'S46'!$C:$BQ,22,0)</f>
        <v>#N/A</v>
      </c>
      <c r="X178" s="115" t="e">
        <f>VLOOKUP($A178,'S46'!$C:$BQ,29,0)</f>
        <v>#N/A</v>
      </c>
      <c r="Y178" s="115" t="e">
        <f>VLOOKUP($A178,'S46'!$C:$BQ,30,0)</f>
        <v>#N/A</v>
      </c>
      <c r="Z178" s="115" t="e">
        <f>VLOOKUP($A178,'S46'!$C:$BQ,52,0)</f>
        <v>#N/A</v>
      </c>
      <c r="AA178" s="115" t="e">
        <f>VLOOKUP($A178,'S46'!$C:$BQ,59,0)</f>
        <v>#N/A</v>
      </c>
      <c r="AB178" s="115" t="e">
        <f>VLOOKUP($A178,'S46'!$C:$BQ,60,0)</f>
        <v>#N/A</v>
      </c>
      <c r="AC178" s="107" t="e">
        <f>VLOOKUP($A178,'S47'!$C:$BQ,32,0)</f>
        <v>#N/A</v>
      </c>
      <c r="AD178" s="107" t="e">
        <f>VLOOKUP($A178,'S47'!$C:$BQ,39,0)</f>
        <v>#N/A</v>
      </c>
      <c r="AE178" s="107" t="e">
        <f>VLOOKUP($A178,'S47'!$C:$BQ,40,0)</f>
        <v>#N/A</v>
      </c>
      <c r="AF178" s="107" t="e">
        <f>VLOOKUP($A178,'S47'!$C:$BQ,22,0)</f>
        <v>#N/A</v>
      </c>
      <c r="AG178" s="115" t="e">
        <f>VLOOKUP($A178,'S47'!$C:$BQ,29,0)</f>
        <v>#N/A</v>
      </c>
      <c r="AH178" s="115" t="e">
        <f>VLOOKUP($A178,'S47'!$C:$BQ,30,0)</f>
        <v>#N/A</v>
      </c>
      <c r="AI178" s="115" t="e">
        <f>VLOOKUP($A178,'S47'!$C:$BQ,52,0)</f>
        <v>#N/A</v>
      </c>
      <c r="AJ178" s="115" t="e">
        <f>VLOOKUP($A178,'S47'!$C:$BQ,59,0)</f>
        <v>#N/A</v>
      </c>
      <c r="AK178" s="115" t="e">
        <f>VLOOKUP($A178,'S47'!$C:$BQ,60,0)</f>
        <v>#N/A</v>
      </c>
      <c r="AL178" s="107" t="e">
        <f>VLOOKUP($A178,'S48'!$C:$BQ,32,0)</f>
        <v>#N/A</v>
      </c>
      <c r="AM178" s="107" t="e">
        <f>VLOOKUP($A178,'S48'!$C:$BQ,39,0)</f>
        <v>#N/A</v>
      </c>
      <c r="AN178" s="107" t="e">
        <f>VLOOKUP($A178,'S48'!$C:$BQ,40,0)</f>
        <v>#N/A</v>
      </c>
      <c r="AO178" s="107" t="e">
        <f>VLOOKUP($A178,'S48'!$C:$BQ,22,0)</f>
        <v>#N/A</v>
      </c>
      <c r="AP178" s="115" t="e">
        <f>VLOOKUP($A178,'S48'!$C:$BQ,29,0)</f>
        <v>#N/A</v>
      </c>
      <c r="AQ178" s="115" t="e">
        <f>VLOOKUP($A178,'S48'!$C:$BQ,30,0)</f>
        <v>#N/A</v>
      </c>
      <c r="AR178" s="115" t="e">
        <f>VLOOKUP($A178,'S48'!$C:$BQ,52,0)</f>
        <v>#N/A</v>
      </c>
      <c r="AS178" s="115" t="e">
        <f>VLOOKUP($A178,'S48'!$C:$BQ,59,0)</f>
        <v>#N/A</v>
      </c>
      <c r="AT178" s="115" t="e">
        <f>VLOOKUP($A178,'S48'!$C:$BQ,60,0)</f>
        <v>#N/A</v>
      </c>
      <c r="AU178" s="107" t="e">
        <f>VLOOKUP($A178,'S49'!$C:$BQ,32,0)</f>
        <v>#N/A</v>
      </c>
      <c r="AV178" s="107" t="e">
        <f>VLOOKUP($A178,'S49'!$C:$BQ,39,0)</f>
        <v>#N/A</v>
      </c>
      <c r="AW178" s="107" t="e">
        <f>VLOOKUP($A178,'S49'!$C:$BQ,40,0)</f>
        <v>#N/A</v>
      </c>
      <c r="AX178" s="107" t="e">
        <f>VLOOKUP($A178,'S49'!$C:$BQ,22,0)</f>
        <v>#N/A</v>
      </c>
      <c r="AY178" s="115" t="e">
        <f>VLOOKUP($A178,'S49'!$C:$BQ,29,0)</f>
        <v>#N/A</v>
      </c>
      <c r="AZ178" s="115" t="e">
        <f>VLOOKUP($A178,'S49'!$C:$BQ,30,0)</f>
        <v>#N/A</v>
      </c>
      <c r="BA178" s="115" t="e">
        <f>VLOOKUP($A178,'S49'!$C:$BQ,52,0)</f>
        <v>#N/A</v>
      </c>
      <c r="BB178" s="115" t="e">
        <f>VLOOKUP($A178,'S49'!$C:$BQ,59,0)</f>
        <v>#N/A</v>
      </c>
      <c r="BC178" s="115" t="e">
        <f>VLOOKUP($A178,'S49'!$C:$BQ,60,0)</f>
        <v>#N/A</v>
      </c>
      <c r="BD178" s="107" t="e">
        <f>VLOOKUP($A178,'S50'!$C:$BQ,32,0)</f>
        <v>#N/A</v>
      </c>
      <c r="BE178" s="107" t="e">
        <f>VLOOKUP($A178,'S50'!$C:$BQ,39,0)</f>
        <v>#N/A</v>
      </c>
      <c r="BF178" s="107" t="e">
        <f>VLOOKUP($A178,'S50'!$C:$BQ,40,0)</f>
        <v>#N/A</v>
      </c>
      <c r="BG178" s="107" t="e">
        <f>VLOOKUP($A178,'S50'!$C:$BQ,22,0)</f>
        <v>#N/A</v>
      </c>
      <c r="BH178" s="115" t="e">
        <f>VLOOKUP($A178,'S50'!$C:$BQ,29,0)</f>
        <v>#N/A</v>
      </c>
      <c r="BI178" s="115" t="e">
        <f>VLOOKUP($A178,'S50'!$C:$BQ,30,0)</f>
        <v>#N/A</v>
      </c>
      <c r="BJ178" s="115" t="e">
        <f>VLOOKUP($A178,'S50'!$C:$BQ,52,0)</f>
        <v>#N/A</v>
      </c>
      <c r="BK178" s="115" t="e">
        <f>VLOOKUP($A178,'S50'!$C:$BQ,59,0)</f>
        <v>#N/A</v>
      </c>
      <c r="BL178" s="115" t="e">
        <f>VLOOKUP($A178,'S50'!$C:$BQ,60,0)</f>
        <v>#N/A</v>
      </c>
    </row>
    <row r="179" spans="1:64" x14ac:dyDescent="0.2">
      <c r="A179" s="106" t="s">
        <v>246</v>
      </c>
      <c r="B179" s="107">
        <f>VLOOKUP($A179,'S0 remplacer avec S44'!$C:$BQ,32,0)</f>
        <v>204.3</v>
      </c>
      <c r="C179" s="107">
        <f>VLOOKUP($A179,'S0 remplacer avec S44'!$C:$BQ,39,0)</f>
        <v>31</v>
      </c>
      <c r="D179" s="107">
        <f>VLOOKUP($A179,'S0 remplacer avec S44'!$C:$BQ,40,0)</f>
        <v>78</v>
      </c>
      <c r="E179" s="107">
        <f>VLOOKUP($A179,'S0 remplacer avec S44'!$C:$BQ,22,0)</f>
        <v>1846.50242</v>
      </c>
      <c r="F179" s="115">
        <f>VLOOKUP($A179,'S0 remplacer avec S44'!$C:$BQ,29,0)</f>
        <v>291</v>
      </c>
      <c r="G179" s="115">
        <f>VLOOKUP($A179,'S0 remplacer avec S44'!$C:$BQ,30,0)</f>
        <v>718</v>
      </c>
      <c r="H179" s="115">
        <f>VLOOKUP($A179,'S0 remplacer avec S44'!$C:$BQ,52,0)</f>
        <v>115</v>
      </c>
      <c r="I179" s="115">
        <f>VLOOKUP($A179,'S0 remplacer avec S44'!$C:$BQ,59,0)</f>
        <v>5</v>
      </c>
      <c r="J179" s="115">
        <f>VLOOKUP($A179,'S0 remplacer avec S44'!$C:$BQ,60,0)</f>
        <v>29</v>
      </c>
      <c r="K179" s="107" t="e">
        <f>VLOOKUP($A179,'S45'!$C:$BQ,32,0)</f>
        <v>#N/A</v>
      </c>
      <c r="L179" s="107" t="e">
        <f>VLOOKUP($A179,'S45'!$C:$BQ,39,0)</f>
        <v>#N/A</v>
      </c>
      <c r="M179" s="107" t="e">
        <f>VLOOKUP($A179,'S45'!$C:$BQ,40,0)</f>
        <v>#N/A</v>
      </c>
      <c r="N179" s="107" t="e">
        <f>VLOOKUP($A179,'S45'!$C:$BQ,22,0)</f>
        <v>#N/A</v>
      </c>
      <c r="O179" s="115" t="e">
        <f>VLOOKUP($A179,'S45'!$C:$BQ,29,0)</f>
        <v>#N/A</v>
      </c>
      <c r="P179" s="115" t="e">
        <f>VLOOKUP($A179,'S45'!$C:$BQ,30,0)</f>
        <v>#N/A</v>
      </c>
      <c r="Q179" s="115" t="e">
        <f>VLOOKUP($A179,'S45'!$C:$BQ,52,0)</f>
        <v>#N/A</v>
      </c>
      <c r="R179" s="115" t="e">
        <f>VLOOKUP($A179,'S45'!$C:$BQ,59,0)</f>
        <v>#N/A</v>
      </c>
      <c r="S179" s="115" t="e">
        <f>VLOOKUP($A179,'S45'!$C:$BQ,60,0)</f>
        <v>#N/A</v>
      </c>
      <c r="T179" s="107" t="e">
        <f>VLOOKUP($A179,'S46'!$C:$BQ,32,0)</f>
        <v>#N/A</v>
      </c>
      <c r="U179" s="107" t="e">
        <f>VLOOKUP($A179,'S46'!$C:$BQ,39,0)</f>
        <v>#N/A</v>
      </c>
      <c r="V179" s="107" t="e">
        <f>VLOOKUP($A179,'S46'!$C:$BQ,40,0)</f>
        <v>#N/A</v>
      </c>
      <c r="W179" s="107" t="e">
        <f>VLOOKUP($A179,'S46'!$C:$BQ,22,0)</f>
        <v>#N/A</v>
      </c>
      <c r="X179" s="115" t="e">
        <f>VLOOKUP($A179,'S46'!$C:$BQ,29,0)</f>
        <v>#N/A</v>
      </c>
      <c r="Y179" s="115" t="e">
        <f>VLOOKUP($A179,'S46'!$C:$BQ,30,0)</f>
        <v>#N/A</v>
      </c>
      <c r="Z179" s="115" t="e">
        <f>VLOOKUP($A179,'S46'!$C:$BQ,52,0)</f>
        <v>#N/A</v>
      </c>
      <c r="AA179" s="115" t="e">
        <f>VLOOKUP($A179,'S46'!$C:$BQ,59,0)</f>
        <v>#N/A</v>
      </c>
      <c r="AB179" s="115" t="e">
        <f>VLOOKUP($A179,'S46'!$C:$BQ,60,0)</f>
        <v>#N/A</v>
      </c>
      <c r="AC179" s="107" t="e">
        <f>VLOOKUP($A179,'S47'!$C:$BQ,32,0)</f>
        <v>#N/A</v>
      </c>
      <c r="AD179" s="107" t="e">
        <f>VLOOKUP($A179,'S47'!$C:$BQ,39,0)</f>
        <v>#N/A</v>
      </c>
      <c r="AE179" s="107" t="e">
        <f>VLOOKUP($A179,'S47'!$C:$BQ,40,0)</f>
        <v>#N/A</v>
      </c>
      <c r="AF179" s="107" t="e">
        <f>VLOOKUP($A179,'S47'!$C:$BQ,22,0)</f>
        <v>#N/A</v>
      </c>
      <c r="AG179" s="115" t="e">
        <f>VLOOKUP($A179,'S47'!$C:$BQ,29,0)</f>
        <v>#N/A</v>
      </c>
      <c r="AH179" s="115" t="e">
        <f>VLOOKUP($A179,'S47'!$C:$BQ,30,0)</f>
        <v>#N/A</v>
      </c>
      <c r="AI179" s="115" t="e">
        <f>VLOOKUP($A179,'S47'!$C:$BQ,52,0)</f>
        <v>#N/A</v>
      </c>
      <c r="AJ179" s="115" t="e">
        <f>VLOOKUP($A179,'S47'!$C:$BQ,59,0)</f>
        <v>#N/A</v>
      </c>
      <c r="AK179" s="115" t="e">
        <f>VLOOKUP($A179,'S47'!$C:$BQ,60,0)</f>
        <v>#N/A</v>
      </c>
      <c r="AL179" s="107" t="e">
        <f>VLOOKUP($A179,'S48'!$C:$BQ,32,0)</f>
        <v>#N/A</v>
      </c>
      <c r="AM179" s="107" t="e">
        <f>VLOOKUP($A179,'S48'!$C:$BQ,39,0)</f>
        <v>#N/A</v>
      </c>
      <c r="AN179" s="107" t="e">
        <f>VLOOKUP($A179,'S48'!$C:$BQ,40,0)</f>
        <v>#N/A</v>
      </c>
      <c r="AO179" s="107" t="e">
        <f>VLOOKUP($A179,'S48'!$C:$BQ,22,0)</f>
        <v>#N/A</v>
      </c>
      <c r="AP179" s="115" t="e">
        <f>VLOOKUP($A179,'S48'!$C:$BQ,29,0)</f>
        <v>#N/A</v>
      </c>
      <c r="AQ179" s="115" t="e">
        <f>VLOOKUP($A179,'S48'!$C:$BQ,30,0)</f>
        <v>#N/A</v>
      </c>
      <c r="AR179" s="115" t="e">
        <f>VLOOKUP($A179,'S48'!$C:$BQ,52,0)</f>
        <v>#N/A</v>
      </c>
      <c r="AS179" s="115" t="e">
        <f>VLOOKUP($A179,'S48'!$C:$BQ,59,0)</f>
        <v>#N/A</v>
      </c>
      <c r="AT179" s="115" t="e">
        <f>VLOOKUP($A179,'S48'!$C:$BQ,60,0)</f>
        <v>#N/A</v>
      </c>
      <c r="AU179" s="107" t="e">
        <f>VLOOKUP($A179,'S49'!$C:$BQ,32,0)</f>
        <v>#N/A</v>
      </c>
      <c r="AV179" s="107" t="e">
        <f>VLOOKUP($A179,'S49'!$C:$BQ,39,0)</f>
        <v>#N/A</v>
      </c>
      <c r="AW179" s="107" t="e">
        <f>VLOOKUP($A179,'S49'!$C:$BQ,40,0)</f>
        <v>#N/A</v>
      </c>
      <c r="AX179" s="107" t="e">
        <f>VLOOKUP($A179,'S49'!$C:$BQ,22,0)</f>
        <v>#N/A</v>
      </c>
      <c r="AY179" s="115" t="e">
        <f>VLOOKUP($A179,'S49'!$C:$BQ,29,0)</f>
        <v>#N/A</v>
      </c>
      <c r="AZ179" s="115" t="e">
        <f>VLOOKUP($A179,'S49'!$C:$BQ,30,0)</f>
        <v>#N/A</v>
      </c>
      <c r="BA179" s="115" t="e">
        <f>VLOOKUP($A179,'S49'!$C:$BQ,52,0)</f>
        <v>#N/A</v>
      </c>
      <c r="BB179" s="115" t="e">
        <f>VLOOKUP($A179,'S49'!$C:$BQ,59,0)</f>
        <v>#N/A</v>
      </c>
      <c r="BC179" s="115" t="e">
        <f>VLOOKUP($A179,'S49'!$C:$BQ,60,0)</f>
        <v>#N/A</v>
      </c>
      <c r="BD179" s="107" t="e">
        <f>VLOOKUP($A179,'S50'!$C:$BQ,32,0)</f>
        <v>#N/A</v>
      </c>
      <c r="BE179" s="107" t="e">
        <f>VLOOKUP($A179,'S50'!$C:$BQ,39,0)</f>
        <v>#N/A</v>
      </c>
      <c r="BF179" s="107" t="e">
        <f>VLOOKUP($A179,'S50'!$C:$BQ,40,0)</f>
        <v>#N/A</v>
      </c>
      <c r="BG179" s="107" t="e">
        <f>VLOOKUP($A179,'S50'!$C:$BQ,22,0)</f>
        <v>#N/A</v>
      </c>
      <c r="BH179" s="115" t="e">
        <f>VLOOKUP($A179,'S50'!$C:$BQ,29,0)</f>
        <v>#N/A</v>
      </c>
      <c r="BI179" s="115" t="e">
        <f>VLOOKUP($A179,'S50'!$C:$BQ,30,0)</f>
        <v>#N/A</v>
      </c>
      <c r="BJ179" s="115" t="e">
        <f>VLOOKUP($A179,'S50'!$C:$BQ,52,0)</f>
        <v>#N/A</v>
      </c>
      <c r="BK179" s="115" t="e">
        <f>VLOOKUP($A179,'S50'!$C:$BQ,59,0)</f>
        <v>#N/A</v>
      </c>
      <c r="BL179" s="115" t="e">
        <f>VLOOKUP($A179,'S50'!$C:$BQ,60,0)</f>
        <v>#N/A</v>
      </c>
    </row>
    <row r="180" spans="1:64" x14ac:dyDescent="0.2">
      <c r="A180" s="106" t="s">
        <v>247</v>
      </c>
      <c r="B180" s="107">
        <f>VLOOKUP($A180,'S0 remplacer avec S44'!$C:$BQ,32,0)</f>
        <v>185.75</v>
      </c>
      <c r="C180" s="107">
        <f>VLOOKUP($A180,'S0 remplacer avec S44'!$C:$BQ,39,0)</f>
        <v>95</v>
      </c>
      <c r="D180" s="107">
        <f>VLOOKUP($A180,'S0 remplacer avec S44'!$C:$BQ,40,0)</f>
        <v>151</v>
      </c>
      <c r="E180" s="107">
        <f>VLOOKUP($A180,'S0 remplacer avec S44'!$C:$BQ,22,0)</f>
        <v>2197.5763149999998</v>
      </c>
      <c r="F180" s="115">
        <f>VLOOKUP($A180,'S0 remplacer avec S44'!$C:$BQ,29,0)</f>
        <v>353</v>
      </c>
      <c r="G180" s="115">
        <f>VLOOKUP($A180,'S0 remplacer avec S44'!$C:$BQ,30,0)</f>
        <v>863</v>
      </c>
      <c r="H180" s="115">
        <f>VLOOKUP($A180,'S0 remplacer avec S44'!$C:$BQ,52,0)</f>
        <v>117.8</v>
      </c>
      <c r="I180" s="115">
        <f>VLOOKUP($A180,'S0 remplacer avec S44'!$C:$BQ,59,0)</f>
        <v>25</v>
      </c>
      <c r="J180" s="115">
        <f>VLOOKUP($A180,'S0 remplacer avec S44'!$C:$BQ,60,0)</f>
        <v>54</v>
      </c>
      <c r="K180" s="107" t="e">
        <f>VLOOKUP($A180,'S45'!$C:$BQ,32,0)</f>
        <v>#N/A</v>
      </c>
      <c r="L180" s="107" t="e">
        <f>VLOOKUP($A180,'S45'!$C:$BQ,39,0)</f>
        <v>#N/A</v>
      </c>
      <c r="M180" s="107" t="e">
        <f>VLOOKUP($A180,'S45'!$C:$BQ,40,0)</f>
        <v>#N/A</v>
      </c>
      <c r="N180" s="107" t="e">
        <f>VLOOKUP($A180,'S45'!$C:$BQ,22,0)</f>
        <v>#N/A</v>
      </c>
      <c r="O180" s="115" t="e">
        <f>VLOOKUP($A180,'S45'!$C:$BQ,29,0)</f>
        <v>#N/A</v>
      </c>
      <c r="P180" s="115" t="e">
        <f>VLOOKUP($A180,'S45'!$C:$BQ,30,0)</f>
        <v>#N/A</v>
      </c>
      <c r="Q180" s="115" t="e">
        <f>VLOOKUP($A180,'S45'!$C:$BQ,52,0)</f>
        <v>#N/A</v>
      </c>
      <c r="R180" s="115" t="e">
        <f>VLOOKUP($A180,'S45'!$C:$BQ,59,0)</f>
        <v>#N/A</v>
      </c>
      <c r="S180" s="115" t="e">
        <f>VLOOKUP($A180,'S45'!$C:$BQ,60,0)</f>
        <v>#N/A</v>
      </c>
      <c r="T180" s="107" t="e">
        <f>VLOOKUP($A180,'S46'!$C:$BQ,32,0)</f>
        <v>#N/A</v>
      </c>
      <c r="U180" s="107" t="e">
        <f>VLOOKUP($A180,'S46'!$C:$BQ,39,0)</f>
        <v>#N/A</v>
      </c>
      <c r="V180" s="107" t="e">
        <f>VLOOKUP($A180,'S46'!$C:$BQ,40,0)</f>
        <v>#N/A</v>
      </c>
      <c r="W180" s="107" t="e">
        <f>VLOOKUP($A180,'S46'!$C:$BQ,22,0)</f>
        <v>#N/A</v>
      </c>
      <c r="X180" s="115" t="e">
        <f>VLOOKUP($A180,'S46'!$C:$BQ,29,0)</f>
        <v>#N/A</v>
      </c>
      <c r="Y180" s="115" t="e">
        <f>VLOOKUP($A180,'S46'!$C:$BQ,30,0)</f>
        <v>#N/A</v>
      </c>
      <c r="Z180" s="115" t="e">
        <f>VLOOKUP($A180,'S46'!$C:$BQ,52,0)</f>
        <v>#N/A</v>
      </c>
      <c r="AA180" s="115" t="e">
        <f>VLOOKUP($A180,'S46'!$C:$BQ,59,0)</f>
        <v>#N/A</v>
      </c>
      <c r="AB180" s="115" t="e">
        <f>VLOOKUP($A180,'S46'!$C:$BQ,60,0)</f>
        <v>#N/A</v>
      </c>
      <c r="AC180" s="107" t="e">
        <f>VLOOKUP($A180,'S47'!$C:$BQ,32,0)</f>
        <v>#N/A</v>
      </c>
      <c r="AD180" s="107" t="e">
        <f>VLOOKUP($A180,'S47'!$C:$BQ,39,0)</f>
        <v>#N/A</v>
      </c>
      <c r="AE180" s="107" t="e">
        <f>VLOOKUP($A180,'S47'!$C:$BQ,40,0)</f>
        <v>#N/A</v>
      </c>
      <c r="AF180" s="107" t="e">
        <f>VLOOKUP($A180,'S47'!$C:$BQ,22,0)</f>
        <v>#N/A</v>
      </c>
      <c r="AG180" s="115" t="e">
        <f>VLOOKUP($A180,'S47'!$C:$BQ,29,0)</f>
        <v>#N/A</v>
      </c>
      <c r="AH180" s="115" t="e">
        <f>VLOOKUP($A180,'S47'!$C:$BQ,30,0)</f>
        <v>#N/A</v>
      </c>
      <c r="AI180" s="115" t="e">
        <f>VLOOKUP($A180,'S47'!$C:$BQ,52,0)</f>
        <v>#N/A</v>
      </c>
      <c r="AJ180" s="115" t="e">
        <f>VLOOKUP($A180,'S47'!$C:$BQ,59,0)</f>
        <v>#N/A</v>
      </c>
      <c r="AK180" s="115" t="e">
        <f>VLOOKUP($A180,'S47'!$C:$BQ,60,0)</f>
        <v>#N/A</v>
      </c>
      <c r="AL180" s="107" t="e">
        <f>VLOOKUP($A180,'S48'!$C:$BQ,32,0)</f>
        <v>#N/A</v>
      </c>
      <c r="AM180" s="107" t="e">
        <f>VLOOKUP($A180,'S48'!$C:$BQ,39,0)</f>
        <v>#N/A</v>
      </c>
      <c r="AN180" s="107" t="e">
        <f>VLOOKUP($A180,'S48'!$C:$BQ,40,0)</f>
        <v>#N/A</v>
      </c>
      <c r="AO180" s="107" t="e">
        <f>VLOOKUP($A180,'S48'!$C:$BQ,22,0)</f>
        <v>#N/A</v>
      </c>
      <c r="AP180" s="115" t="e">
        <f>VLOOKUP($A180,'S48'!$C:$BQ,29,0)</f>
        <v>#N/A</v>
      </c>
      <c r="AQ180" s="115" t="e">
        <f>VLOOKUP($A180,'S48'!$C:$BQ,30,0)</f>
        <v>#N/A</v>
      </c>
      <c r="AR180" s="115" t="e">
        <f>VLOOKUP($A180,'S48'!$C:$BQ,52,0)</f>
        <v>#N/A</v>
      </c>
      <c r="AS180" s="115" t="e">
        <f>VLOOKUP($A180,'S48'!$C:$BQ,59,0)</f>
        <v>#N/A</v>
      </c>
      <c r="AT180" s="115" t="e">
        <f>VLOOKUP($A180,'S48'!$C:$BQ,60,0)</f>
        <v>#N/A</v>
      </c>
      <c r="AU180" s="107" t="e">
        <f>VLOOKUP($A180,'S49'!$C:$BQ,32,0)</f>
        <v>#N/A</v>
      </c>
      <c r="AV180" s="107" t="e">
        <f>VLOOKUP($A180,'S49'!$C:$BQ,39,0)</f>
        <v>#N/A</v>
      </c>
      <c r="AW180" s="107" t="e">
        <f>VLOOKUP($A180,'S49'!$C:$BQ,40,0)</f>
        <v>#N/A</v>
      </c>
      <c r="AX180" s="107" t="e">
        <f>VLOOKUP($A180,'S49'!$C:$BQ,22,0)</f>
        <v>#N/A</v>
      </c>
      <c r="AY180" s="115" t="e">
        <f>VLOOKUP($A180,'S49'!$C:$BQ,29,0)</f>
        <v>#N/A</v>
      </c>
      <c r="AZ180" s="115" t="e">
        <f>VLOOKUP($A180,'S49'!$C:$BQ,30,0)</f>
        <v>#N/A</v>
      </c>
      <c r="BA180" s="115" t="e">
        <f>VLOOKUP($A180,'S49'!$C:$BQ,52,0)</f>
        <v>#N/A</v>
      </c>
      <c r="BB180" s="115" t="e">
        <f>VLOOKUP($A180,'S49'!$C:$BQ,59,0)</f>
        <v>#N/A</v>
      </c>
      <c r="BC180" s="115" t="e">
        <f>VLOOKUP($A180,'S49'!$C:$BQ,60,0)</f>
        <v>#N/A</v>
      </c>
      <c r="BD180" s="107" t="e">
        <f>VLOOKUP($A180,'S50'!$C:$BQ,32,0)</f>
        <v>#N/A</v>
      </c>
      <c r="BE180" s="107" t="e">
        <f>VLOOKUP($A180,'S50'!$C:$BQ,39,0)</f>
        <v>#N/A</v>
      </c>
      <c r="BF180" s="107" t="e">
        <f>VLOOKUP($A180,'S50'!$C:$BQ,40,0)</f>
        <v>#N/A</v>
      </c>
      <c r="BG180" s="107" t="e">
        <f>VLOOKUP($A180,'S50'!$C:$BQ,22,0)</f>
        <v>#N/A</v>
      </c>
      <c r="BH180" s="115" t="e">
        <f>VLOOKUP($A180,'S50'!$C:$BQ,29,0)</f>
        <v>#N/A</v>
      </c>
      <c r="BI180" s="115" t="e">
        <f>VLOOKUP($A180,'S50'!$C:$BQ,30,0)</f>
        <v>#N/A</v>
      </c>
      <c r="BJ180" s="115" t="e">
        <f>VLOOKUP($A180,'S50'!$C:$BQ,52,0)</f>
        <v>#N/A</v>
      </c>
      <c r="BK180" s="115" t="e">
        <f>VLOOKUP($A180,'S50'!$C:$BQ,59,0)</f>
        <v>#N/A</v>
      </c>
      <c r="BL180" s="115" t="e">
        <f>VLOOKUP($A180,'S50'!$C:$BQ,60,0)</f>
        <v>#N/A</v>
      </c>
    </row>
    <row r="181" spans="1:64" x14ac:dyDescent="0.2">
      <c r="A181" s="106" t="s">
        <v>248</v>
      </c>
      <c r="B181" s="107">
        <f>VLOOKUP($A181,'S0 remplacer avec S44'!$C:$BQ,32,0)</f>
        <v>171.6</v>
      </c>
      <c r="C181" s="107">
        <f>VLOOKUP($A181,'S0 remplacer avec S44'!$C:$BQ,39,0)</f>
        <v>114</v>
      </c>
      <c r="D181" s="107">
        <f>VLOOKUP($A181,'S0 remplacer avec S44'!$C:$BQ,40,0)</f>
        <v>171</v>
      </c>
      <c r="E181" s="107">
        <f>VLOOKUP($A181,'S0 remplacer avec S44'!$C:$BQ,22,0)</f>
        <v>1735.282305</v>
      </c>
      <c r="F181" s="115">
        <f>VLOOKUP($A181,'S0 remplacer avec S44'!$C:$BQ,29,0)</f>
        <v>855</v>
      </c>
      <c r="G181" s="115">
        <f>VLOOKUP($A181,'S0 remplacer avec S44'!$C:$BQ,30,0)</f>
        <v>1373</v>
      </c>
      <c r="H181" s="115">
        <f>VLOOKUP($A181,'S0 remplacer avec S44'!$C:$BQ,52,0)</f>
        <v>137</v>
      </c>
      <c r="I181" s="115">
        <f>VLOOKUP($A181,'S0 remplacer avec S44'!$C:$BQ,59,0)</f>
        <v>8</v>
      </c>
      <c r="J181" s="115">
        <f>VLOOKUP($A181,'S0 remplacer avec S44'!$C:$BQ,60,0)</f>
        <v>37</v>
      </c>
      <c r="K181" s="107" t="e">
        <f>VLOOKUP($A181,'S45'!$C:$BQ,32,0)</f>
        <v>#N/A</v>
      </c>
      <c r="L181" s="107" t="e">
        <f>VLOOKUP($A181,'S45'!$C:$BQ,39,0)</f>
        <v>#N/A</v>
      </c>
      <c r="M181" s="107" t="e">
        <f>VLOOKUP($A181,'S45'!$C:$BQ,40,0)</f>
        <v>#N/A</v>
      </c>
      <c r="N181" s="107" t="e">
        <f>VLOOKUP($A181,'S45'!$C:$BQ,22,0)</f>
        <v>#N/A</v>
      </c>
      <c r="O181" s="115" t="e">
        <f>VLOOKUP($A181,'S45'!$C:$BQ,29,0)</f>
        <v>#N/A</v>
      </c>
      <c r="P181" s="115" t="e">
        <f>VLOOKUP($A181,'S45'!$C:$BQ,30,0)</f>
        <v>#N/A</v>
      </c>
      <c r="Q181" s="115" t="e">
        <f>VLOOKUP($A181,'S45'!$C:$BQ,52,0)</f>
        <v>#N/A</v>
      </c>
      <c r="R181" s="115" t="e">
        <f>VLOOKUP($A181,'S45'!$C:$BQ,59,0)</f>
        <v>#N/A</v>
      </c>
      <c r="S181" s="115" t="e">
        <f>VLOOKUP($A181,'S45'!$C:$BQ,60,0)</f>
        <v>#N/A</v>
      </c>
      <c r="T181" s="107" t="e">
        <f>VLOOKUP($A181,'S46'!$C:$BQ,32,0)</f>
        <v>#N/A</v>
      </c>
      <c r="U181" s="107" t="e">
        <f>VLOOKUP($A181,'S46'!$C:$BQ,39,0)</f>
        <v>#N/A</v>
      </c>
      <c r="V181" s="107" t="e">
        <f>VLOOKUP($A181,'S46'!$C:$BQ,40,0)</f>
        <v>#N/A</v>
      </c>
      <c r="W181" s="107" t="e">
        <f>VLOOKUP($A181,'S46'!$C:$BQ,22,0)</f>
        <v>#N/A</v>
      </c>
      <c r="X181" s="115" t="e">
        <f>VLOOKUP($A181,'S46'!$C:$BQ,29,0)</f>
        <v>#N/A</v>
      </c>
      <c r="Y181" s="115" t="e">
        <f>VLOOKUP($A181,'S46'!$C:$BQ,30,0)</f>
        <v>#N/A</v>
      </c>
      <c r="Z181" s="115" t="e">
        <f>VLOOKUP($A181,'S46'!$C:$BQ,52,0)</f>
        <v>#N/A</v>
      </c>
      <c r="AA181" s="115" t="e">
        <f>VLOOKUP($A181,'S46'!$C:$BQ,59,0)</f>
        <v>#N/A</v>
      </c>
      <c r="AB181" s="115" t="e">
        <f>VLOOKUP($A181,'S46'!$C:$BQ,60,0)</f>
        <v>#N/A</v>
      </c>
      <c r="AC181" s="107" t="e">
        <f>VLOOKUP($A181,'S47'!$C:$BQ,32,0)</f>
        <v>#N/A</v>
      </c>
      <c r="AD181" s="107" t="e">
        <f>VLOOKUP($A181,'S47'!$C:$BQ,39,0)</f>
        <v>#N/A</v>
      </c>
      <c r="AE181" s="107" t="e">
        <f>VLOOKUP($A181,'S47'!$C:$BQ,40,0)</f>
        <v>#N/A</v>
      </c>
      <c r="AF181" s="107" t="e">
        <f>VLOOKUP($A181,'S47'!$C:$BQ,22,0)</f>
        <v>#N/A</v>
      </c>
      <c r="AG181" s="115" t="e">
        <f>VLOOKUP($A181,'S47'!$C:$BQ,29,0)</f>
        <v>#N/A</v>
      </c>
      <c r="AH181" s="115" t="e">
        <f>VLOOKUP($A181,'S47'!$C:$BQ,30,0)</f>
        <v>#N/A</v>
      </c>
      <c r="AI181" s="115" t="e">
        <f>VLOOKUP($A181,'S47'!$C:$BQ,52,0)</f>
        <v>#N/A</v>
      </c>
      <c r="AJ181" s="115" t="e">
        <f>VLOOKUP($A181,'S47'!$C:$BQ,59,0)</f>
        <v>#N/A</v>
      </c>
      <c r="AK181" s="115" t="e">
        <f>VLOOKUP($A181,'S47'!$C:$BQ,60,0)</f>
        <v>#N/A</v>
      </c>
      <c r="AL181" s="107" t="e">
        <f>VLOOKUP($A181,'S48'!$C:$BQ,32,0)</f>
        <v>#N/A</v>
      </c>
      <c r="AM181" s="107" t="e">
        <f>VLOOKUP($A181,'S48'!$C:$BQ,39,0)</f>
        <v>#N/A</v>
      </c>
      <c r="AN181" s="107" t="e">
        <f>VLOOKUP($A181,'S48'!$C:$BQ,40,0)</f>
        <v>#N/A</v>
      </c>
      <c r="AO181" s="107" t="e">
        <f>VLOOKUP($A181,'S48'!$C:$BQ,22,0)</f>
        <v>#N/A</v>
      </c>
      <c r="AP181" s="115" t="e">
        <f>VLOOKUP($A181,'S48'!$C:$BQ,29,0)</f>
        <v>#N/A</v>
      </c>
      <c r="AQ181" s="115" t="e">
        <f>VLOOKUP($A181,'S48'!$C:$BQ,30,0)</f>
        <v>#N/A</v>
      </c>
      <c r="AR181" s="115" t="e">
        <f>VLOOKUP($A181,'S48'!$C:$BQ,52,0)</f>
        <v>#N/A</v>
      </c>
      <c r="AS181" s="115" t="e">
        <f>VLOOKUP($A181,'S48'!$C:$BQ,59,0)</f>
        <v>#N/A</v>
      </c>
      <c r="AT181" s="115" t="e">
        <f>VLOOKUP($A181,'S48'!$C:$BQ,60,0)</f>
        <v>#N/A</v>
      </c>
      <c r="AU181" s="107" t="e">
        <f>VLOOKUP($A181,'S49'!$C:$BQ,32,0)</f>
        <v>#N/A</v>
      </c>
      <c r="AV181" s="107" t="e">
        <f>VLOOKUP($A181,'S49'!$C:$BQ,39,0)</f>
        <v>#N/A</v>
      </c>
      <c r="AW181" s="107" t="e">
        <f>VLOOKUP($A181,'S49'!$C:$BQ,40,0)</f>
        <v>#N/A</v>
      </c>
      <c r="AX181" s="107" t="e">
        <f>VLOOKUP($A181,'S49'!$C:$BQ,22,0)</f>
        <v>#N/A</v>
      </c>
      <c r="AY181" s="115" t="e">
        <f>VLOOKUP($A181,'S49'!$C:$BQ,29,0)</f>
        <v>#N/A</v>
      </c>
      <c r="AZ181" s="115" t="e">
        <f>VLOOKUP($A181,'S49'!$C:$BQ,30,0)</f>
        <v>#N/A</v>
      </c>
      <c r="BA181" s="115" t="e">
        <f>VLOOKUP($A181,'S49'!$C:$BQ,52,0)</f>
        <v>#N/A</v>
      </c>
      <c r="BB181" s="115" t="e">
        <f>VLOOKUP($A181,'S49'!$C:$BQ,59,0)</f>
        <v>#N/A</v>
      </c>
      <c r="BC181" s="115" t="e">
        <f>VLOOKUP($A181,'S49'!$C:$BQ,60,0)</f>
        <v>#N/A</v>
      </c>
      <c r="BD181" s="107" t="e">
        <f>VLOOKUP($A181,'S50'!$C:$BQ,32,0)</f>
        <v>#N/A</v>
      </c>
      <c r="BE181" s="107" t="e">
        <f>VLOOKUP($A181,'S50'!$C:$BQ,39,0)</f>
        <v>#N/A</v>
      </c>
      <c r="BF181" s="107" t="e">
        <f>VLOOKUP($A181,'S50'!$C:$BQ,40,0)</f>
        <v>#N/A</v>
      </c>
      <c r="BG181" s="107" t="e">
        <f>VLOOKUP($A181,'S50'!$C:$BQ,22,0)</f>
        <v>#N/A</v>
      </c>
      <c r="BH181" s="115" t="e">
        <f>VLOOKUP($A181,'S50'!$C:$BQ,29,0)</f>
        <v>#N/A</v>
      </c>
      <c r="BI181" s="115" t="e">
        <f>VLOOKUP($A181,'S50'!$C:$BQ,30,0)</f>
        <v>#N/A</v>
      </c>
      <c r="BJ181" s="115" t="e">
        <f>VLOOKUP($A181,'S50'!$C:$BQ,52,0)</f>
        <v>#N/A</v>
      </c>
      <c r="BK181" s="115" t="e">
        <f>VLOOKUP($A181,'S50'!$C:$BQ,59,0)</f>
        <v>#N/A</v>
      </c>
      <c r="BL181" s="115" t="e">
        <f>VLOOKUP($A181,'S50'!$C:$BQ,60,0)</f>
        <v>#N/A</v>
      </c>
    </row>
    <row r="182" spans="1:64" x14ac:dyDescent="0.2">
      <c r="A182" s="106" t="s">
        <v>249</v>
      </c>
      <c r="B182" s="107">
        <f>VLOOKUP($A182,'S0 remplacer avec S44'!$C:$BQ,32,0)</f>
        <v>112.8</v>
      </c>
      <c r="C182" s="107">
        <f>VLOOKUP($A182,'S0 remplacer avec S44'!$C:$BQ,39,0)</f>
        <v>79</v>
      </c>
      <c r="D182" s="107">
        <f>VLOOKUP($A182,'S0 remplacer avec S44'!$C:$BQ,40,0)</f>
        <v>117</v>
      </c>
      <c r="E182" s="107">
        <f>VLOOKUP($A182,'S0 remplacer avec S44'!$C:$BQ,22,0)</f>
        <v>1070.296705</v>
      </c>
      <c r="F182" s="115">
        <f>VLOOKUP($A182,'S0 remplacer avec S44'!$C:$BQ,29,0)</f>
        <v>669</v>
      </c>
      <c r="G182" s="115">
        <f>VLOOKUP($A182,'S0 remplacer avec S44'!$C:$BQ,30,0)</f>
        <v>1017</v>
      </c>
      <c r="H182" s="115">
        <f>VLOOKUP($A182,'S0 remplacer avec S44'!$C:$BQ,52,0)</f>
        <v>76</v>
      </c>
      <c r="I182" s="115">
        <f>VLOOKUP($A182,'S0 remplacer avec S44'!$C:$BQ,59,0)</f>
        <v>22</v>
      </c>
      <c r="J182" s="115">
        <f>VLOOKUP($A182,'S0 remplacer avec S44'!$C:$BQ,60,0)</f>
        <v>41</v>
      </c>
      <c r="K182" s="107" t="e">
        <f>VLOOKUP($A182,'S45'!$C:$BQ,32,0)</f>
        <v>#N/A</v>
      </c>
      <c r="L182" s="107" t="e">
        <f>VLOOKUP($A182,'S45'!$C:$BQ,39,0)</f>
        <v>#N/A</v>
      </c>
      <c r="M182" s="107" t="e">
        <f>VLOOKUP($A182,'S45'!$C:$BQ,40,0)</f>
        <v>#N/A</v>
      </c>
      <c r="N182" s="107" t="e">
        <f>VLOOKUP($A182,'S45'!$C:$BQ,22,0)</f>
        <v>#N/A</v>
      </c>
      <c r="O182" s="115" t="e">
        <f>VLOOKUP($A182,'S45'!$C:$BQ,29,0)</f>
        <v>#N/A</v>
      </c>
      <c r="P182" s="115" t="e">
        <f>VLOOKUP($A182,'S45'!$C:$BQ,30,0)</f>
        <v>#N/A</v>
      </c>
      <c r="Q182" s="115" t="e">
        <f>VLOOKUP($A182,'S45'!$C:$BQ,52,0)</f>
        <v>#N/A</v>
      </c>
      <c r="R182" s="115" t="e">
        <f>VLOOKUP($A182,'S45'!$C:$BQ,59,0)</f>
        <v>#N/A</v>
      </c>
      <c r="S182" s="115" t="e">
        <f>VLOOKUP($A182,'S45'!$C:$BQ,60,0)</f>
        <v>#N/A</v>
      </c>
      <c r="T182" s="107" t="e">
        <f>VLOOKUP($A182,'S46'!$C:$BQ,32,0)</f>
        <v>#N/A</v>
      </c>
      <c r="U182" s="107" t="e">
        <f>VLOOKUP($A182,'S46'!$C:$BQ,39,0)</f>
        <v>#N/A</v>
      </c>
      <c r="V182" s="107" t="e">
        <f>VLOOKUP($A182,'S46'!$C:$BQ,40,0)</f>
        <v>#N/A</v>
      </c>
      <c r="W182" s="107" t="e">
        <f>VLOOKUP($A182,'S46'!$C:$BQ,22,0)</f>
        <v>#N/A</v>
      </c>
      <c r="X182" s="115" t="e">
        <f>VLOOKUP($A182,'S46'!$C:$BQ,29,0)</f>
        <v>#N/A</v>
      </c>
      <c r="Y182" s="115" t="e">
        <f>VLOOKUP($A182,'S46'!$C:$BQ,30,0)</f>
        <v>#N/A</v>
      </c>
      <c r="Z182" s="115" t="e">
        <f>VLOOKUP($A182,'S46'!$C:$BQ,52,0)</f>
        <v>#N/A</v>
      </c>
      <c r="AA182" s="115" t="e">
        <f>VLOOKUP($A182,'S46'!$C:$BQ,59,0)</f>
        <v>#N/A</v>
      </c>
      <c r="AB182" s="115" t="e">
        <f>VLOOKUP($A182,'S46'!$C:$BQ,60,0)</f>
        <v>#N/A</v>
      </c>
      <c r="AC182" s="107" t="e">
        <f>VLOOKUP($A182,'S47'!$C:$BQ,32,0)</f>
        <v>#N/A</v>
      </c>
      <c r="AD182" s="107" t="e">
        <f>VLOOKUP($A182,'S47'!$C:$BQ,39,0)</f>
        <v>#N/A</v>
      </c>
      <c r="AE182" s="107" t="e">
        <f>VLOOKUP($A182,'S47'!$C:$BQ,40,0)</f>
        <v>#N/A</v>
      </c>
      <c r="AF182" s="107" t="e">
        <f>VLOOKUP($A182,'S47'!$C:$BQ,22,0)</f>
        <v>#N/A</v>
      </c>
      <c r="AG182" s="115" t="e">
        <f>VLOOKUP($A182,'S47'!$C:$BQ,29,0)</f>
        <v>#N/A</v>
      </c>
      <c r="AH182" s="115" t="e">
        <f>VLOOKUP($A182,'S47'!$C:$BQ,30,0)</f>
        <v>#N/A</v>
      </c>
      <c r="AI182" s="115" t="e">
        <f>VLOOKUP($A182,'S47'!$C:$BQ,52,0)</f>
        <v>#N/A</v>
      </c>
      <c r="AJ182" s="115" t="e">
        <f>VLOOKUP($A182,'S47'!$C:$BQ,59,0)</f>
        <v>#N/A</v>
      </c>
      <c r="AK182" s="115" t="e">
        <f>VLOOKUP($A182,'S47'!$C:$BQ,60,0)</f>
        <v>#N/A</v>
      </c>
      <c r="AL182" s="107" t="e">
        <f>VLOOKUP($A182,'S48'!$C:$BQ,32,0)</f>
        <v>#N/A</v>
      </c>
      <c r="AM182" s="107" t="e">
        <f>VLOOKUP($A182,'S48'!$C:$BQ,39,0)</f>
        <v>#N/A</v>
      </c>
      <c r="AN182" s="107" t="e">
        <f>VLOOKUP($A182,'S48'!$C:$BQ,40,0)</f>
        <v>#N/A</v>
      </c>
      <c r="AO182" s="107" t="e">
        <f>VLOOKUP($A182,'S48'!$C:$BQ,22,0)</f>
        <v>#N/A</v>
      </c>
      <c r="AP182" s="115" t="e">
        <f>VLOOKUP($A182,'S48'!$C:$BQ,29,0)</f>
        <v>#N/A</v>
      </c>
      <c r="AQ182" s="115" t="e">
        <f>VLOOKUP($A182,'S48'!$C:$BQ,30,0)</f>
        <v>#N/A</v>
      </c>
      <c r="AR182" s="115" t="e">
        <f>VLOOKUP($A182,'S48'!$C:$BQ,52,0)</f>
        <v>#N/A</v>
      </c>
      <c r="AS182" s="115" t="e">
        <f>VLOOKUP($A182,'S48'!$C:$BQ,59,0)</f>
        <v>#N/A</v>
      </c>
      <c r="AT182" s="115" t="e">
        <f>VLOOKUP($A182,'S48'!$C:$BQ,60,0)</f>
        <v>#N/A</v>
      </c>
      <c r="AU182" s="107" t="e">
        <f>VLOOKUP($A182,'S49'!$C:$BQ,32,0)</f>
        <v>#N/A</v>
      </c>
      <c r="AV182" s="107" t="e">
        <f>VLOOKUP($A182,'S49'!$C:$BQ,39,0)</f>
        <v>#N/A</v>
      </c>
      <c r="AW182" s="107" t="e">
        <f>VLOOKUP($A182,'S49'!$C:$BQ,40,0)</f>
        <v>#N/A</v>
      </c>
      <c r="AX182" s="107" t="e">
        <f>VLOOKUP($A182,'S49'!$C:$BQ,22,0)</f>
        <v>#N/A</v>
      </c>
      <c r="AY182" s="115" t="e">
        <f>VLOOKUP($A182,'S49'!$C:$BQ,29,0)</f>
        <v>#N/A</v>
      </c>
      <c r="AZ182" s="115" t="e">
        <f>VLOOKUP($A182,'S49'!$C:$BQ,30,0)</f>
        <v>#N/A</v>
      </c>
      <c r="BA182" s="115" t="e">
        <f>VLOOKUP($A182,'S49'!$C:$BQ,52,0)</f>
        <v>#N/A</v>
      </c>
      <c r="BB182" s="115" t="e">
        <f>VLOOKUP($A182,'S49'!$C:$BQ,59,0)</f>
        <v>#N/A</v>
      </c>
      <c r="BC182" s="115" t="e">
        <f>VLOOKUP($A182,'S49'!$C:$BQ,60,0)</f>
        <v>#N/A</v>
      </c>
      <c r="BD182" s="107" t="e">
        <f>VLOOKUP($A182,'S50'!$C:$BQ,32,0)</f>
        <v>#N/A</v>
      </c>
      <c r="BE182" s="107" t="e">
        <f>VLOOKUP($A182,'S50'!$C:$BQ,39,0)</f>
        <v>#N/A</v>
      </c>
      <c r="BF182" s="107" t="e">
        <f>VLOOKUP($A182,'S50'!$C:$BQ,40,0)</f>
        <v>#N/A</v>
      </c>
      <c r="BG182" s="107" t="e">
        <f>VLOOKUP($A182,'S50'!$C:$BQ,22,0)</f>
        <v>#N/A</v>
      </c>
      <c r="BH182" s="115" t="e">
        <f>VLOOKUP($A182,'S50'!$C:$BQ,29,0)</f>
        <v>#N/A</v>
      </c>
      <c r="BI182" s="115" t="e">
        <f>VLOOKUP($A182,'S50'!$C:$BQ,30,0)</f>
        <v>#N/A</v>
      </c>
      <c r="BJ182" s="115" t="e">
        <f>VLOOKUP($A182,'S50'!$C:$BQ,52,0)</f>
        <v>#N/A</v>
      </c>
      <c r="BK182" s="115" t="e">
        <f>VLOOKUP($A182,'S50'!$C:$BQ,59,0)</f>
        <v>#N/A</v>
      </c>
      <c r="BL182" s="115" t="e">
        <f>VLOOKUP($A182,'S50'!$C:$BQ,60,0)</f>
        <v>#N/A</v>
      </c>
    </row>
    <row r="183" spans="1:64" x14ac:dyDescent="0.2">
      <c r="A183" s="106" t="s">
        <v>250</v>
      </c>
      <c r="B183" s="107">
        <f>VLOOKUP($A183,'S0 remplacer avec S44'!$C:$BQ,32,0)</f>
        <v>183.9</v>
      </c>
      <c r="C183" s="107">
        <f>VLOOKUP($A183,'S0 remplacer avec S44'!$C:$BQ,39,0)</f>
        <v>64</v>
      </c>
      <c r="D183" s="107">
        <f>VLOOKUP($A183,'S0 remplacer avec S44'!$C:$BQ,40,0)</f>
        <v>113</v>
      </c>
      <c r="E183" s="107">
        <f>VLOOKUP($A183,'S0 remplacer avec S44'!$C:$BQ,22,0)</f>
        <v>1871.66551</v>
      </c>
      <c r="F183" s="115">
        <f>VLOOKUP($A183,'S0 remplacer avec S44'!$C:$BQ,29,0)</f>
        <v>377</v>
      </c>
      <c r="G183" s="115">
        <f>VLOOKUP($A183,'S0 remplacer avec S44'!$C:$BQ,30,0)</f>
        <v>827</v>
      </c>
      <c r="H183" s="115">
        <f>VLOOKUP($A183,'S0 remplacer avec S44'!$C:$BQ,52,0)</f>
        <v>206.6</v>
      </c>
      <c r="I183" s="115">
        <f>VLOOKUP($A183,'S0 remplacer avec S44'!$C:$BQ,59,0)</f>
        <v>0</v>
      </c>
      <c r="J183" s="115">
        <f>VLOOKUP($A183,'S0 remplacer avec S44'!$C:$BQ,60,0)</f>
        <v>0</v>
      </c>
      <c r="K183" s="107" t="e">
        <f>VLOOKUP($A183,'S45'!$C:$BQ,32,0)</f>
        <v>#N/A</v>
      </c>
      <c r="L183" s="107" t="e">
        <f>VLOOKUP($A183,'S45'!$C:$BQ,39,0)</f>
        <v>#N/A</v>
      </c>
      <c r="M183" s="107" t="e">
        <f>VLOOKUP($A183,'S45'!$C:$BQ,40,0)</f>
        <v>#N/A</v>
      </c>
      <c r="N183" s="107" t="e">
        <f>VLOOKUP($A183,'S45'!$C:$BQ,22,0)</f>
        <v>#N/A</v>
      </c>
      <c r="O183" s="115" t="e">
        <f>VLOOKUP($A183,'S45'!$C:$BQ,29,0)</f>
        <v>#N/A</v>
      </c>
      <c r="P183" s="115" t="e">
        <f>VLOOKUP($A183,'S45'!$C:$BQ,30,0)</f>
        <v>#N/A</v>
      </c>
      <c r="Q183" s="115" t="e">
        <f>VLOOKUP($A183,'S45'!$C:$BQ,52,0)</f>
        <v>#N/A</v>
      </c>
      <c r="R183" s="115" t="e">
        <f>VLOOKUP($A183,'S45'!$C:$BQ,59,0)</f>
        <v>#N/A</v>
      </c>
      <c r="S183" s="115" t="e">
        <f>VLOOKUP($A183,'S45'!$C:$BQ,60,0)</f>
        <v>#N/A</v>
      </c>
      <c r="T183" s="107" t="e">
        <f>VLOOKUP($A183,'S46'!$C:$BQ,32,0)</f>
        <v>#N/A</v>
      </c>
      <c r="U183" s="107" t="e">
        <f>VLOOKUP($A183,'S46'!$C:$BQ,39,0)</f>
        <v>#N/A</v>
      </c>
      <c r="V183" s="107" t="e">
        <f>VLOOKUP($A183,'S46'!$C:$BQ,40,0)</f>
        <v>#N/A</v>
      </c>
      <c r="W183" s="107" t="e">
        <f>VLOOKUP($A183,'S46'!$C:$BQ,22,0)</f>
        <v>#N/A</v>
      </c>
      <c r="X183" s="115" t="e">
        <f>VLOOKUP($A183,'S46'!$C:$BQ,29,0)</f>
        <v>#N/A</v>
      </c>
      <c r="Y183" s="115" t="e">
        <f>VLOOKUP($A183,'S46'!$C:$BQ,30,0)</f>
        <v>#N/A</v>
      </c>
      <c r="Z183" s="115" t="e">
        <f>VLOOKUP($A183,'S46'!$C:$BQ,52,0)</f>
        <v>#N/A</v>
      </c>
      <c r="AA183" s="115" t="e">
        <f>VLOOKUP($A183,'S46'!$C:$BQ,59,0)</f>
        <v>#N/A</v>
      </c>
      <c r="AB183" s="115" t="e">
        <f>VLOOKUP($A183,'S46'!$C:$BQ,60,0)</f>
        <v>#N/A</v>
      </c>
      <c r="AC183" s="107" t="e">
        <f>VLOOKUP($A183,'S47'!$C:$BQ,32,0)</f>
        <v>#N/A</v>
      </c>
      <c r="AD183" s="107" t="e">
        <f>VLOOKUP($A183,'S47'!$C:$BQ,39,0)</f>
        <v>#N/A</v>
      </c>
      <c r="AE183" s="107" t="e">
        <f>VLOOKUP($A183,'S47'!$C:$BQ,40,0)</f>
        <v>#N/A</v>
      </c>
      <c r="AF183" s="107" t="e">
        <f>VLOOKUP($A183,'S47'!$C:$BQ,22,0)</f>
        <v>#N/A</v>
      </c>
      <c r="AG183" s="115" t="e">
        <f>VLOOKUP($A183,'S47'!$C:$BQ,29,0)</f>
        <v>#N/A</v>
      </c>
      <c r="AH183" s="115" t="e">
        <f>VLOOKUP($A183,'S47'!$C:$BQ,30,0)</f>
        <v>#N/A</v>
      </c>
      <c r="AI183" s="115" t="e">
        <f>VLOOKUP($A183,'S47'!$C:$BQ,52,0)</f>
        <v>#N/A</v>
      </c>
      <c r="AJ183" s="115" t="e">
        <f>VLOOKUP($A183,'S47'!$C:$BQ,59,0)</f>
        <v>#N/A</v>
      </c>
      <c r="AK183" s="115" t="e">
        <f>VLOOKUP($A183,'S47'!$C:$BQ,60,0)</f>
        <v>#N/A</v>
      </c>
      <c r="AL183" s="107" t="e">
        <f>VLOOKUP($A183,'S48'!$C:$BQ,32,0)</f>
        <v>#N/A</v>
      </c>
      <c r="AM183" s="107" t="e">
        <f>VLOOKUP($A183,'S48'!$C:$BQ,39,0)</f>
        <v>#N/A</v>
      </c>
      <c r="AN183" s="107" t="e">
        <f>VLOOKUP($A183,'S48'!$C:$BQ,40,0)</f>
        <v>#N/A</v>
      </c>
      <c r="AO183" s="107" t="e">
        <f>VLOOKUP($A183,'S48'!$C:$BQ,22,0)</f>
        <v>#N/A</v>
      </c>
      <c r="AP183" s="115" t="e">
        <f>VLOOKUP($A183,'S48'!$C:$BQ,29,0)</f>
        <v>#N/A</v>
      </c>
      <c r="AQ183" s="115" t="e">
        <f>VLOOKUP($A183,'S48'!$C:$BQ,30,0)</f>
        <v>#N/A</v>
      </c>
      <c r="AR183" s="115" t="e">
        <f>VLOOKUP($A183,'S48'!$C:$BQ,52,0)</f>
        <v>#N/A</v>
      </c>
      <c r="AS183" s="115" t="e">
        <f>VLOOKUP($A183,'S48'!$C:$BQ,59,0)</f>
        <v>#N/A</v>
      </c>
      <c r="AT183" s="115" t="e">
        <f>VLOOKUP($A183,'S48'!$C:$BQ,60,0)</f>
        <v>#N/A</v>
      </c>
      <c r="AU183" s="107" t="e">
        <f>VLOOKUP($A183,'S49'!$C:$BQ,32,0)</f>
        <v>#N/A</v>
      </c>
      <c r="AV183" s="107" t="e">
        <f>VLOOKUP($A183,'S49'!$C:$BQ,39,0)</f>
        <v>#N/A</v>
      </c>
      <c r="AW183" s="107" t="e">
        <f>VLOOKUP($A183,'S49'!$C:$BQ,40,0)</f>
        <v>#N/A</v>
      </c>
      <c r="AX183" s="107" t="e">
        <f>VLOOKUP($A183,'S49'!$C:$BQ,22,0)</f>
        <v>#N/A</v>
      </c>
      <c r="AY183" s="115" t="e">
        <f>VLOOKUP($A183,'S49'!$C:$BQ,29,0)</f>
        <v>#N/A</v>
      </c>
      <c r="AZ183" s="115" t="e">
        <f>VLOOKUP($A183,'S49'!$C:$BQ,30,0)</f>
        <v>#N/A</v>
      </c>
      <c r="BA183" s="115" t="e">
        <f>VLOOKUP($A183,'S49'!$C:$BQ,52,0)</f>
        <v>#N/A</v>
      </c>
      <c r="BB183" s="115" t="e">
        <f>VLOOKUP($A183,'S49'!$C:$BQ,59,0)</f>
        <v>#N/A</v>
      </c>
      <c r="BC183" s="115" t="e">
        <f>VLOOKUP($A183,'S49'!$C:$BQ,60,0)</f>
        <v>#N/A</v>
      </c>
      <c r="BD183" s="107" t="e">
        <f>VLOOKUP($A183,'S50'!$C:$BQ,32,0)</f>
        <v>#N/A</v>
      </c>
      <c r="BE183" s="107" t="e">
        <f>VLOOKUP($A183,'S50'!$C:$BQ,39,0)</f>
        <v>#N/A</v>
      </c>
      <c r="BF183" s="107" t="e">
        <f>VLOOKUP($A183,'S50'!$C:$BQ,40,0)</f>
        <v>#N/A</v>
      </c>
      <c r="BG183" s="107" t="e">
        <f>VLOOKUP($A183,'S50'!$C:$BQ,22,0)</f>
        <v>#N/A</v>
      </c>
      <c r="BH183" s="115" t="e">
        <f>VLOOKUP($A183,'S50'!$C:$BQ,29,0)</f>
        <v>#N/A</v>
      </c>
      <c r="BI183" s="115" t="e">
        <f>VLOOKUP($A183,'S50'!$C:$BQ,30,0)</f>
        <v>#N/A</v>
      </c>
      <c r="BJ183" s="115" t="e">
        <f>VLOOKUP($A183,'S50'!$C:$BQ,52,0)</f>
        <v>#N/A</v>
      </c>
      <c r="BK183" s="115" t="e">
        <f>VLOOKUP($A183,'S50'!$C:$BQ,59,0)</f>
        <v>#N/A</v>
      </c>
      <c r="BL183" s="115" t="e">
        <f>VLOOKUP($A183,'S50'!$C:$BQ,60,0)</f>
        <v>#N/A</v>
      </c>
    </row>
    <row r="184" spans="1:64" x14ac:dyDescent="0.2">
      <c r="A184" s="106" t="s">
        <v>251</v>
      </c>
      <c r="B184" s="107">
        <f>VLOOKUP($A184,'S0 remplacer avec S44'!$C:$BQ,32,0)</f>
        <v>157.19999999999999</v>
      </c>
      <c r="C184" s="107">
        <f>VLOOKUP($A184,'S0 remplacer avec S44'!$C:$BQ,39,0)</f>
        <v>0</v>
      </c>
      <c r="D184" s="107">
        <f>VLOOKUP($A184,'S0 remplacer avec S44'!$C:$BQ,40,0)</f>
        <v>0</v>
      </c>
      <c r="E184" s="107">
        <f>VLOOKUP($A184,'S0 remplacer avec S44'!$C:$BQ,22,0)</f>
        <v>1254.1994549999999</v>
      </c>
      <c r="F184" s="115">
        <f>VLOOKUP($A184,'S0 remplacer avec S44'!$C:$BQ,29,0)</f>
        <v>0</v>
      </c>
      <c r="G184" s="115">
        <f>VLOOKUP($A184,'S0 remplacer avec S44'!$C:$BQ,30,0)</f>
        <v>4</v>
      </c>
      <c r="H184" s="115">
        <f>VLOOKUP($A184,'S0 remplacer avec S44'!$C:$BQ,52,0)</f>
        <v>85</v>
      </c>
      <c r="I184" s="115">
        <f>VLOOKUP($A184,'S0 remplacer avec S44'!$C:$BQ,59,0)</f>
        <v>0</v>
      </c>
      <c r="J184" s="115">
        <f>VLOOKUP($A184,'S0 remplacer avec S44'!$C:$BQ,60,0)</f>
        <v>0</v>
      </c>
      <c r="K184" s="107" t="e">
        <f>VLOOKUP($A184,'S45'!$C:$BQ,32,0)</f>
        <v>#N/A</v>
      </c>
      <c r="L184" s="107" t="e">
        <f>VLOOKUP($A184,'S45'!$C:$BQ,39,0)</f>
        <v>#N/A</v>
      </c>
      <c r="M184" s="107" t="e">
        <f>VLOOKUP($A184,'S45'!$C:$BQ,40,0)</f>
        <v>#N/A</v>
      </c>
      <c r="N184" s="107" t="e">
        <f>VLOOKUP($A184,'S45'!$C:$BQ,22,0)</f>
        <v>#N/A</v>
      </c>
      <c r="O184" s="115" t="e">
        <f>VLOOKUP($A184,'S45'!$C:$BQ,29,0)</f>
        <v>#N/A</v>
      </c>
      <c r="P184" s="115" t="e">
        <f>VLOOKUP($A184,'S45'!$C:$BQ,30,0)</f>
        <v>#N/A</v>
      </c>
      <c r="Q184" s="115" t="e">
        <f>VLOOKUP($A184,'S45'!$C:$BQ,52,0)</f>
        <v>#N/A</v>
      </c>
      <c r="R184" s="115" t="e">
        <f>VLOOKUP($A184,'S45'!$C:$BQ,59,0)</f>
        <v>#N/A</v>
      </c>
      <c r="S184" s="115" t="e">
        <f>VLOOKUP($A184,'S45'!$C:$BQ,60,0)</f>
        <v>#N/A</v>
      </c>
      <c r="T184" s="107" t="e">
        <f>VLOOKUP($A184,'S46'!$C:$BQ,32,0)</f>
        <v>#N/A</v>
      </c>
      <c r="U184" s="107" t="e">
        <f>VLOOKUP($A184,'S46'!$C:$BQ,39,0)</f>
        <v>#N/A</v>
      </c>
      <c r="V184" s="107" t="e">
        <f>VLOOKUP($A184,'S46'!$C:$BQ,40,0)</f>
        <v>#N/A</v>
      </c>
      <c r="W184" s="107" t="e">
        <f>VLOOKUP($A184,'S46'!$C:$BQ,22,0)</f>
        <v>#N/A</v>
      </c>
      <c r="X184" s="115" t="e">
        <f>VLOOKUP($A184,'S46'!$C:$BQ,29,0)</f>
        <v>#N/A</v>
      </c>
      <c r="Y184" s="115" t="e">
        <f>VLOOKUP($A184,'S46'!$C:$BQ,30,0)</f>
        <v>#N/A</v>
      </c>
      <c r="Z184" s="115" t="e">
        <f>VLOOKUP($A184,'S46'!$C:$BQ,52,0)</f>
        <v>#N/A</v>
      </c>
      <c r="AA184" s="115" t="e">
        <f>VLOOKUP($A184,'S46'!$C:$BQ,59,0)</f>
        <v>#N/A</v>
      </c>
      <c r="AB184" s="115" t="e">
        <f>VLOOKUP($A184,'S46'!$C:$BQ,60,0)</f>
        <v>#N/A</v>
      </c>
      <c r="AC184" s="107" t="e">
        <f>VLOOKUP($A184,'S47'!$C:$BQ,32,0)</f>
        <v>#N/A</v>
      </c>
      <c r="AD184" s="107" t="e">
        <f>VLOOKUP($A184,'S47'!$C:$BQ,39,0)</f>
        <v>#N/A</v>
      </c>
      <c r="AE184" s="107" t="e">
        <f>VLOOKUP($A184,'S47'!$C:$BQ,40,0)</f>
        <v>#N/A</v>
      </c>
      <c r="AF184" s="107" t="e">
        <f>VLOOKUP($A184,'S47'!$C:$BQ,22,0)</f>
        <v>#N/A</v>
      </c>
      <c r="AG184" s="115" t="e">
        <f>VLOOKUP($A184,'S47'!$C:$BQ,29,0)</f>
        <v>#N/A</v>
      </c>
      <c r="AH184" s="115" t="e">
        <f>VLOOKUP($A184,'S47'!$C:$BQ,30,0)</f>
        <v>#N/A</v>
      </c>
      <c r="AI184" s="115" t="e">
        <f>VLOOKUP($A184,'S47'!$C:$BQ,52,0)</f>
        <v>#N/A</v>
      </c>
      <c r="AJ184" s="115" t="e">
        <f>VLOOKUP($A184,'S47'!$C:$BQ,59,0)</f>
        <v>#N/A</v>
      </c>
      <c r="AK184" s="115" t="e">
        <f>VLOOKUP($A184,'S47'!$C:$BQ,60,0)</f>
        <v>#N/A</v>
      </c>
      <c r="AL184" s="107" t="e">
        <f>VLOOKUP($A184,'S48'!$C:$BQ,32,0)</f>
        <v>#N/A</v>
      </c>
      <c r="AM184" s="107" t="e">
        <f>VLOOKUP($A184,'S48'!$C:$BQ,39,0)</f>
        <v>#N/A</v>
      </c>
      <c r="AN184" s="107" t="e">
        <f>VLOOKUP($A184,'S48'!$C:$BQ,40,0)</f>
        <v>#N/A</v>
      </c>
      <c r="AO184" s="107" t="e">
        <f>VLOOKUP($A184,'S48'!$C:$BQ,22,0)</f>
        <v>#N/A</v>
      </c>
      <c r="AP184" s="115" t="e">
        <f>VLOOKUP($A184,'S48'!$C:$BQ,29,0)</f>
        <v>#N/A</v>
      </c>
      <c r="AQ184" s="115" t="e">
        <f>VLOOKUP($A184,'S48'!$C:$BQ,30,0)</f>
        <v>#N/A</v>
      </c>
      <c r="AR184" s="115" t="e">
        <f>VLOOKUP($A184,'S48'!$C:$BQ,52,0)</f>
        <v>#N/A</v>
      </c>
      <c r="AS184" s="115" t="e">
        <f>VLOOKUP($A184,'S48'!$C:$BQ,59,0)</f>
        <v>#N/A</v>
      </c>
      <c r="AT184" s="115" t="e">
        <f>VLOOKUP($A184,'S48'!$C:$BQ,60,0)</f>
        <v>#N/A</v>
      </c>
      <c r="AU184" s="107" t="e">
        <f>VLOOKUP($A184,'S49'!$C:$BQ,32,0)</f>
        <v>#N/A</v>
      </c>
      <c r="AV184" s="107" t="e">
        <f>VLOOKUP($A184,'S49'!$C:$BQ,39,0)</f>
        <v>#N/A</v>
      </c>
      <c r="AW184" s="107" t="e">
        <f>VLOOKUP($A184,'S49'!$C:$BQ,40,0)</f>
        <v>#N/A</v>
      </c>
      <c r="AX184" s="107" t="e">
        <f>VLOOKUP($A184,'S49'!$C:$BQ,22,0)</f>
        <v>#N/A</v>
      </c>
      <c r="AY184" s="115" t="e">
        <f>VLOOKUP($A184,'S49'!$C:$BQ,29,0)</f>
        <v>#N/A</v>
      </c>
      <c r="AZ184" s="115" t="e">
        <f>VLOOKUP($A184,'S49'!$C:$BQ,30,0)</f>
        <v>#N/A</v>
      </c>
      <c r="BA184" s="115" t="e">
        <f>VLOOKUP($A184,'S49'!$C:$BQ,52,0)</f>
        <v>#N/A</v>
      </c>
      <c r="BB184" s="115" t="e">
        <f>VLOOKUP($A184,'S49'!$C:$BQ,59,0)</f>
        <v>#N/A</v>
      </c>
      <c r="BC184" s="115" t="e">
        <f>VLOOKUP($A184,'S49'!$C:$BQ,60,0)</f>
        <v>#N/A</v>
      </c>
      <c r="BD184" s="107" t="e">
        <f>VLOOKUP($A184,'S50'!$C:$BQ,32,0)</f>
        <v>#N/A</v>
      </c>
      <c r="BE184" s="107" t="e">
        <f>VLOOKUP($A184,'S50'!$C:$BQ,39,0)</f>
        <v>#N/A</v>
      </c>
      <c r="BF184" s="107" t="e">
        <f>VLOOKUP($A184,'S50'!$C:$BQ,40,0)</f>
        <v>#N/A</v>
      </c>
      <c r="BG184" s="107" t="e">
        <f>VLOOKUP($A184,'S50'!$C:$BQ,22,0)</f>
        <v>#N/A</v>
      </c>
      <c r="BH184" s="115" t="e">
        <f>VLOOKUP($A184,'S50'!$C:$BQ,29,0)</f>
        <v>#N/A</v>
      </c>
      <c r="BI184" s="115" t="e">
        <f>VLOOKUP($A184,'S50'!$C:$BQ,30,0)</f>
        <v>#N/A</v>
      </c>
      <c r="BJ184" s="115" t="e">
        <f>VLOOKUP($A184,'S50'!$C:$BQ,52,0)</f>
        <v>#N/A</v>
      </c>
      <c r="BK184" s="115" t="e">
        <f>VLOOKUP($A184,'S50'!$C:$BQ,59,0)</f>
        <v>#N/A</v>
      </c>
      <c r="BL184" s="115" t="e">
        <f>VLOOKUP($A184,'S50'!$C:$BQ,60,0)</f>
        <v>#N/A</v>
      </c>
    </row>
    <row r="185" spans="1:64" x14ac:dyDescent="0.2">
      <c r="A185" s="106" t="s">
        <v>252</v>
      </c>
      <c r="B185" s="107">
        <f>VLOOKUP($A185,'S0 remplacer avec S44'!$C:$BQ,32,0)</f>
        <v>157.69999999999999</v>
      </c>
      <c r="C185" s="107">
        <f>VLOOKUP($A185,'S0 remplacer avec S44'!$C:$BQ,39,0)</f>
        <v>33</v>
      </c>
      <c r="D185" s="107">
        <f>VLOOKUP($A185,'S0 remplacer avec S44'!$C:$BQ,40,0)</f>
        <v>71</v>
      </c>
      <c r="E185" s="107">
        <f>VLOOKUP($A185,'S0 remplacer avec S44'!$C:$BQ,22,0)</f>
        <v>1875.136645</v>
      </c>
      <c r="F185" s="115">
        <f>VLOOKUP($A185,'S0 remplacer avec S44'!$C:$BQ,29,0)</f>
        <v>0</v>
      </c>
      <c r="G185" s="115">
        <f>VLOOKUP($A185,'S0 remplacer avec S44'!$C:$BQ,30,0)</f>
        <v>197</v>
      </c>
      <c r="H185" s="115">
        <f>VLOOKUP($A185,'S0 remplacer avec S44'!$C:$BQ,52,0)</f>
        <v>93</v>
      </c>
      <c r="I185" s="115">
        <f>VLOOKUP($A185,'S0 remplacer avec S44'!$C:$BQ,59,0)</f>
        <v>4</v>
      </c>
      <c r="J185" s="115">
        <f>VLOOKUP($A185,'S0 remplacer avec S44'!$C:$BQ,60,0)</f>
        <v>23</v>
      </c>
      <c r="K185" s="107" t="e">
        <f>VLOOKUP($A185,'S45'!$C:$BQ,32,0)</f>
        <v>#N/A</v>
      </c>
      <c r="L185" s="107" t="e">
        <f>VLOOKUP($A185,'S45'!$C:$BQ,39,0)</f>
        <v>#N/A</v>
      </c>
      <c r="M185" s="107" t="e">
        <f>VLOOKUP($A185,'S45'!$C:$BQ,40,0)</f>
        <v>#N/A</v>
      </c>
      <c r="N185" s="107" t="e">
        <f>VLOOKUP($A185,'S45'!$C:$BQ,22,0)</f>
        <v>#N/A</v>
      </c>
      <c r="O185" s="115" t="e">
        <f>VLOOKUP($A185,'S45'!$C:$BQ,29,0)</f>
        <v>#N/A</v>
      </c>
      <c r="P185" s="115" t="e">
        <f>VLOOKUP($A185,'S45'!$C:$BQ,30,0)</f>
        <v>#N/A</v>
      </c>
      <c r="Q185" s="115" t="e">
        <f>VLOOKUP($A185,'S45'!$C:$BQ,52,0)</f>
        <v>#N/A</v>
      </c>
      <c r="R185" s="115" t="e">
        <f>VLOOKUP($A185,'S45'!$C:$BQ,59,0)</f>
        <v>#N/A</v>
      </c>
      <c r="S185" s="115" t="e">
        <f>VLOOKUP($A185,'S45'!$C:$BQ,60,0)</f>
        <v>#N/A</v>
      </c>
      <c r="T185" s="107" t="e">
        <f>VLOOKUP($A185,'S46'!$C:$BQ,32,0)</f>
        <v>#N/A</v>
      </c>
      <c r="U185" s="107" t="e">
        <f>VLOOKUP($A185,'S46'!$C:$BQ,39,0)</f>
        <v>#N/A</v>
      </c>
      <c r="V185" s="107" t="e">
        <f>VLOOKUP($A185,'S46'!$C:$BQ,40,0)</f>
        <v>#N/A</v>
      </c>
      <c r="W185" s="107" t="e">
        <f>VLOOKUP($A185,'S46'!$C:$BQ,22,0)</f>
        <v>#N/A</v>
      </c>
      <c r="X185" s="115" t="e">
        <f>VLOOKUP($A185,'S46'!$C:$BQ,29,0)</f>
        <v>#N/A</v>
      </c>
      <c r="Y185" s="115" t="e">
        <f>VLOOKUP($A185,'S46'!$C:$BQ,30,0)</f>
        <v>#N/A</v>
      </c>
      <c r="Z185" s="115" t="e">
        <f>VLOOKUP($A185,'S46'!$C:$BQ,52,0)</f>
        <v>#N/A</v>
      </c>
      <c r="AA185" s="115" t="e">
        <f>VLOOKUP($A185,'S46'!$C:$BQ,59,0)</f>
        <v>#N/A</v>
      </c>
      <c r="AB185" s="115" t="e">
        <f>VLOOKUP($A185,'S46'!$C:$BQ,60,0)</f>
        <v>#N/A</v>
      </c>
      <c r="AC185" s="107" t="e">
        <f>VLOOKUP($A185,'S47'!$C:$BQ,32,0)</f>
        <v>#N/A</v>
      </c>
      <c r="AD185" s="107" t="e">
        <f>VLOOKUP($A185,'S47'!$C:$BQ,39,0)</f>
        <v>#N/A</v>
      </c>
      <c r="AE185" s="107" t="e">
        <f>VLOOKUP($A185,'S47'!$C:$BQ,40,0)</f>
        <v>#N/A</v>
      </c>
      <c r="AF185" s="107" t="e">
        <f>VLOOKUP($A185,'S47'!$C:$BQ,22,0)</f>
        <v>#N/A</v>
      </c>
      <c r="AG185" s="115" t="e">
        <f>VLOOKUP($A185,'S47'!$C:$BQ,29,0)</f>
        <v>#N/A</v>
      </c>
      <c r="AH185" s="115" t="e">
        <f>VLOOKUP($A185,'S47'!$C:$BQ,30,0)</f>
        <v>#N/A</v>
      </c>
      <c r="AI185" s="115" t="e">
        <f>VLOOKUP($A185,'S47'!$C:$BQ,52,0)</f>
        <v>#N/A</v>
      </c>
      <c r="AJ185" s="115" t="e">
        <f>VLOOKUP($A185,'S47'!$C:$BQ,59,0)</f>
        <v>#N/A</v>
      </c>
      <c r="AK185" s="115" t="e">
        <f>VLOOKUP($A185,'S47'!$C:$BQ,60,0)</f>
        <v>#N/A</v>
      </c>
      <c r="AL185" s="107" t="e">
        <f>VLOOKUP($A185,'S48'!$C:$BQ,32,0)</f>
        <v>#N/A</v>
      </c>
      <c r="AM185" s="107" t="e">
        <f>VLOOKUP($A185,'S48'!$C:$BQ,39,0)</f>
        <v>#N/A</v>
      </c>
      <c r="AN185" s="107" t="e">
        <f>VLOOKUP($A185,'S48'!$C:$BQ,40,0)</f>
        <v>#N/A</v>
      </c>
      <c r="AO185" s="107" t="e">
        <f>VLOOKUP($A185,'S48'!$C:$BQ,22,0)</f>
        <v>#N/A</v>
      </c>
      <c r="AP185" s="115" t="e">
        <f>VLOOKUP($A185,'S48'!$C:$BQ,29,0)</f>
        <v>#N/A</v>
      </c>
      <c r="AQ185" s="115" t="e">
        <f>VLOOKUP($A185,'S48'!$C:$BQ,30,0)</f>
        <v>#N/A</v>
      </c>
      <c r="AR185" s="115" t="e">
        <f>VLOOKUP($A185,'S48'!$C:$BQ,52,0)</f>
        <v>#N/A</v>
      </c>
      <c r="AS185" s="115" t="e">
        <f>VLOOKUP($A185,'S48'!$C:$BQ,59,0)</f>
        <v>#N/A</v>
      </c>
      <c r="AT185" s="115" t="e">
        <f>VLOOKUP($A185,'S48'!$C:$BQ,60,0)</f>
        <v>#N/A</v>
      </c>
      <c r="AU185" s="107" t="e">
        <f>VLOOKUP($A185,'S49'!$C:$BQ,32,0)</f>
        <v>#N/A</v>
      </c>
      <c r="AV185" s="107" t="e">
        <f>VLOOKUP($A185,'S49'!$C:$BQ,39,0)</f>
        <v>#N/A</v>
      </c>
      <c r="AW185" s="107" t="e">
        <f>VLOOKUP($A185,'S49'!$C:$BQ,40,0)</f>
        <v>#N/A</v>
      </c>
      <c r="AX185" s="107" t="e">
        <f>VLOOKUP($A185,'S49'!$C:$BQ,22,0)</f>
        <v>#N/A</v>
      </c>
      <c r="AY185" s="115" t="e">
        <f>VLOOKUP($A185,'S49'!$C:$BQ,29,0)</f>
        <v>#N/A</v>
      </c>
      <c r="AZ185" s="115" t="e">
        <f>VLOOKUP($A185,'S49'!$C:$BQ,30,0)</f>
        <v>#N/A</v>
      </c>
      <c r="BA185" s="115" t="e">
        <f>VLOOKUP($A185,'S49'!$C:$BQ,52,0)</f>
        <v>#N/A</v>
      </c>
      <c r="BB185" s="115" t="e">
        <f>VLOOKUP($A185,'S49'!$C:$BQ,59,0)</f>
        <v>#N/A</v>
      </c>
      <c r="BC185" s="115" t="e">
        <f>VLOOKUP($A185,'S49'!$C:$BQ,60,0)</f>
        <v>#N/A</v>
      </c>
      <c r="BD185" s="107" t="e">
        <f>VLOOKUP($A185,'S50'!$C:$BQ,32,0)</f>
        <v>#N/A</v>
      </c>
      <c r="BE185" s="107" t="e">
        <f>VLOOKUP($A185,'S50'!$C:$BQ,39,0)</f>
        <v>#N/A</v>
      </c>
      <c r="BF185" s="107" t="e">
        <f>VLOOKUP($A185,'S50'!$C:$BQ,40,0)</f>
        <v>#N/A</v>
      </c>
      <c r="BG185" s="107" t="e">
        <f>VLOOKUP($A185,'S50'!$C:$BQ,22,0)</f>
        <v>#N/A</v>
      </c>
      <c r="BH185" s="115" t="e">
        <f>VLOOKUP($A185,'S50'!$C:$BQ,29,0)</f>
        <v>#N/A</v>
      </c>
      <c r="BI185" s="115" t="e">
        <f>VLOOKUP($A185,'S50'!$C:$BQ,30,0)</f>
        <v>#N/A</v>
      </c>
      <c r="BJ185" s="115" t="e">
        <f>VLOOKUP($A185,'S50'!$C:$BQ,52,0)</f>
        <v>#N/A</v>
      </c>
      <c r="BK185" s="115" t="e">
        <f>VLOOKUP($A185,'S50'!$C:$BQ,59,0)</f>
        <v>#N/A</v>
      </c>
      <c r="BL185" s="115" t="e">
        <f>VLOOKUP($A185,'S50'!$C:$BQ,60,0)</f>
        <v>#N/A</v>
      </c>
    </row>
    <row r="186" spans="1:64" x14ac:dyDescent="0.2">
      <c r="A186" s="106" t="s">
        <v>253</v>
      </c>
      <c r="B186" s="107">
        <f>VLOOKUP($A186,'S0 remplacer avec S44'!$C:$BQ,32,0)</f>
        <v>157.85</v>
      </c>
      <c r="C186" s="107">
        <f>VLOOKUP($A186,'S0 remplacer avec S44'!$C:$BQ,39,0)</f>
        <v>13</v>
      </c>
      <c r="D186" s="107">
        <f>VLOOKUP($A186,'S0 remplacer avec S44'!$C:$BQ,40,0)</f>
        <v>47</v>
      </c>
      <c r="E186" s="107">
        <f>VLOOKUP($A186,'S0 remplacer avec S44'!$C:$BQ,22,0)</f>
        <v>1580.3884499999999</v>
      </c>
      <c r="F186" s="115">
        <f>VLOOKUP($A186,'S0 remplacer avec S44'!$C:$BQ,29,0)</f>
        <v>0</v>
      </c>
      <c r="G186" s="115">
        <f>VLOOKUP($A186,'S0 remplacer avec S44'!$C:$BQ,30,0)</f>
        <v>275</v>
      </c>
      <c r="H186" s="115">
        <f>VLOOKUP($A186,'S0 remplacer avec S44'!$C:$BQ,52,0)</f>
        <v>91.4</v>
      </c>
      <c r="I186" s="115">
        <f>VLOOKUP($A186,'S0 remplacer avec S44'!$C:$BQ,59,0)</f>
        <v>0</v>
      </c>
      <c r="J186" s="115">
        <f>VLOOKUP($A186,'S0 remplacer avec S44'!$C:$BQ,60,0)</f>
        <v>13</v>
      </c>
      <c r="K186" s="107" t="e">
        <f>VLOOKUP($A186,'S45'!$C:$BQ,32,0)</f>
        <v>#N/A</v>
      </c>
      <c r="L186" s="107" t="e">
        <f>VLOOKUP($A186,'S45'!$C:$BQ,39,0)</f>
        <v>#N/A</v>
      </c>
      <c r="M186" s="107" t="e">
        <f>VLOOKUP($A186,'S45'!$C:$BQ,40,0)</f>
        <v>#N/A</v>
      </c>
      <c r="N186" s="107" t="e">
        <f>VLOOKUP($A186,'S45'!$C:$BQ,22,0)</f>
        <v>#N/A</v>
      </c>
      <c r="O186" s="115" t="e">
        <f>VLOOKUP($A186,'S45'!$C:$BQ,29,0)</f>
        <v>#N/A</v>
      </c>
      <c r="P186" s="115" t="e">
        <f>VLOOKUP($A186,'S45'!$C:$BQ,30,0)</f>
        <v>#N/A</v>
      </c>
      <c r="Q186" s="115" t="e">
        <f>VLOOKUP($A186,'S45'!$C:$BQ,52,0)</f>
        <v>#N/A</v>
      </c>
      <c r="R186" s="115" t="e">
        <f>VLOOKUP($A186,'S45'!$C:$BQ,59,0)</f>
        <v>#N/A</v>
      </c>
      <c r="S186" s="115" t="e">
        <f>VLOOKUP($A186,'S45'!$C:$BQ,60,0)</f>
        <v>#N/A</v>
      </c>
      <c r="T186" s="107" t="e">
        <f>VLOOKUP($A186,'S46'!$C:$BQ,32,0)</f>
        <v>#N/A</v>
      </c>
      <c r="U186" s="107" t="e">
        <f>VLOOKUP($A186,'S46'!$C:$BQ,39,0)</f>
        <v>#N/A</v>
      </c>
      <c r="V186" s="107" t="e">
        <f>VLOOKUP($A186,'S46'!$C:$BQ,40,0)</f>
        <v>#N/A</v>
      </c>
      <c r="W186" s="107" t="e">
        <f>VLOOKUP($A186,'S46'!$C:$BQ,22,0)</f>
        <v>#N/A</v>
      </c>
      <c r="X186" s="115" t="e">
        <f>VLOOKUP($A186,'S46'!$C:$BQ,29,0)</f>
        <v>#N/A</v>
      </c>
      <c r="Y186" s="115" t="e">
        <f>VLOOKUP($A186,'S46'!$C:$BQ,30,0)</f>
        <v>#N/A</v>
      </c>
      <c r="Z186" s="115" t="e">
        <f>VLOOKUP($A186,'S46'!$C:$BQ,52,0)</f>
        <v>#N/A</v>
      </c>
      <c r="AA186" s="115" t="e">
        <f>VLOOKUP($A186,'S46'!$C:$BQ,59,0)</f>
        <v>#N/A</v>
      </c>
      <c r="AB186" s="115" t="e">
        <f>VLOOKUP($A186,'S46'!$C:$BQ,60,0)</f>
        <v>#N/A</v>
      </c>
      <c r="AC186" s="107" t="e">
        <f>VLOOKUP($A186,'S47'!$C:$BQ,32,0)</f>
        <v>#N/A</v>
      </c>
      <c r="AD186" s="107" t="e">
        <f>VLOOKUP($A186,'S47'!$C:$BQ,39,0)</f>
        <v>#N/A</v>
      </c>
      <c r="AE186" s="107" t="e">
        <f>VLOOKUP($A186,'S47'!$C:$BQ,40,0)</f>
        <v>#N/A</v>
      </c>
      <c r="AF186" s="107" t="e">
        <f>VLOOKUP($A186,'S47'!$C:$BQ,22,0)</f>
        <v>#N/A</v>
      </c>
      <c r="AG186" s="115" t="e">
        <f>VLOOKUP($A186,'S47'!$C:$BQ,29,0)</f>
        <v>#N/A</v>
      </c>
      <c r="AH186" s="115" t="e">
        <f>VLOOKUP($A186,'S47'!$C:$BQ,30,0)</f>
        <v>#N/A</v>
      </c>
      <c r="AI186" s="115" t="e">
        <f>VLOOKUP($A186,'S47'!$C:$BQ,52,0)</f>
        <v>#N/A</v>
      </c>
      <c r="AJ186" s="115" t="e">
        <f>VLOOKUP($A186,'S47'!$C:$BQ,59,0)</f>
        <v>#N/A</v>
      </c>
      <c r="AK186" s="115" t="e">
        <f>VLOOKUP($A186,'S47'!$C:$BQ,60,0)</f>
        <v>#N/A</v>
      </c>
      <c r="AL186" s="107" t="e">
        <f>VLOOKUP($A186,'S48'!$C:$BQ,32,0)</f>
        <v>#N/A</v>
      </c>
      <c r="AM186" s="107" t="e">
        <f>VLOOKUP($A186,'S48'!$C:$BQ,39,0)</f>
        <v>#N/A</v>
      </c>
      <c r="AN186" s="107" t="e">
        <f>VLOOKUP($A186,'S48'!$C:$BQ,40,0)</f>
        <v>#N/A</v>
      </c>
      <c r="AO186" s="107" t="e">
        <f>VLOOKUP($A186,'S48'!$C:$BQ,22,0)</f>
        <v>#N/A</v>
      </c>
      <c r="AP186" s="115" t="e">
        <f>VLOOKUP($A186,'S48'!$C:$BQ,29,0)</f>
        <v>#N/A</v>
      </c>
      <c r="AQ186" s="115" t="e">
        <f>VLOOKUP($A186,'S48'!$C:$BQ,30,0)</f>
        <v>#N/A</v>
      </c>
      <c r="AR186" s="115" t="e">
        <f>VLOOKUP($A186,'S48'!$C:$BQ,52,0)</f>
        <v>#N/A</v>
      </c>
      <c r="AS186" s="115" t="e">
        <f>VLOOKUP($A186,'S48'!$C:$BQ,59,0)</f>
        <v>#N/A</v>
      </c>
      <c r="AT186" s="115" t="e">
        <f>VLOOKUP($A186,'S48'!$C:$BQ,60,0)</f>
        <v>#N/A</v>
      </c>
      <c r="AU186" s="107" t="e">
        <f>VLOOKUP($A186,'S49'!$C:$BQ,32,0)</f>
        <v>#N/A</v>
      </c>
      <c r="AV186" s="107" t="e">
        <f>VLOOKUP($A186,'S49'!$C:$BQ,39,0)</f>
        <v>#N/A</v>
      </c>
      <c r="AW186" s="107" t="e">
        <f>VLOOKUP($A186,'S49'!$C:$BQ,40,0)</f>
        <v>#N/A</v>
      </c>
      <c r="AX186" s="107" t="e">
        <f>VLOOKUP($A186,'S49'!$C:$BQ,22,0)</f>
        <v>#N/A</v>
      </c>
      <c r="AY186" s="115" t="e">
        <f>VLOOKUP($A186,'S49'!$C:$BQ,29,0)</f>
        <v>#N/A</v>
      </c>
      <c r="AZ186" s="115" t="e">
        <f>VLOOKUP($A186,'S49'!$C:$BQ,30,0)</f>
        <v>#N/A</v>
      </c>
      <c r="BA186" s="115" t="e">
        <f>VLOOKUP($A186,'S49'!$C:$BQ,52,0)</f>
        <v>#N/A</v>
      </c>
      <c r="BB186" s="115" t="e">
        <f>VLOOKUP($A186,'S49'!$C:$BQ,59,0)</f>
        <v>#N/A</v>
      </c>
      <c r="BC186" s="115" t="e">
        <f>VLOOKUP($A186,'S49'!$C:$BQ,60,0)</f>
        <v>#N/A</v>
      </c>
      <c r="BD186" s="107" t="e">
        <f>VLOOKUP($A186,'S50'!$C:$BQ,32,0)</f>
        <v>#N/A</v>
      </c>
      <c r="BE186" s="107" t="e">
        <f>VLOOKUP($A186,'S50'!$C:$BQ,39,0)</f>
        <v>#N/A</v>
      </c>
      <c r="BF186" s="107" t="e">
        <f>VLOOKUP($A186,'S50'!$C:$BQ,40,0)</f>
        <v>#N/A</v>
      </c>
      <c r="BG186" s="107" t="e">
        <f>VLOOKUP($A186,'S50'!$C:$BQ,22,0)</f>
        <v>#N/A</v>
      </c>
      <c r="BH186" s="115" t="e">
        <f>VLOOKUP($A186,'S50'!$C:$BQ,29,0)</f>
        <v>#N/A</v>
      </c>
      <c r="BI186" s="115" t="e">
        <f>VLOOKUP($A186,'S50'!$C:$BQ,30,0)</f>
        <v>#N/A</v>
      </c>
      <c r="BJ186" s="115" t="e">
        <f>VLOOKUP($A186,'S50'!$C:$BQ,52,0)</f>
        <v>#N/A</v>
      </c>
      <c r="BK186" s="115" t="e">
        <f>VLOOKUP($A186,'S50'!$C:$BQ,59,0)</f>
        <v>#N/A</v>
      </c>
      <c r="BL186" s="115" t="e">
        <f>VLOOKUP($A186,'S50'!$C:$BQ,60,0)</f>
        <v>#N/A</v>
      </c>
    </row>
    <row r="187" spans="1:64" x14ac:dyDescent="0.2">
      <c r="A187" s="106" t="s">
        <v>254</v>
      </c>
      <c r="B187" s="107">
        <f>VLOOKUP($A187,'S0 remplacer avec S44'!$C:$BQ,32,0)</f>
        <v>198.8</v>
      </c>
      <c r="C187" s="107">
        <f>VLOOKUP($A187,'S0 remplacer avec S44'!$C:$BQ,39,0)</f>
        <v>0</v>
      </c>
      <c r="D187" s="107">
        <f>VLOOKUP($A187,'S0 remplacer avec S44'!$C:$BQ,40,0)</f>
        <v>0</v>
      </c>
      <c r="E187" s="107">
        <f>VLOOKUP($A187,'S0 remplacer avec S44'!$C:$BQ,22,0)</f>
        <v>2053.2168799999999</v>
      </c>
      <c r="F187" s="115">
        <f>VLOOKUP($A187,'S0 remplacer avec S44'!$C:$BQ,29,0)</f>
        <v>0</v>
      </c>
      <c r="G187" s="115">
        <f>VLOOKUP($A187,'S0 remplacer avec S44'!$C:$BQ,30,0)</f>
        <v>0</v>
      </c>
      <c r="H187" s="115">
        <f>VLOOKUP($A187,'S0 remplacer avec S44'!$C:$BQ,52,0)</f>
        <v>138.19999999999999</v>
      </c>
      <c r="I187" s="115">
        <f>VLOOKUP($A187,'S0 remplacer avec S44'!$C:$BQ,59,0)</f>
        <v>0</v>
      </c>
      <c r="J187" s="115">
        <f>VLOOKUP($A187,'S0 remplacer avec S44'!$C:$BQ,60,0)</f>
        <v>0</v>
      </c>
      <c r="K187" s="107" t="e">
        <f>VLOOKUP($A187,'S45'!$C:$BQ,32,0)</f>
        <v>#N/A</v>
      </c>
      <c r="L187" s="107" t="e">
        <f>VLOOKUP($A187,'S45'!$C:$BQ,39,0)</f>
        <v>#N/A</v>
      </c>
      <c r="M187" s="107" t="e">
        <f>VLOOKUP($A187,'S45'!$C:$BQ,40,0)</f>
        <v>#N/A</v>
      </c>
      <c r="N187" s="107" t="e">
        <f>VLOOKUP($A187,'S45'!$C:$BQ,22,0)</f>
        <v>#N/A</v>
      </c>
      <c r="O187" s="115" t="e">
        <f>VLOOKUP($A187,'S45'!$C:$BQ,29,0)</f>
        <v>#N/A</v>
      </c>
      <c r="P187" s="115" t="e">
        <f>VLOOKUP($A187,'S45'!$C:$BQ,30,0)</f>
        <v>#N/A</v>
      </c>
      <c r="Q187" s="115" t="e">
        <f>VLOOKUP($A187,'S45'!$C:$BQ,52,0)</f>
        <v>#N/A</v>
      </c>
      <c r="R187" s="115" t="e">
        <f>VLOOKUP($A187,'S45'!$C:$BQ,59,0)</f>
        <v>#N/A</v>
      </c>
      <c r="S187" s="115" t="e">
        <f>VLOOKUP($A187,'S45'!$C:$BQ,60,0)</f>
        <v>#N/A</v>
      </c>
      <c r="T187" s="107" t="e">
        <f>VLOOKUP($A187,'S46'!$C:$BQ,32,0)</f>
        <v>#N/A</v>
      </c>
      <c r="U187" s="107" t="e">
        <f>VLOOKUP($A187,'S46'!$C:$BQ,39,0)</f>
        <v>#N/A</v>
      </c>
      <c r="V187" s="107" t="e">
        <f>VLOOKUP($A187,'S46'!$C:$BQ,40,0)</f>
        <v>#N/A</v>
      </c>
      <c r="W187" s="107" t="e">
        <f>VLOOKUP($A187,'S46'!$C:$BQ,22,0)</f>
        <v>#N/A</v>
      </c>
      <c r="X187" s="115" t="e">
        <f>VLOOKUP($A187,'S46'!$C:$BQ,29,0)</f>
        <v>#N/A</v>
      </c>
      <c r="Y187" s="115" t="e">
        <f>VLOOKUP($A187,'S46'!$C:$BQ,30,0)</f>
        <v>#N/A</v>
      </c>
      <c r="Z187" s="115" t="e">
        <f>VLOOKUP($A187,'S46'!$C:$BQ,52,0)</f>
        <v>#N/A</v>
      </c>
      <c r="AA187" s="115" t="e">
        <f>VLOOKUP($A187,'S46'!$C:$BQ,59,0)</f>
        <v>#N/A</v>
      </c>
      <c r="AB187" s="115" t="e">
        <f>VLOOKUP($A187,'S46'!$C:$BQ,60,0)</f>
        <v>#N/A</v>
      </c>
      <c r="AC187" s="107" t="e">
        <f>VLOOKUP($A187,'S47'!$C:$BQ,32,0)</f>
        <v>#N/A</v>
      </c>
      <c r="AD187" s="107" t="e">
        <f>VLOOKUP($A187,'S47'!$C:$BQ,39,0)</f>
        <v>#N/A</v>
      </c>
      <c r="AE187" s="107" t="e">
        <f>VLOOKUP($A187,'S47'!$C:$BQ,40,0)</f>
        <v>#N/A</v>
      </c>
      <c r="AF187" s="107" t="e">
        <f>VLOOKUP($A187,'S47'!$C:$BQ,22,0)</f>
        <v>#N/A</v>
      </c>
      <c r="AG187" s="115" t="e">
        <f>VLOOKUP($A187,'S47'!$C:$BQ,29,0)</f>
        <v>#N/A</v>
      </c>
      <c r="AH187" s="115" t="e">
        <f>VLOOKUP($A187,'S47'!$C:$BQ,30,0)</f>
        <v>#N/A</v>
      </c>
      <c r="AI187" s="115" t="e">
        <f>VLOOKUP($A187,'S47'!$C:$BQ,52,0)</f>
        <v>#N/A</v>
      </c>
      <c r="AJ187" s="115" t="e">
        <f>VLOOKUP($A187,'S47'!$C:$BQ,59,0)</f>
        <v>#N/A</v>
      </c>
      <c r="AK187" s="115" t="e">
        <f>VLOOKUP($A187,'S47'!$C:$BQ,60,0)</f>
        <v>#N/A</v>
      </c>
      <c r="AL187" s="107" t="e">
        <f>VLOOKUP($A187,'S48'!$C:$BQ,32,0)</f>
        <v>#N/A</v>
      </c>
      <c r="AM187" s="107" t="e">
        <f>VLOOKUP($A187,'S48'!$C:$BQ,39,0)</f>
        <v>#N/A</v>
      </c>
      <c r="AN187" s="107" t="e">
        <f>VLOOKUP($A187,'S48'!$C:$BQ,40,0)</f>
        <v>#N/A</v>
      </c>
      <c r="AO187" s="107" t="e">
        <f>VLOOKUP($A187,'S48'!$C:$BQ,22,0)</f>
        <v>#N/A</v>
      </c>
      <c r="AP187" s="115" t="e">
        <f>VLOOKUP($A187,'S48'!$C:$BQ,29,0)</f>
        <v>#N/A</v>
      </c>
      <c r="AQ187" s="115" t="e">
        <f>VLOOKUP($A187,'S48'!$C:$BQ,30,0)</f>
        <v>#N/A</v>
      </c>
      <c r="AR187" s="115" t="e">
        <f>VLOOKUP($A187,'S48'!$C:$BQ,52,0)</f>
        <v>#N/A</v>
      </c>
      <c r="AS187" s="115" t="e">
        <f>VLOOKUP($A187,'S48'!$C:$BQ,59,0)</f>
        <v>#N/A</v>
      </c>
      <c r="AT187" s="115" t="e">
        <f>VLOOKUP($A187,'S48'!$C:$BQ,60,0)</f>
        <v>#N/A</v>
      </c>
      <c r="AU187" s="107" t="e">
        <f>VLOOKUP($A187,'S49'!$C:$BQ,32,0)</f>
        <v>#N/A</v>
      </c>
      <c r="AV187" s="107" t="e">
        <f>VLOOKUP($A187,'S49'!$C:$BQ,39,0)</f>
        <v>#N/A</v>
      </c>
      <c r="AW187" s="107" t="e">
        <f>VLOOKUP($A187,'S49'!$C:$BQ,40,0)</f>
        <v>#N/A</v>
      </c>
      <c r="AX187" s="107" t="e">
        <f>VLOOKUP($A187,'S49'!$C:$BQ,22,0)</f>
        <v>#N/A</v>
      </c>
      <c r="AY187" s="115" t="e">
        <f>VLOOKUP($A187,'S49'!$C:$BQ,29,0)</f>
        <v>#N/A</v>
      </c>
      <c r="AZ187" s="115" t="e">
        <f>VLOOKUP($A187,'S49'!$C:$BQ,30,0)</f>
        <v>#N/A</v>
      </c>
      <c r="BA187" s="115" t="e">
        <f>VLOOKUP($A187,'S49'!$C:$BQ,52,0)</f>
        <v>#N/A</v>
      </c>
      <c r="BB187" s="115" t="e">
        <f>VLOOKUP($A187,'S49'!$C:$BQ,59,0)</f>
        <v>#N/A</v>
      </c>
      <c r="BC187" s="115" t="e">
        <f>VLOOKUP($A187,'S49'!$C:$BQ,60,0)</f>
        <v>#N/A</v>
      </c>
      <c r="BD187" s="107" t="e">
        <f>VLOOKUP($A187,'S50'!$C:$BQ,32,0)</f>
        <v>#N/A</v>
      </c>
      <c r="BE187" s="107" t="e">
        <f>VLOOKUP($A187,'S50'!$C:$BQ,39,0)</f>
        <v>#N/A</v>
      </c>
      <c r="BF187" s="107" t="e">
        <f>VLOOKUP($A187,'S50'!$C:$BQ,40,0)</f>
        <v>#N/A</v>
      </c>
      <c r="BG187" s="107" t="e">
        <f>VLOOKUP($A187,'S50'!$C:$BQ,22,0)</f>
        <v>#N/A</v>
      </c>
      <c r="BH187" s="115" t="e">
        <f>VLOOKUP($A187,'S50'!$C:$BQ,29,0)</f>
        <v>#N/A</v>
      </c>
      <c r="BI187" s="115" t="e">
        <f>VLOOKUP($A187,'S50'!$C:$BQ,30,0)</f>
        <v>#N/A</v>
      </c>
      <c r="BJ187" s="115" t="e">
        <f>VLOOKUP($A187,'S50'!$C:$BQ,52,0)</f>
        <v>#N/A</v>
      </c>
      <c r="BK187" s="115" t="e">
        <f>VLOOKUP($A187,'S50'!$C:$BQ,59,0)</f>
        <v>#N/A</v>
      </c>
      <c r="BL187" s="115" t="e">
        <f>VLOOKUP($A187,'S50'!$C:$BQ,60,0)</f>
        <v>#N/A</v>
      </c>
    </row>
    <row r="188" spans="1:64" x14ac:dyDescent="0.2">
      <c r="A188" s="106" t="s">
        <v>255</v>
      </c>
      <c r="B188" s="107">
        <f>VLOOKUP($A188,'S0 remplacer avec S44'!$C:$BQ,32,0)</f>
        <v>134.80000000000001</v>
      </c>
      <c r="C188" s="107">
        <f>VLOOKUP($A188,'S0 remplacer avec S44'!$C:$BQ,39,0)</f>
        <v>87</v>
      </c>
      <c r="D188" s="107">
        <f>VLOOKUP($A188,'S0 remplacer avec S44'!$C:$BQ,40,0)</f>
        <v>132</v>
      </c>
      <c r="E188" s="107">
        <f>VLOOKUP($A188,'S0 remplacer avec S44'!$C:$BQ,22,0)</f>
        <v>1460.09935</v>
      </c>
      <c r="F188" s="115">
        <f>VLOOKUP($A188,'S0 remplacer avec S44'!$C:$BQ,29,0)</f>
        <v>555</v>
      </c>
      <c r="G188" s="115">
        <f>VLOOKUP($A188,'S0 remplacer avec S44'!$C:$BQ,30,0)</f>
        <v>958</v>
      </c>
      <c r="H188" s="115">
        <f>VLOOKUP($A188,'S0 remplacer avec S44'!$C:$BQ,52,0)</f>
        <v>101.4</v>
      </c>
      <c r="I188" s="115">
        <f>VLOOKUP($A188,'S0 remplacer avec S44'!$C:$BQ,59,0)</f>
        <v>12</v>
      </c>
      <c r="J188" s="115">
        <f>VLOOKUP($A188,'S0 remplacer avec S44'!$C:$BQ,60,0)</f>
        <v>34</v>
      </c>
      <c r="K188" s="107" t="e">
        <f>VLOOKUP($A188,'S45'!$C:$BQ,32,0)</f>
        <v>#N/A</v>
      </c>
      <c r="L188" s="107" t="e">
        <f>VLOOKUP($A188,'S45'!$C:$BQ,39,0)</f>
        <v>#N/A</v>
      </c>
      <c r="M188" s="107" t="e">
        <f>VLOOKUP($A188,'S45'!$C:$BQ,40,0)</f>
        <v>#N/A</v>
      </c>
      <c r="N188" s="107" t="e">
        <f>VLOOKUP($A188,'S45'!$C:$BQ,22,0)</f>
        <v>#N/A</v>
      </c>
      <c r="O188" s="115" t="e">
        <f>VLOOKUP($A188,'S45'!$C:$BQ,29,0)</f>
        <v>#N/A</v>
      </c>
      <c r="P188" s="115" t="e">
        <f>VLOOKUP($A188,'S45'!$C:$BQ,30,0)</f>
        <v>#N/A</v>
      </c>
      <c r="Q188" s="115" t="e">
        <f>VLOOKUP($A188,'S45'!$C:$BQ,52,0)</f>
        <v>#N/A</v>
      </c>
      <c r="R188" s="115" t="e">
        <f>VLOOKUP($A188,'S45'!$C:$BQ,59,0)</f>
        <v>#N/A</v>
      </c>
      <c r="S188" s="115" t="e">
        <f>VLOOKUP($A188,'S45'!$C:$BQ,60,0)</f>
        <v>#N/A</v>
      </c>
      <c r="T188" s="107" t="e">
        <f>VLOOKUP($A188,'S46'!$C:$BQ,32,0)</f>
        <v>#N/A</v>
      </c>
      <c r="U188" s="107" t="e">
        <f>VLOOKUP($A188,'S46'!$C:$BQ,39,0)</f>
        <v>#N/A</v>
      </c>
      <c r="V188" s="107" t="e">
        <f>VLOOKUP($A188,'S46'!$C:$BQ,40,0)</f>
        <v>#N/A</v>
      </c>
      <c r="W188" s="107" t="e">
        <f>VLOOKUP($A188,'S46'!$C:$BQ,22,0)</f>
        <v>#N/A</v>
      </c>
      <c r="X188" s="115" t="e">
        <f>VLOOKUP($A188,'S46'!$C:$BQ,29,0)</f>
        <v>#N/A</v>
      </c>
      <c r="Y188" s="115" t="e">
        <f>VLOOKUP($A188,'S46'!$C:$BQ,30,0)</f>
        <v>#N/A</v>
      </c>
      <c r="Z188" s="115" t="e">
        <f>VLOOKUP($A188,'S46'!$C:$BQ,52,0)</f>
        <v>#N/A</v>
      </c>
      <c r="AA188" s="115" t="e">
        <f>VLOOKUP($A188,'S46'!$C:$BQ,59,0)</f>
        <v>#N/A</v>
      </c>
      <c r="AB188" s="115" t="e">
        <f>VLOOKUP($A188,'S46'!$C:$BQ,60,0)</f>
        <v>#N/A</v>
      </c>
      <c r="AC188" s="107" t="e">
        <f>VLOOKUP($A188,'S47'!$C:$BQ,32,0)</f>
        <v>#N/A</v>
      </c>
      <c r="AD188" s="107" t="e">
        <f>VLOOKUP($A188,'S47'!$C:$BQ,39,0)</f>
        <v>#N/A</v>
      </c>
      <c r="AE188" s="107" t="e">
        <f>VLOOKUP($A188,'S47'!$C:$BQ,40,0)</f>
        <v>#N/A</v>
      </c>
      <c r="AF188" s="107" t="e">
        <f>VLOOKUP($A188,'S47'!$C:$BQ,22,0)</f>
        <v>#N/A</v>
      </c>
      <c r="AG188" s="115" t="e">
        <f>VLOOKUP($A188,'S47'!$C:$BQ,29,0)</f>
        <v>#N/A</v>
      </c>
      <c r="AH188" s="115" t="e">
        <f>VLOOKUP($A188,'S47'!$C:$BQ,30,0)</f>
        <v>#N/A</v>
      </c>
      <c r="AI188" s="115" t="e">
        <f>VLOOKUP($A188,'S47'!$C:$BQ,52,0)</f>
        <v>#N/A</v>
      </c>
      <c r="AJ188" s="115" t="e">
        <f>VLOOKUP($A188,'S47'!$C:$BQ,59,0)</f>
        <v>#N/A</v>
      </c>
      <c r="AK188" s="115" t="e">
        <f>VLOOKUP($A188,'S47'!$C:$BQ,60,0)</f>
        <v>#N/A</v>
      </c>
      <c r="AL188" s="107" t="e">
        <f>VLOOKUP($A188,'S48'!$C:$BQ,32,0)</f>
        <v>#N/A</v>
      </c>
      <c r="AM188" s="107" t="e">
        <f>VLOOKUP($A188,'S48'!$C:$BQ,39,0)</f>
        <v>#N/A</v>
      </c>
      <c r="AN188" s="107" t="e">
        <f>VLOOKUP($A188,'S48'!$C:$BQ,40,0)</f>
        <v>#N/A</v>
      </c>
      <c r="AO188" s="107" t="e">
        <f>VLOOKUP($A188,'S48'!$C:$BQ,22,0)</f>
        <v>#N/A</v>
      </c>
      <c r="AP188" s="115" t="e">
        <f>VLOOKUP($A188,'S48'!$C:$BQ,29,0)</f>
        <v>#N/A</v>
      </c>
      <c r="AQ188" s="115" t="e">
        <f>VLOOKUP($A188,'S48'!$C:$BQ,30,0)</f>
        <v>#N/A</v>
      </c>
      <c r="AR188" s="115" t="e">
        <f>VLOOKUP($A188,'S48'!$C:$BQ,52,0)</f>
        <v>#N/A</v>
      </c>
      <c r="AS188" s="115" t="e">
        <f>VLOOKUP($A188,'S48'!$C:$BQ,59,0)</f>
        <v>#N/A</v>
      </c>
      <c r="AT188" s="115" t="e">
        <f>VLOOKUP($A188,'S48'!$C:$BQ,60,0)</f>
        <v>#N/A</v>
      </c>
      <c r="AU188" s="107" t="e">
        <f>VLOOKUP($A188,'S49'!$C:$BQ,32,0)</f>
        <v>#N/A</v>
      </c>
      <c r="AV188" s="107" t="e">
        <f>VLOOKUP($A188,'S49'!$C:$BQ,39,0)</f>
        <v>#N/A</v>
      </c>
      <c r="AW188" s="107" t="e">
        <f>VLOOKUP($A188,'S49'!$C:$BQ,40,0)</f>
        <v>#N/A</v>
      </c>
      <c r="AX188" s="107" t="e">
        <f>VLOOKUP($A188,'S49'!$C:$BQ,22,0)</f>
        <v>#N/A</v>
      </c>
      <c r="AY188" s="115" t="e">
        <f>VLOOKUP($A188,'S49'!$C:$BQ,29,0)</f>
        <v>#N/A</v>
      </c>
      <c r="AZ188" s="115" t="e">
        <f>VLOOKUP($A188,'S49'!$C:$BQ,30,0)</f>
        <v>#N/A</v>
      </c>
      <c r="BA188" s="115" t="e">
        <f>VLOOKUP($A188,'S49'!$C:$BQ,52,0)</f>
        <v>#N/A</v>
      </c>
      <c r="BB188" s="115" t="e">
        <f>VLOOKUP($A188,'S49'!$C:$BQ,59,0)</f>
        <v>#N/A</v>
      </c>
      <c r="BC188" s="115" t="e">
        <f>VLOOKUP($A188,'S49'!$C:$BQ,60,0)</f>
        <v>#N/A</v>
      </c>
      <c r="BD188" s="107" t="e">
        <f>VLOOKUP($A188,'S50'!$C:$BQ,32,0)</f>
        <v>#N/A</v>
      </c>
      <c r="BE188" s="107" t="e">
        <f>VLOOKUP($A188,'S50'!$C:$BQ,39,0)</f>
        <v>#N/A</v>
      </c>
      <c r="BF188" s="107" t="e">
        <f>VLOOKUP($A188,'S50'!$C:$BQ,40,0)</f>
        <v>#N/A</v>
      </c>
      <c r="BG188" s="107" t="e">
        <f>VLOOKUP($A188,'S50'!$C:$BQ,22,0)</f>
        <v>#N/A</v>
      </c>
      <c r="BH188" s="115" t="e">
        <f>VLOOKUP($A188,'S50'!$C:$BQ,29,0)</f>
        <v>#N/A</v>
      </c>
      <c r="BI188" s="115" t="e">
        <f>VLOOKUP($A188,'S50'!$C:$BQ,30,0)</f>
        <v>#N/A</v>
      </c>
      <c r="BJ188" s="115" t="e">
        <f>VLOOKUP($A188,'S50'!$C:$BQ,52,0)</f>
        <v>#N/A</v>
      </c>
      <c r="BK188" s="115" t="e">
        <f>VLOOKUP($A188,'S50'!$C:$BQ,59,0)</f>
        <v>#N/A</v>
      </c>
      <c r="BL188" s="115" t="e">
        <f>VLOOKUP($A188,'S50'!$C:$BQ,60,0)</f>
        <v>#N/A</v>
      </c>
    </row>
    <row r="189" spans="1:64" x14ac:dyDescent="0.2">
      <c r="A189" s="106" t="s">
        <v>256</v>
      </c>
      <c r="B189" s="107">
        <f>VLOOKUP($A189,'S0 remplacer avec S44'!$C:$BQ,32,0)</f>
        <v>414</v>
      </c>
      <c r="C189" s="107">
        <f>VLOOKUP($A189,'S0 remplacer avec S44'!$C:$BQ,39,0)</f>
        <v>56</v>
      </c>
      <c r="D189" s="107">
        <f>VLOOKUP($A189,'S0 remplacer avec S44'!$C:$BQ,40,0)</f>
        <v>149</v>
      </c>
      <c r="E189" s="107">
        <f>VLOOKUP($A189,'S0 remplacer avec S44'!$C:$BQ,22,0)</f>
        <v>4153.0347099999999</v>
      </c>
      <c r="F189" s="115">
        <f>VLOOKUP($A189,'S0 remplacer avec S44'!$C:$BQ,29,0)</f>
        <v>114</v>
      </c>
      <c r="G189" s="115">
        <f>VLOOKUP($A189,'S0 remplacer avec S44'!$C:$BQ,30,0)</f>
        <v>967</v>
      </c>
      <c r="H189" s="115">
        <f>VLOOKUP($A189,'S0 remplacer avec S44'!$C:$BQ,52,0)</f>
        <v>258.39999999999998</v>
      </c>
      <c r="I189" s="115">
        <f>VLOOKUP($A189,'S0 remplacer avec S44'!$C:$BQ,59,0)</f>
        <v>0</v>
      </c>
      <c r="J189" s="115">
        <f>VLOOKUP($A189,'S0 remplacer avec S44'!$C:$BQ,60,0)</f>
        <v>28</v>
      </c>
      <c r="K189" s="107" t="e">
        <f>VLOOKUP($A189,'S45'!$C:$BQ,32,0)</f>
        <v>#N/A</v>
      </c>
      <c r="L189" s="107" t="e">
        <f>VLOOKUP($A189,'S45'!$C:$BQ,39,0)</f>
        <v>#N/A</v>
      </c>
      <c r="M189" s="107" t="e">
        <f>VLOOKUP($A189,'S45'!$C:$BQ,40,0)</f>
        <v>#N/A</v>
      </c>
      <c r="N189" s="107" t="e">
        <f>VLOOKUP($A189,'S45'!$C:$BQ,22,0)</f>
        <v>#N/A</v>
      </c>
      <c r="O189" s="115" t="e">
        <f>VLOOKUP($A189,'S45'!$C:$BQ,29,0)</f>
        <v>#N/A</v>
      </c>
      <c r="P189" s="115" t="e">
        <f>VLOOKUP($A189,'S45'!$C:$BQ,30,0)</f>
        <v>#N/A</v>
      </c>
      <c r="Q189" s="115" t="e">
        <f>VLOOKUP($A189,'S45'!$C:$BQ,52,0)</f>
        <v>#N/A</v>
      </c>
      <c r="R189" s="115" t="e">
        <f>VLOOKUP($A189,'S45'!$C:$BQ,59,0)</f>
        <v>#N/A</v>
      </c>
      <c r="S189" s="115" t="e">
        <f>VLOOKUP($A189,'S45'!$C:$BQ,60,0)</f>
        <v>#N/A</v>
      </c>
      <c r="T189" s="107" t="e">
        <f>VLOOKUP($A189,'S46'!$C:$BQ,32,0)</f>
        <v>#N/A</v>
      </c>
      <c r="U189" s="107" t="e">
        <f>VLOOKUP($A189,'S46'!$C:$BQ,39,0)</f>
        <v>#N/A</v>
      </c>
      <c r="V189" s="107" t="e">
        <f>VLOOKUP($A189,'S46'!$C:$BQ,40,0)</f>
        <v>#N/A</v>
      </c>
      <c r="W189" s="107" t="e">
        <f>VLOOKUP($A189,'S46'!$C:$BQ,22,0)</f>
        <v>#N/A</v>
      </c>
      <c r="X189" s="115" t="e">
        <f>VLOOKUP($A189,'S46'!$C:$BQ,29,0)</f>
        <v>#N/A</v>
      </c>
      <c r="Y189" s="115" t="e">
        <f>VLOOKUP($A189,'S46'!$C:$BQ,30,0)</f>
        <v>#N/A</v>
      </c>
      <c r="Z189" s="115" t="e">
        <f>VLOOKUP($A189,'S46'!$C:$BQ,52,0)</f>
        <v>#N/A</v>
      </c>
      <c r="AA189" s="115" t="e">
        <f>VLOOKUP($A189,'S46'!$C:$BQ,59,0)</f>
        <v>#N/A</v>
      </c>
      <c r="AB189" s="115" t="e">
        <f>VLOOKUP($A189,'S46'!$C:$BQ,60,0)</f>
        <v>#N/A</v>
      </c>
      <c r="AC189" s="107" t="e">
        <f>VLOOKUP($A189,'S47'!$C:$BQ,32,0)</f>
        <v>#N/A</v>
      </c>
      <c r="AD189" s="107" t="e">
        <f>VLOOKUP($A189,'S47'!$C:$BQ,39,0)</f>
        <v>#N/A</v>
      </c>
      <c r="AE189" s="107" t="e">
        <f>VLOOKUP($A189,'S47'!$C:$BQ,40,0)</f>
        <v>#N/A</v>
      </c>
      <c r="AF189" s="107" t="e">
        <f>VLOOKUP($A189,'S47'!$C:$BQ,22,0)</f>
        <v>#N/A</v>
      </c>
      <c r="AG189" s="115" t="e">
        <f>VLOOKUP($A189,'S47'!$C:$BQ,29,0)</f>
        <v>#N/A</v>
      </c>
      <c r="AH189" s="115" t="e">
        <f>VLOOKUP($A189,'S47'!$C:$BQ,30,0)</f>
        <v>#N/A</v>
      </c>
      <c r="AI189" s="115" t="e">
        <f>VLOOKUP($A189,'S47'!$C:$BQ,52,0)</f>
        <v>#N/A</v>
      </c>
      <c r="AJ189" s="115" t="e">
        <f>VLOOKUP($A189,'S47'!$C:$BQ,59,0)</f>
        <v>#N/A</v>
      </c>
      <c r="AK189" s="115" t="e">
        <f>VLOOKUP($A189,'S47'!$C:$BQ,60,0)</f>
        <v>#N/A</v>
      </c>
      <c r="AL189" s="107" t="e">
        <f>VLOOKUP($A189,'S48'!$C:$BQ,32,0)</f>
        <v>#N/A</v>
      </c>
      <c r="AM189" s="107" t="e">
        <f>VLOOKUP($A189,'S48'!$C:$BQ,39,0)</f>
        <v>#N/A</v>
      </c>
      <c r="AN189" s="107" t="e">
        <f>VLOOKUP($A189,'S48'!$C:$BQ,40,0)</f>
        <v>#N/A</v>
      </c>
      <c r="AO189" s="107" t="e">
        <f>VLOOKUP($A189,'S48'!$C:$BQ,22,0)</f>
        <v>#N/A</v>
      </c>
      <c r="AP189" s="115" t="e">
        <f>VLOOKUP($A189,'S48'!$C:$BQ,29,0)</f>
        <v>#N/A</v>
      </c>
      <c r="AQ189" s="115" t="e">
        <f>VLOOKUP($A189,'S48'!$C:$BQ,30,0)</f>
        <v>#N/A</v>
      </c>
      <c r="AR189" s="115" t="e">
        <f>VLOOKUP($A189,'S48'!$C:$BQ,52,0)</f>
        <v>#N/A</v>
      </c>
      <c r="AS189" s="115" t="e">
        <f>VLOOKUP($A189,'S48'!$C:$BQ,59,0)</f>
        <v>#N/A</v>
      </c>
      <c r="AT189" s="115" t="e">
        <f>VLOOKUP($A189,'S48'!$C:$BQ,60,0)</f>
        <v>#N/A</v>
      </c>
      <c r="AU189" s="107" t="e">
        <f>VLOOKUP($A189,'S49'!$C:$BQ,32,0)</f>
        <v>#N/A</v>
      </c>
      <c r="AV189" s="107" t="e">
        <f>VLOOKUP($A189,'S49'!$C:$BQ,39,0)</f>
        <v>#N/A</v>
      </c>
      <c r="AW189" s="107" t="e">
        <f>VLOOKUP($A189,'S49'!$C:$BQ,40,0)</f>
        <v>#N/A</v>
      </c>
      <c r="AX189" s="107" t="e">
        <f>VLOOKUP($A189,'S49'!$C:$BQ,22,0)</f>
        <v>#N/A</v>
      </c>
      <c r="AY189" s="115" t="e">
        <f>VLOOKUP($A189,'S49'!$C:$BQ,29,0)</f>
        <v>#N/A</v>
      </c>
      <c r="AZ189" s="115" t="e">
        <f>VLOOKUP($A189,'S49'!$C:$BQ,30,0)</f>
        <v>#N/A</v>
      </c>
      <c r="BA189" s="115" t="e">
        <f>VLOOKUP($A189,'S49'!$C:$BQ,52,0)</f>
        <v>#N/A</v>
      </c>
      <c r="BB189" s="115" t="e">
        <f>VLOOKUP($A189,'S49'!$C:$BQ,59,0)</f>
        <v>#N/A</v>
      </c>
      <c r="BC189" s="115" t="e">
        <f>VLOOKUP($A189,'S49'!$C:$BQ,60,0)</f>
        <v>#N/A</v>
      </c>
      <c r="BD189" s="107" t="e">
        <f>VLOOKUP($A189,'S50'!$C:$BQ,32,0)</f>
        <v>#N/A</v>
      </c>
      <c r="BE189" s="107" t="e">
        <f>VLOOKUP($A189,'S50'!$C:$BQ,39,0)</f>
        <v>#N/A</v>
      </c>
      <c r="BF189" s="107" t="e">
        <f>VLOOKUP($A189,'S50'!$C:$BQ,40,0)</f>
        <v>#N/A</v>
      </c>
      <c r="BG189" s="107" t="e">
        <f>VLOOKUP($A189,'S50'!$C:$BQ,22,0)</f>
        <v>#N/A</v>
      </c>
      <c r="BH189" s="115" t="e">
        <f>VLOOKUP($A189,'S50'!$C:$BQ,29,0)</f>
        <v>#N/A</v>
      </c>
      <c r="BI189" s="115" t="e">
        <f>VLOOKUP($A189,'S50'!$C:$BQ,30,0)</f>
        <v>#N/A</v>
      </c>
      <c r="BJ189" s="115" t="e">
        <f>VLOOKUP($A189,'S50'!$C:$BQ,52,0)</f>
        <v>#N/A</v>
      </c>
      <c r="BK189" s="115" t="e">
        <f>VLOOKUP($A189,'S50'!$C:$BQ,59,0)</f>
        <v>#N/A</v>
      </c>
      <c r="BL189" s="115" t="e">
        <f>VLOOKUP($A189,'S50'!$C:$BQ,60,0)</f>
        <v>#N/A</v>
      </c>
    </row>
    <row r="190" spans="1:64" x14ac:dyDescent="0.2">
      <c r="A190" s="106" t="s">
        <v>257</v>
      </c>
      <c r="B190" s="107">
        <f>VLOOKUP($A190,'S0 remplacer avec S44'!$C:$BQ,32,0)</f>
        <v>2091.9</v>
      </c>
      <c r="C190" s="107">
        <f>VLOOKUP($A190,'S0 remplacer avec S44'!$C:$BQ,39,0)</f>
        <v>0</v>
      </c>
      <c r="D190" s="107">
        <f>VLOOKUP($A190,'S0 remplacer avec S44'!$C:$BQ,40,0)</f>
        <v>0</v>
      </c>
      <c r="E190" s="107">
        <f>VLOOKUP($A190,'S0 remplacer avec S44'!$C:$BQ,22,0)</f>
        <v>16623.468495000001</v>
      </c>
      <c r="F190" s="115">
        <f>VLOOKUP($A190,'S0 remplacer avec S44'!$C:$BQ,29,0)</f>
        <v>0</v>
      </c>
      <c r="G190" s="115">
        <f>VLOOKUP($A190,'S0 remplacer avec S44'!$C:$BQ,30,0)</f>
        <v>0</v>
      </c>
      <c r="H190" s="115">
        <f>VLOOKUP($A190,'S0 remplacer avec S44'!$C:$BQ,52,0)</f>
        <v>1267.4000000000001</v>
      </c>
      <c r="I190" s="115">
        <f>VLOOKUP($A190,'S0 remplacer avec S44'!$C:$BQ,59,0)</f>
        <v>0</v>
      </c>
      <c r="J190" s="115">
        <f>VLOOKUP($A190,'S0 remplacer avec S44'!$C:$BQ,60,0)</f>
        <v>0</v>
      </c>
      <c r="K190" s="107" t="e">
        <f>VLOOKUP($A190,'S45'!$C:$BQ,32,0)</f>
        <v>#N/A</v>
      </c>
      <c r="L190" s="107" t="e">
        <f>VLOOKUP($A190,'S45'!$C:$BQ,39,0)</f>
        <v>#N/A</v>
      </c>
      <c r="M190" s="107" t="e">
        <f>VLOOKUP($A190,'S45'!$C:$BQ,40,0)</f>
        <v>#N/A</v>
      </c>
      <c r="N190" s="107" t="e">
        <f>VLOOKUP($A190,'S45'!$C:$BQ,22,0)</f>
        <v>#N/A</v>
      </c>
      <c r="O190" s="115" t="e">
        <f>VLOOKUP($A190,'S45'!$C:$BQ,29,0)</f>
        <v>#N/A</v>
      </c>
      <c r="P190" s="115" t="e">
        <f>VLOOKUP($A190,'S45'!$C:$BQ,30,0)</f>
        <v>#N/A</v>
      </c>
      <c r="Q190" s="115" t="e">
        <f>VLOOKUP($A190,'S45'!$C:$BQ,52,0)</f>
        <v>#N/A</v>
      </c>
      <c r="R190" s="115" t="e">
        <f>VLOOKUP($A190,'S45'!$C:$BQ,59,0)</f>
        <v>#N/A</v>
      </c>
      <c r="S190" s="115" t="e">
        <f>VLOOKUP($A190,'S45'!$C:$BQ,60,0)</f>
        <v>#N/A</v>
      </c>
      <c r="T190" s="107" t="e">
        <f>VLOOKUP($A190,'S46'!$C:$BQ,32,0)</f>
        <v>#N/A</v>
      </c>
      <c r="U190" s="107" t="e">
        <f>VLOOKUP($A190,'S46'!$C:$BQ,39,0)</f>
        <v>#N/A</v>
      </c>
      <c r="V190" s="107" t="e">
        <f>VLOOKUP($A190,'S46'!$C:$BQ,40,0)</f>
        <v>#N/A</v>
      </c>
      <c r="W190" s="107" t="e">
        <f>VLOOKUP($A190,'S46'!$C:$BQ,22,0)</f>
        <v>#N/A</v>
      </c>
      <c r="X190" s="115" t="e">
        <f>VLOOKUP($A190,'S46'!$C:$BQ,29,0)</f>
        <v>#N/A</v>
      </c>
      <c r="Y190" s="115" t="e">
        <f>VLOOKUP($A190,'S46'!$C:$BQ,30,0)</f>
        <v>#N/A</v>
      </c>
      <c r="Z190" s="115" t="e">
        <f>VLOOKUP($A190,'S46'!$C:$BQ,52,0)</f>
        <v>#N/A</v>
      </c>
      <c r="AA190" s="115" t="e">
        <f>VLOOKUP($A190,'S46'!$C:$BQ,59,0)</f>
        <v>#N/A</v>
      </c>
      <c r="AB190" s="115" t="e">
        <f>VLOOKUP($A190,'S46'!$C:$BQ,60,0)</f>
        <v>#N/A</v>
      </c>
      <c r="AC190" s="107" t="e">
        <f>VLOOKUP($A190,'S47'!$C:$BQ,32,0)</f>
        <v>#N/A</v>
      </c>
      <c r="AD190" s="107" t="e">
        <f>VLOOKUP($A190,'S47'!$C:$BQ,39,0)</f>
        <v>#N/A</v>
      </c>
      <c r="AE190" s="107" t="e">
        <f>VLOOKUP($A190,'S47'!$C:$BQ,40,0)</f>
        <v>#N/A</v>
      </c>
      <c r="AF190" s="107" t="e">
        <f>VLOOKUP($A190,'S47'!$C:$BQ,22,0)</f>
        <v>#N/A</v>
      </c>
      <c r="AG190" s="115" t="e">
        <f>VLOOKUP($A190,'S47'!$C:$BQ,29,0)</f>
        <v>#N/A</v>
      </c>
      <c r="AH190" s="115" t="e">
        <f>VLOOKUP($A190,'S47'!$C:$BQ,30,0)</f>
        <v>#N/A</v>
      </c>
      <c r="AI190" s="115" t="e">
        <f>VLOOKUP($A190,'S47'!$C:$BQ,52,0)</f>
        <v>#N/A</v>
      </c>
      <c r="AJ190" s="115" t="e">
        <f>VLOOKUP($A190,'S47'!$C:$BQ,59,0)</f>
        <v>#N/A</v>
      </c>
      <c r="AK190" s="115" t="e">
        <f>VLOOKUP($A190,'S47'!$C:$BQ,60,0)</f>
        <v>#N/A</v>
      </c>
      <c r="AL190" s="107" t="e">
        <f>VLOOKUP($A190,'S48'!$C:$BQ,32,0)</f>
        <v>#N/A</v>
      </c>
      <c r="AM190" s="107" t="e">
        <f>VLOOKUP($A190,'S48'!$C:$BQ,39,0)</f>
        <v>#N/A</v>
      </c>
      <c r="AN190" s="107" t="e">
        <f>VLOOKUP($A190,'S48'!$C:$BQ,40,0)</f>
        <v>#N/A</v>
      </c>
      <c r="AO190" s="107" t="e">
        <f>VLOOKUP($A190,'S48'!$C:$BQ,22,0)</f>
        <v>#N/A</v>
      </c>
      <c r="AP190" s="115" t="e">
        <f>VLOOKUP($A190,'S48'!$C:$BQ,29,0)</f>
        <v>#N/A</v>
      </c>
      <c r="AQ190" s="115" t="e">
        <f>VLOOKUP($A190,'S48'!$C:$BQ,30,0)</f>
        <v>#N/A</v>
      </c>
      <c r="AR190" s="115" t="e">
        <f>VLOOKUP($A190,'S48'!$C:$BQ,52,0)</f>
        <v>#N/A</v>
      </c>
      <c r="AS190" s="115" t="e">
        <f>VLOOKUP($A190,'S48'!$C:$BQ,59,0)</f>
        <v>#N/A</v>
      </c>
      <c r="AT190" s="115" t="e">
        <f>VLOOKUP($A190,'S48'!$C:$BQ,60,0)</f>
        <v>#N/A</v>
      </c>
      <c r="AU190" s="107" t="e">
        <f>VLOOKUP($A190,'S49'!$C:$BQ,32,0)</f>
        <v>#N/A</v>
      </c>
      <c r="AV190" s="107" t="e">
        <f>VLOOKUP($A190,'S49'!$C:$BQ,39,0)</f>
        <v>#N/A</v>
      </c>
      <c r="AW190" s="107" t="e">
        <f>VLOOKUP($A190,'S49'!$C:$BQ,40,0)</f>
        <v>#N/A</v>
      </c>
      <c r="AX190" s="107" t="e">
        <f>VLOOKUP($A190,'S49'!$C:$BQ,22,0)</f>
        <v>#N/A</v>
      </c>
      <c r="AY190" s="115" t="e">
        <f>VLOOKUP($A190,'S49'!$C:$BQ,29,0)</f>
        <v>#N/A</v>
      </c>
      <c r="AZ190" s="115" t="e">
        <f>VLOOKUP($A190,'S49'!$C:$BQ,30,0)</f>
        <v>#N/A</v>
      </c>
      <c r="BA190" s="115" t="e">
        <f>VLOOKUP($A190,'S49'!$C:$BQ,52,0)</f>
        <v>#N/A</v>
      </c>
      <c r="BB190" s="115" t="e">
        <f>VLOOKUP($A190,'S49'!$C:$BQ,59,0)</f>
        <v>#N/A</v>
      </c>
      <c r="BC190" s="115" t="e">
        <f>VLOOKUP($A190,'S49'!$C:$BQ,60,0)</f>
        <v>#N/A</v>
      </c>
      <c r="BD190" s="107" t="e">
        <f>VLOOKUP($A190,'S50'!$C:$BQ,32,0)</f>
        <v>#N/A</v>
      </c>
      <c r="BE190" s="107" t="e">
        <f>VLOOKUP($A190,'S50'!$C:$BQ,39,0)</f>
        <v>#N/A</v>
      </c>
      <c r="BF190" s="107" t="e">
        <f>VLOOKUP($A190,'S50'!$C:$BQ,40,0)</f>
        <v>#N/A</v>
      </c>
      <c r="BG190" s="107" t="e">
        <f>VLOOKUP($A190,'S50'!$C:$BQ,22,0)</f>
        <v>#N/A</v>
      </c>
      <c r="BH190" s="115" t="e">
        <f>VLOOKUP($A190,'S50'!$C:$BQ,29,0)</f>
        <v>#N/A</v>
      </c>
      <c r="BI190" s="115" t="e">
        <f>VLOOKUP($A190,'S50'!$C:$BQ,30,0)</f>
        <v>#N/A</v>
      </c>
      <c r="BJ190" s="115" t="e">
        <f>VLOOKUP($A190,'S50'!$C:$BQ,52,0)</f>
        <v>#N/A</v>
      </c>
      <c r="BK190" s="115" t="e">
        <f>VLOOKUP($A190,'S50'!$C:$BQ,59,0)</f>
        <v>#N/A</v>
      </c>
      <c r="BL190" s="115" t="e">
        <f>VLOOKUP($A190,'S50'!$C:$BQ,60,0)</f>
        <v>#N/A</v>
      </c>
    </row>
    <row r="191" spans="1:64" x14ac:dyDescent="0.2">
      <c r="A191" s="106" t="s">
        <v>258</v>
      </c>
      <c r="B191" s="107">
        <f>VLOOKUP($A191,'S0 remplacer avec S44'!$C:$BQ,32,0)</f>
        <v>77.650000000000006</v>
      </c>
      <c r="C191" s="107">
        <f>VLOOKUP($A191,'S0 remplacer avec S44'!$C:$BQ,39,0)</f>
        <v>32</v>
      </c>
      <c r="D191" s="107">
        <f>VLOOKUP($A191,'S0 remplacer avec S44'!$C:$BQ,40,0)</f>
        <v>54</v>
      </c>
      <c r="E191" s="107">
        <f>VLOOKUP($A191,'S0 remplacer avec S44'!$C:$BQ,22,0)</f>
        <v>1047.613605</v>
      </c>
      <c r="F191" s="115">
        <f>VLOOKUP($A191,'S0 remplacer avec S44'!$C:$BQ,29,0)</f>
        <v>0</v>
      </c>
      <c r="G191" s="115">
        <f>VLOOKUP($A191,'S0 remplacer avec S44'!$C:$BQ,30,0)</f>
        <v>148</v>
      </c>
      <c r="H191" s="115">
        <f>VLOOKUP($A191,'S0 remplacer avec S44'!$C:$BQ,52,0)</f>
        <v>50.6</v>
      </c>
      <c r="I191" s="115">
        <f>VLOOKUP($A191,'S0 remplacer avec S44'!$C:$BQ,59,0)</f>
        <v>6</v>
      </c>
      <c r="J191" s="115">
        <f>VLOOKUP($A191,'S0 remplacer avec S44'!$C:$BQ,60,0)</f>
        <v>17</v>
      </c>
      <c r="K191" s="107" t="e">
        <f>VLOOKUP($A191,'S45'!$C:$BQ,32,0)</f>
        <v>#N/A</v>
      </c>
      <c r="L191" s="107" t="e">
        <f>VLOOKUP($A191,'S45'!$C:$BQ,39,0)</f>
        <v>#N/A</v>
      </c>
      <c r="M191" s="107" t="e">
        <f>VLOOKUP($A191,'S45'!$C:$BQ,40,0)</f>
        <v>#N/A</v>
      </c>
      <c r="N191" s="107" t="e">
        <f>VLOOKUP($A191,'S45'!$C:$BQ,22,0)</f>
        <v>#N/A</v>
      </c>
      <c r="O191" s="115" t="e">
        <f>VLOOKUP($A191,'S45'!$C:$BQ,29,0)</f>
        <v>#N/A</v>
      </c>
      <c r="P191" s="115" t="e">
        <f>VLOOKUP($A191,'S45'!$C:$BQ,30,0)</f>
        <v>#N/A</v>
      </c>
      <c r="Q191" s="115" t="e">
        <f>VLOOKUP($A191,'S45'!$C:$BQ,52,0)</f>
        <v>#N/A</v>
      </c>
      <c r="R191" s="115" t="e">
        <f>VLOOKUP($A191,'S45'!$C:$BQ,59,0)</f>
        <v>#N/A</v>
      </c>
      <c r="S191" s="115" t="e">
        <f>VLOOKUP($A191,'S45'!$C:$BQ,60,0)</f>
        <v>#N/A</v>
      </c>
      <c r="T191" s="107" t="e">
        <f>VLOOKUP($A191,'S46'!$C:$BQ,32,0)</f>
        <v>#N/A</v>
      </c>
      <c r="U191" s="107" t="e">
        <f>VLOOKUP($A191,'S46'!$C:$BQ,39,0)</f>
        <v>#N/A</v>
      </c>
      <c r="V191" s="107" t="e">
        <f>VLOOKUP($A191,'S46'!$C:$BQ,40,0)</f>
        <v>#N/A</v>
      </c>
      <c r="W191" s="107" t="e">
        <f>VLOOKUP($A191,'S46'!$C:$BQ,22,0)</f>
        <v>#N/A</v>
      </c>
      <c r="X191" s="115" t="e">
        <f>VLOOKUP($A191,'S46'!$C:$BQ,29,0)</f>
        <v>#N/A</v>
      </c>
      <c r="Y191" s="115" t="e">
        <f>VLOOKUP($A191,'S46'!$C:$BQ,30,0)</f>
        <v>#N/A</v>
      </c>
      <c r="Z191" s="115" t="e">
        <f>VLOOKUP($A191,'S46'!$C:$BQ,52,0)</f>
        <v>#N/A</v>
      </c>
      <c r="AA191" s="115" t="e">
        <f>VLOOKUP($A191,'S46'!$C:$BQ,59,0)</f>
        <v>#N/A</v>
      </c>
      <c r="AB191" s="115" t="e">
        <f>VLOOKUP($A191,'S46'!$C:$BQ,60,0)</f>
        <v>#N/A</v>
      </c>
      <c r="AC191" s="107" t="e">
        <f>VLOOKUP($A191,'S47'!$C:$BQ,32,0)</f>
        <v>#N/A</v>
      </c>
      <c r="AD191" s="107" t="e">
        <f>VLOOKUP($A191,'S47'!$C:$BQ,39,0)</f>
        <v>#N/A</v>
      </c>
      <c r="AE191" s="107" t="e">
        <f>VLOOKUP($A191,'S47'!$C:$BQ,40,0)</f>
        <v>#N/A</v>
      </c>
      <c r="AF191" s="107" t="e">
        <f>VLOOKUP($A191,'S47'!$C:$BQ,22,0)</f>
        <v>#N/A</v>
      </c>
      <c r="AG191" s="115" t="e">
        <f>VLOOKUP($A191,'S47'!$C:$BQ,29,0)</f>
        <v>#N/A</v>
      </c>
      <c r="AH191" s="115" t="e">
        <f>VLOOKUP($A191,'S47'!$C:$BQ,30,0)</f>
        <v>#N/A</v>
      </c>
      <c r="AI191" s="115" t="e">
        <f>VLOOKUP($A191,'S47'!$C:$BQ,52,0)</f>
        <v>#N/A</v>
      </c>
      <c r="AJ191" s="115" t="e">
        <f>VLOOKUP($A191,'S47'!$C:$BQ,59,0)</f>
        <v>#N/A</v>
      </c>
      <c r="AK191" s="115" t="e">
        <f>VLOOKUP($A191,'S47'!$C:$BQ,60,0)</f>
        <v>#N/A</v>
      </c>
      <c r="AL191" s="107" t="e">
        <f>VLOOKUP($A191,'S48'!$C:$BQ,32,0)</f>
        <v>#N/A</v>
      </c>
      <c r="AM191" s="107" t="e">
        <f>VLOOKUP($A191,'S48'!$C:$BQ,39,0)</f>
        <v>#N/A</v>
      </c>
      <c r="AN191" s="107" t="e">
        <f>VLOOKUP($A191,'S48'!$C:$BQ,40,0)</f>
        <v>#N/A</v>
      </c>
      <c r="AO191" s="107" t="e">
        <f>VLOOKUP($A191,'S48'!$C:$BQ,22,0)</f>
        <v>#N/A</v>
      </c>
      <c r="AP191" s="115" t="e">
        <f>VLOOKUP($A191,'S48'!$C:$BQ,29,0)</f>
        <v>#N/A</v>
      </c>
      <c r="AQ191" s="115" t="e">
        <f>VLOOKUP($A191,'S48'!$C:$BQ,30,0)</f>
        <v>#N/A</v>
      </c>
      <c r="AR191" s="115" t="e">
        <f>VLOOKUP($A191,'S48'!$C:$BQ,52,0)</f>
        <v>#N/A</v>
      </c>
      <c r="AS191" s="115" t="e">
        <f>VLOOKUP($A191,'S48'!$C:$BQ,59,0)</f>
        <v>#N/A</v>
      </c>
      <c r="AT191" s="115" t="e">
        <f>VLOOKUP($A191,'S48'!$C:$BQ,60,0)</f>
        <v>#N/A</v>
      </c>
      <c r="AU191" s="107" t="e">
        <f>VLOOKUP($A191,'S49'!$C:$BQ,32,0)</f>
        <v>#N/A</v>
      </c>
      <c r="AV191" s="107" t="e">
        <f>VLOOKUP($A191,'S49'!$C:$BQ,39,0)</f>
        <v>#N/A</v>
      </c>
      <c r="AW191" s="107" t="e">
        <f>VLOOKUP($A191,'S49'!$C:$BQ,40,0)</f>
        <v>#N/A</v>
      </c>
      <c r="AX191" s="107" t="e">
        <f>VLOOKUP($A191,'S49'!$C:$BQ,22,0)</f>
        <v>#N/A</v>
      </c>
      <c r="AY191" s="115" t="e">
        <f>VLOOKUP($A191,'S49'!$C:$BQ,29,0)</f>
        <v>#N/A</v>
      </c>
      <c r="AZ191" s="115" t="e">
        <f>VLOOKUP($A191,'S49'!$C:$BQ,30,0)</f>
        <v>#N/A</v>
      </c>
      <c r="BA191" s="115" t="e">
        <f>VLOOKUP($A191,'S49'!$C:$BQ,52,0)</f>
        <v>#N/A</v>
      </c>
      <c r="BB191" s="115" t="e">
        <f>VLOOKUP($A191,'S49'!$C:$BQ,59,0)</f>
        <v>#N/A</v>
      </c>
      <c r="BC191" s="115" t="e">
        <f>VLOOKUP($A191,'S49'!$C:$BQ,60,0)</f>
        <v>#N/A</v>
      </c>
      <c r="BD191" s="107" t="e">
        <f>VLOOKUP($A191,'S50'!$C:$BQ,32,0)</f>
        <v>#N/A</v>
      </c>
      <c r="BE191" s="107" t="e">
        <f>VLOOKUP($A191,'S50'!$C:$BQ,39,0)</f>
        <v>#N/A</v>
      </c>
      <c r="BF191" s="107" t="e">
        <f>VLOOKUP($A191,'S50'!$C:$BQ,40,0)</f>
        <v>#N/A</v>
      </c>
      <c r="BG191" s="107" t="e">
        <f>VLOOKUP($A191,'S50'!$C:$BQ,22,0)</f>
        <v>#N/A</v>
      </c>
      <c r="BH191" s="115" t="e">
        <f>VLOOKUP($A191,'S50'!$C:$BQ,29,0)</f>
        <v>#N/A</v>
      </c>
      <c r="BI191" s="115" t="e">
        <f>VLOOKUP($A191,'S50'!$C:$BQ,30,0)</f>
        <v>#N/A</v>
      </c>
      <c r="BJ191" s="115" t="e">
        <f>VLOOKUP($A191,'S50'!$C:$BQ,52,0)</f>
        <v>#N/A</v>
      </c>
      <c r="BK191" s="115" t="e">
        <f>VLOOKUP($A191,'S50'!$C:$BQ,59,0)</f>
        <v>#N/A</v>
      </c>
      <c r="BL191" s="115" t="e">
        <f>VLOOKUP($A191,'S50'!$C:$BQ,60,0)</f>
        <v>#N/A</v>
      </c>
    </row>
    <row r="192" spans="1:64" x14ac:dyDescent="0.2">
      <c r="A192" s="106" t="s">
        <v>259</v>
      </c>
      <c r="B192" s="107">
        <f>VLOOKUP($A192,'S0 remplacer avec S44'!$C:$BQ,32,0)</f>
        <v>314.05</v>
      </c>
      <c r="C192" s="107">
        <f>VLOOKUP($A192,'S0 remplacer avec S44'!$C:$BQ,39,0)</f>
        <v>0</v>
      </c>
      <c r="D192" s="107">
        <f>VLOOKUP($A192,'S0 remplacer avec S44'!$C:$BQ,40,0)</f>
        <v>30</v>
      </c>
      <c r="E192" s="107">
        <f>VLOOKUP($A192,'S0 remplacer avec S44'!$C:$BQ,22,0)</f>
        <v>2620.8349450000001</v>
      </c>
      <c r="F192" s="115">
        <f>VLOOKUP($A192,'S0 remplacer avec S44'!$C:$BQ,29,0)</f>
        <v>0</v>
      </c>
      <c r="G192" s="115">
        <f>VLOOKUP($A192,'S0 remplacer avec S44'!$C:$BQ,30,0)</f>
        <v>500</v>
      </c>
      <c r="H192" s="115">
        <f>VLOOKUP($A192,'S0 remplacer avec S44'!$C:$BQ,52,0)</f>
        <v>192.8</v>
      </c>
      <c r="I192" s="115">
        <f>VLOOKUP($A192,'S0 remplacer avec S44'!$C:$BQ,59,0)</f>
        <v>0</v>
      </c>
      <c r="J192" s="115">
        <f>VLOOKUP($A192,'S0 remplacer avec S44'!$C:$BQ,60,0)</f>
        <v>0</v>
      </c>
      <c r="K192" s="107" t="e">
        <f>VLOOKUP($A192,'S45'!$C:$BQ,32,0)</f>
        <v>#N/A</v>
      </c>
      <c r="L192" s="107" t="e">
        <f>VLOOKUP($A192,'S45'!$C:$BQ,39,0)</f>
        <v>#N/A</v>
      </c>
      <c r="M192" s="107" t="e">
        <f>VLOOKUP($A192,'S45'!$C:$BQ,40,0)</f>
        <v>#N/A</v>
      </c>
      <c r="N192" s="107" t="e">
        <f>VLOOKUP($A192,'S45'!$C:$BQ,22,0)</f>
        <v>#N/A</v>
      </c>
      <c r="O192" s="115" t="e">
        <f>VLOOKUP($A192,'S45'!$C:$BQ,29,0)</f>
        <v>#N/A</v>
      </c>
      <c r="P192" s="115" t="e">
        <f>VLOOKUP($A192,'S45'!$C:$BQ,30,0)</f>
        <v>#N/A</v>
      </c>
      <c r="Q192" s="115" t="e">
        <f>VLOOKUP($A192,'S45'!$C:$BQ,52,0)</f>
        <v>#N/A</v>
      </c>
      <c r="R192" s="115" t="e">
        <f>VLOOKUP($A192,'S45'!$C:$BQ,59,0)</f>
        <v>#N/A</v>
      </c>
      <c r="S192" s="115" t="e">
        <f>VLOOKUP($A192,'S45'!$C:$BQ,60,0)</f>
        <v>#N/A</v>
      </c>
      <c r="T192" s="107" t="e">
        <f>VLOOKUP($A192,'S46'!$C:$BQ,32,0)</f>
        <v>#N/A</v>
      </c>
      <c r="U192" s="107" t="e">
        <f>VLOOKUP($A192,'S46'!$C:$BQ,39,0)</f>
        <v>#N/A</v>
      </c>
      <c r="V192" s="107" t="e">
        <f>VLOOKUP($A192,'S46'!$C:$BQ,40,0)</f>
        <v>#N/A</v>
      </c>
      <c r="W192" s="107" t="e">
        <f>VLOOKUP($A192,'S46'!$C:$BQ,22,0)</f>
        <v>#N/A</v>
      </c>
      <c r="X192" s="115" t="e">
        <f>VLOOKUP($A192,'S46'!$C:$BQ,29,0)</f>
        <v>#N/A</v>
      </c>
      <c r="Y192" s="115" t="e">
        <f>VLOOKUP($A192,'S46'!$C:$BQ,30,0)</f>
        <v>#N/A</v>
      </c>
      <c r="Z192" s="115" t="e">
        <f>VLOOKUP($A192,'S46'!$C:$BQ,52,0)</f>
        <v>#N/A</v>
      </c>
      <c r="AA192" s="115" t="e">
        <f>VLOOKUP($A192,'S46'!$C:$BQ,59,0)</f>
        <v>#N/A</v>
      </c>
      <c r="AB192" s="115" t="e">
        <f>VLOOKUP($A192,'S46'!$C:$BQ,60,0)</f>
        <v>#N/A</v>
      </c>
      <c r="AC192" s="107" t="e">
        <f>VLOOKUP($A192,'S47'!$C:$BQ,32,0)</f>
        <v>#N/A</v>
      </c>
      <c r="AD192" s="107" t="e">
        <f>VLOOKUP($A192,'S47'!$C:$BQ,39,0)</f>
        <v>#N/A</v>
      </c>
      <c r="AE192" s="107" t="e">
        <f>VLOOKUP($A192,'S47'!$C:$BQ,40,0)</f>
        <v>#N/A</v>
      </c>
      <c r="AF192" s="107" t="e">
        <f>VLOOKUP($A192,'S47'!$C:$BQ,22,0)</f>
        <v>#N/A</v>
      </c>
      <c r="AG192" s="115" t="e">
        <f>VLOOKUP($A192,'S47'!$C:$BQ,29,0)</f>
        <v>#N/A</v>
      </c>
      <c r="AH192" s="115" t="e">
        <f>VLOOKUP($A192,'S47'!$C:$BQ,30,0)</f>
        <v>#N/A</v>
      </c>
      <c r="AI192" s="115" t="e">
        <f>VLOOKUP($A192,'S47'!$C:$BQ,52,0)</f>
        <v>#N/A</v>
      </c>
      <c r="AJ192" s="115" t="e">
        <f>VLOOKUP($A192,'S47'!$C:$BQ,59,0)</f>
        <v>#N/A</v>
      </c>
      <c r="AK192" s="115" t="e">
        <f>VLOOKUP($A192,'S47'!$C:$BQ,60,0)</f>
        <v>#N/A</v>
      </c>
      <c r="AL192" s="107" t="e">
        <f>VLOOKUP($A192,'S48'!$C:$BQ,32,0)</f>
        <v>#N/A</v>
      </c>
      <c r="AM192" s="107" t="e">
        <f>VLOOKUP($A192,'S48'!$C:$BQ,39,0)</f>
        <v>#N/A</v>
      </c>
      <c r="AN192" s="107" t="e">
        <f>VLOOKUP($A192,'S48'!$C:$BQ,40,0)</f>
        <v>#N/A</v>
      </c>
      <c r="AO192" s="107" t="e">
        <f>VLOOKUP($A192,'S48'!$C:$BQ,22,0)</f>
        <v>#N/A</v>
      </c>
      <c r="AP192" s="115" t="e">
        <f>VLOOKUP($A192,'S48'!$C:$BQ,29,0)</f>
        <v>#N/A</v>
      </c>
      <c r="AQ192" s="115" t="e">
        <f>VLOOKUP($A192,'S48'!$C:$BQ,30,0)</f>
        <v>#N/A</v>
      </c>
      <c r="AR192" s="115" t="e">
        <f>VLOOKUP($A192,'S48'!$C:$BQ,52,0)</f>
        <v>#N/A</v>
      </c>
      <c r="AS192" s="115" t="e">
        <f>VLOOKUP($A192,'S48'!$C:$BQ,59,0)</f>
        <v>#N/A</v>
      </c>
      <c r="AT192" s="115" t="e">
        <f>VLOOKUP($A192,'S48'!$C:$BQ,60,0)</f>
        <v>#N/A</v>
      </c>
      <c r="AU192" s="107" t="e">
        <f>VLOOKUP($A192,'S49'!$C:$BQ,32,0)</f>
        <v>#N/A</v>
      </c>
      <c r="AV192" s="107" t="e">
        <f>VLOOKUP($A192,'S49'!$C:$BQ,39,0)</f>
        <v>#N/A</v>
      </c>
      <c r="AW192" s="107" t="e">
        <f>VLOOKUP($A192,'S49'!$C:$BQ,40,0)</f>
        <v>#N/A</v>
      </c>
      <c r="AX192" s="107" t="e">
        <f>VLOOKUP($A192,'S49'!$C:$BQ,22,0)</f>
        <v>#N/A</v>
      </c>
      <c r="AY192" s="115" t="e">
        <f>VLOOKUP($A192,'S49'!$C:$BQ,29,0)</f>
        <v>#N/A</v>
      </c>
      <c r="AZ192" s="115" t="e">
        <f>VLOOKUP($A192,'S49'!$C:$BQ,30,0)</f>
        <v>#N/A</v>
      </c>
      <c r="BA192" s="115" t="e">
        <f>VLOOKUP($A192,'S49'!$C:$BQ,52,0)</f>
        <v>#N/A</v>
      </c>
      <c r="BB192" s="115" t="e">
        <f>VLOOKUP($A192,'S49'!$C:$BQ,59,0)</f>
        <v>#N/A</v>
      </c>
      <c r="BC192" s="115" t="e">
        <f>VLOOKUP($A192,'S49'!$C:$BQ,60,0)</f>
        <v>#N/A</v>
      </c>
      <c r="BD192" s="107" t="e">
        <f>VLOOKUP($A192,'S50'!$C:$BQ,32,0)</f>
        <v>#N/A</v>
      </c>
      <c r="BE192" s="107" t="e">
        <f>VLOOKUP($A192,'S50'!$C:$BQ,39,0)</f>
        <v>#N/A</v>
      </c>
      <c r="BF192" s="107" t="e">
        <f>VLOOKUP($A192,'S50'!$C:$BQ,40,0)</f>
        <v>#N/A</v>
      </c>
      <c r="BG192" s="107" t="e">
        <f>VLOOKUP($A192,'S50'!$C:$BQ,22,0)</f>
        <v>#N/A</v>
      </c>
      <c r="BH192" s="115" t="e">
        <f>VLOOKUP($A192,'S50'!$C:$BQ,29,0)</f>
        <v>#N/A</v>
      </c>
      <c r="BI192" s="115" t="e">
        <f>VLOOKUP($A192,'S50'!$C:$BQ,30,0)</f>
        <v>#N/A</v>
      </c>
      <c r="BJ192" s="115" t="e">
        <f>VLOOKUP($A192,'S50'!$C:$BQ,52,0)</f>
        <v>#N/A</v>
      </c>
      <c r="BK192" s="115" t="e">
        <f>VLOOKUP($A192,'S50'!$C:$BQ,59,0)</f>
        <v>#N/A</v>
      </c>
      <c r="BL192" s="115" t="e">
        <f>VLOOKUP($A192,'S50'!$C:$BQ,60,0)</f>
        <v>#N/A</v>
      </c>
    </row>
    <row r="193" spans="1:64" x14ac:dyDescent="0.2">
      <c r="A193" s="106" t="s">
        <v>261</v>
      </c>
      <c r="B193" s="107">
        <f>VLOOKUP($A193,'S0 remplacer avec S44'!$C:$BQ,32,0)</f>
        <v>468.6</v>
      </c>
      <c r="C193" s="107">
        <f>VLOOKUP($A193,'S0 remplacer avec S44'!$C:$BQ,39,0)</f>
        <v>137</v>
      </c>
      <c r="D193" s="107">
        <f>VLOOKUP($A193,'S0 remplacer avec S44'!$C:$BQ,40,0)</f>
        <v>258</v>
      </c>
      <c r="E193" s="107">
        <f>VLOOKUP($A193,'S0 remplacer avec S44'!$C:$BQ,22,0)</f>
        <v>4931.3633250000003</v>
      </c>
      <c r="F193" s="115">
        <f>VLOOKUP($A193,'S0 remplacer avec S44'!$C:$BQ,29,0)</f>
        <v>570</v>
      </c>
      <c r="G193" s="115">
        <f>VLOOKUP($A193,'S0 remplacer avec S44'!$C:$BQ,30,0)</f>
        <v>1671</v>
      </c>
      <c r="H193" s="115">
        <f>VLOOKUP($A193,'S0 remplacer avec S44'!$C:$BQ,52,0)</f>
        <v>322.60000000000002</v>
      </c>
      <c r="I193" s="115">
        <f>VLOOKUP($A193,'S0 remplacer avec S44'!$C:$BQ,59,0)</f>
        <v>0</v>
      </c>
      <c r="J193" s="115">
        <f>VLOOKUP($A193,'S0 remplacer avec S44'!$C:$BQ,60,0)</f>
        <v>47</v>
      </c>
      <c r="K193" s="107" t="e">
        <f>VLOOKUP($A193,'S45'!$C:$BQ,32,0)</f>
        <v>#N/A</v>
      </c>
      <c r="L193" s="107" t="e">
        <f>VLOOKUP($A193,'S45'!$C:$BQ,39,0)</f>
        <v>#N/A</v>
      </c>
      <c r="M193" s="107" t="e">
        <f>VLOOKUP($A193,'S45'!$C:$BQ,40,0)</f>
        <v>#N/A</v>
      </c>
      <c r="N193" s="107" t="e">
        <f>VLOOKUP($A193,'S45'!$C:$BQ,22,0)</f>
        <v>#N/A</v>
      </c>
      <c r="O193" s="115" t="e">
        <f>VLOOKUP($A193,'S45'!$C:$BQ,29,0)</f>
        <v>#N/A</v>
      </c>
      <c r="P193" s="115" t="e">
        <f>VLOOKUP($A193,'S45'!$C:$BQ,30,0)</f>
        <v>#N/A</v>
      </c>
      <c r="Q193" s="115" t="e">
        <f>VLOOKUP($A193,'S45'!$C:$BQ,52,0)</f>
        <v>#N/A</v>
      </c>
      <c r="R193" s="115" t="e">
        <f>VLOOKUP($A193,'S45'!$C:$BQ,59,0)</f>
        <v>#N/A</v>
      </c>
      <c r="S193" s="115" t="e">
        <f>VLOOKUP($A193,'S45'!$C:$BQ,60,0)</f>
        <v>#N/A</v>
      </c>
      <c r="T193" s="107" t="e">
        <f>VLOOKUP($A193,'S46'!$C:$BQ,32,0)</f>
        <v>#N/A</v>
      </c>
      <c r="U193" s="107" t="e">
        <f>VLOOKUP($A193,'S46'!$C:$BQ,39,0)</f>
        <v>#N/A</v>
      </c>
      <c r="V193" s="107" t="e">
        <f>VLOOKUP($A193,'S46'!$C:$BQ,40,0)</f>
        <v>#N/A</v>
      </c>
      <c r="W193" s="107" t="e">
        <f>VLOOKUP($A193,'S46'!$C:$BQ,22,0)</f>
        <v>#N/A</v>
      </c>
      <c r="X193" s="115" t="e">
        <f>VLOOKUP($A193,'S46'!$C:$BQ,29,0)</f>
        <v>#N/A</v>
      </c>
      <c r="Y193" s="115" t="e">
        <f>VLOOKUP($A193,'S46'!$C:$BQ,30,0)</f>
        <v>#N/A</v>
      </c>
      <c r="Z193" s="115" t="e">
        <f>VLOOKUP($A193,'S46'!$C:$BQ,52,0)</f>
        <v>#N/A</v>
      </c>
      <c r="AA193" s="115" t="e">
        <f>VLOOKUP($A193,'S46'!$C:$BQ,59,0)</f>
        <v>#N/A</v>
      </c>
      <c r="AB193" s="115" t="e">
        <f>VLOOKUP($A193,'S46'!$C:$BQ,60,0)</f>
        <v>#N/A</v>
      </c>
      <c r="AC193" s="107" t="e">
        <f>VLOOKUP($A193,'S47'!$C:$BQ,32,0)</f>
        <v>#N/A</v>
      </c>
      <c r="AD193" s="107" t="e">
        <f>VLOOKUP($A193,'S47'!$C:$BQ,39,0)</f>
        <v>#N/A</v>
      </c>
      <c r="AE193" s="107" t="e">
        <f>VLOOKUP($A193,'S47'!$C:$BQ,40,0)</f>
        <v>#N/A</v>
      </c>
      <c r="AF193" s="107" t="e">
        <f>VLOOKUP($A193,'S47'!$C:$BQ,22,0)</f>
        <v>#N/A</v>
      </c>
      <c r="AG193" s="115" t="e">
        <f>VLOOKUP($A193,'S47'!$C:$BQ,29,0)</f>
        <v>#N/A</v>
      </c>
      <c r="AH193" s="115" t="e">
        <f>VLOOKUP($A193,'S47'!$C:$BQ,30,0)</f>
        <v>#N/A</v>
      </c>
      <c r="AI193" s="115" t="e">
        <f>VLOOKUP($A193,'S47'!$C:$BQ,52,0)</f>
        <v>#N/A</v>
      </c>
      <c r="AJ193" s="115" t="e">
        <f>VLOOKUP($A193,'S47'!$C:$BQ,59,0)</f>
        <v>#N/A</v>
      </c>
      <c r="AK193" s="115" t="e">
        <f>VLOOKUP($A193,'S47'!$C:$BQ,60,0)</f>
        <v>#N/A</v>
      </c>
      <c r="AL193" s="107" t="e">
        <f>VLOOKUP($A193,'S48'!$C:$BQ,32,0)</f>
        <v>#N/A</v>
      </c>
      <c r="AM193" s="107" t="e">
        <f>VLOOKUP($A193,'S48'!$C:$BQ,39,0)</f>
        <v>#N/A</v>
      </c>
      <c r="AN193" s="107" t="e">
        <f>VLOOKUP($A193,'S48'!$C:$BQ,40,0)</f>
        <v>#N/A</v>
      </c>
      <c r="AO193" s="107" t="e">
        <f>VLOOKUP($A193,'S48'!$C:$BQ,22,0)</f>
        <v>#N/A</v>
      </c>
      <c r="AP193" s="115" t="e">
        <f>VLOOKUP($A193,'S48'!$C:$BQ,29,0)</f>
        <v>#N/A</v>
      </c>
      <c r="AQ193" s="115" t="e">
        <f>VLOOKUP($A193,'S48'!$C:$BQ,30,0)</f>
        <v>#N/A</v>
      </c>
      <c r="AR193" s="115" t="e">
        <f>VLOOKUP($A193,'S48'!$C:$BQ,52,0)</f>
        <v>#N/A</v>
      </c>
      <c r="AS193" s="115" t="e">
        <f>VLOOKUP($A193,'S48'!$C:$BQ,59,0)</f>
        <v>#N/A</v>
      </c>
      <c r="AT193" s="115" t="e">
        <f>VLOOKUP($A193,'S48'!$C:$BQ,60,0)</f>
        <v>#N/A</v>
      </c>
      <c r="AU193" s="107" t="e">
        <f>VLOOKUP($A193,'S49'!$C:$BQ,32,0)</f>
        <v>#N/A</v>
      </c>
      <c r="AV193" s="107" t="e">
        <f>VLOOKUP($A193,'S49'!$C:$BQ,39,0)</f>
        <v>#N/A</v>
      </c>
      <c r="AW193" s="107" t="e">
        <f>VLOOKUP($A193,'S49'!$C:$BQ,40,0)</f>
        <v>#N/A</v>
      </c>
      <c r="AX193" s="107" t="e">
        <f>VLOOKUP($A193,'S49'!$C:$BQ,22,0)</f>
        <v>#N/A</v>
      </c>
      <c r="AY193" s="115" t="e">
        <f>VLOOKUP($A193,'S49'!$C:$BQ,29,0)</f>
        <v>#N/A</v>
      </c>
      <c r="AZ193" s="115" t="e">
        <f>VLOOKUP($A193,'S49'!$C:$BQ,30,0)</f>
        <v>#N/A</v>
      </c>
      <c r="BA193" s="115" t="e">
        <f>VLOOKUP($A193,'S49'!$C:$BQ,52,0)</f>
        <v>#N/A</v>
      </c>
      <c r="BB193" s="115" t="e">
        <f>VLOOKUP($A193,'S49'!$C:$BQ,59,0)</f>
        <v>#N/A</v>
      </c>
      <c r="BC193" s="115" t="e">
        <f>VLOOKUP($A193,'S49'!$C:$BQ,60,0)</f>
        <v>#N/A</v>
      </c>
      <c r="BD193" s="107" t="e">
        <f>VLOOKUP($A193,'S50'!$C:$BQ,32,0)</f>
        <v>#N/A</v>
      </c>
      <c r="BE193" s="107" t="e">
        <f>VLOOKUP($A193,'S50'!$C:$BQ,39,0)</f>
        <v>#N/A</v>
      </c>
      <c r="BF193" s="107" t="e">
        <f>VLOOKUP($A193,'S50'!$C:$BQ,40,0)</f>
        <v>#N/A</v>
      </c>
      <c r="BG193" s="107" t="e">
        <f>VLOOKUP($A193,'S50'!$C:$BQ,22,0)</f>
        <v>#N/A</v>
      </c>
      <c r="BH193" s="115" t="e">
        <f>VLOOKUP($A193,'S50'!$C:$BQ,29,0)</f>
        <v>#N/A</v>
      </c>
      <c r="BI193" s="115" t="e">
        <f>VLOOKUP($A193,'S50'!$C:$BQ,30,0)</f>
        <v>#N/A</v>
      </c>
      <c r="BJ193" s="115" t="e">
        <f>VLOOKUP($A193,'S50'!$C:$BQ,52,0)</f>
        <v>#N/A</v>
      </c>
      <c r="BK193" s="115" t="e">
        <f>VLOOKUP($A193,'S50'!$C:$BQ,59,0)</f>
        <v>#N/A</v>
      </c>
      <c r="BL193" s="115" t="e">
        <f>VLOOKUP($A193,'S50'!$C:$BQ,60,0)</f>
        <v>#N/A</v>
      </c>
    </row>
    <row r="194" spans="1:64" x14ac:dyDescent="0.2">
      <c r="A194" s="106" t="s">
        <v>262</v>
      </c>
      <c r="B194" s="107">
        <f>VLOOKUP($A194,'S0 remplacer avec S44'!$C:$BQ,32,0)</f>
        <v>230.15</v>
      </c>
      <c r="C194" s="107">
        <f>VLOOKUP($A194,'S0 remplacer avec S44'!$C:$BQ,39,0)</f>
        <v>60</v>
      </c>
      <c r="D194" s="107">
        <f>VLOOKUP($A194,'S0 remplacer avec S44'!$C:$BQ,40,0)</f>
        <v>118</v>
      </c>
      <c r="E194" s="107">
        <f>VLOOKUP($A194,'S0 remplacer avec S44'!$C:$BQ,22,0)</f>
        <v>2609.2435650000002</v>
      </c>
      <c r="F194" s="115">
        <f>VLOOKUP($A194,'S0 remplacer avec S44'!$C:$BQ,29,0)</f>
        <v>23</v>
      </c>
      <c r="G194" s="115">
        <f>VLOOKUP($A194,'S0 remplacer avec S44'!$C:$BQ,30,0)</f>
        <v>550</v>
      </c>
      <c r="H194" s="115">
        <f>VLOOKUP($A194,'S0 remplacer avec S44'!$C:$BQ,52,0)</f>
        <v>136</v>
      </c>
      <c r="I194" s="115">
        <f>VLOOKUP($A194,'S0 remplacer avec S44'!$C:$BQ,59,0)</f>
        <v>11</v>
      </c>
      <c r="J194" s="115">
        <f>VLOOKUP($A194,'S0 remplacer avec S44'!$C:$BQ,60,0)</f>
        <v>41</v>
      </c>
      <c r="K194" s="107" t="e">
        <f>VLOOKUP($A194,'S45'!$C:$BQ,32,0)</f>
        <v>#N/A</v>
      </c>
      <c r="L194" s="107" t="e">
        <f>VLOOKUP($A194,'S45'!$C:$BQ,39,0)</f>
        <v>#N/A</v>
      </c>
      <c r="M194" s="107" t="e">
        <f>VLOOKUP($A194,'S45'!$C:$BQ,40,0)</f>
        <v>#N/A</v>
      </c>
      <c r="N194" s="107" t="e">
        <f>VLOOKUP($A194,'S45'!$C:$BQ,22,0)</f>
        <v>#N/A</v>
      </c>
      <c r="O194" s="115" t="e">
        <f>VLOOKUP($A194,'S45'!$C:$BQ,29,0)</f>
        <v>#N/A</v>
      </c>
      <c r="P194" s="115" t="e">
        <f>VLOOKUP($A194,'S45'!$C:$BQ,30,0)</f>
        <v>#N/A</v>
      </c>
      <c r="Q194" s="115" t="e">
        <f>VLOOKUP($A194,'S45'!$C:$BQ,52,0)</f>
        <v>#N/A</v>
      </c>
      <c r="R194" s="115" t="e">
        <f>VLOOKUP($A194,'S45'!$C:$BQ,59,0)</f>
        <v>#N/A</v>
      </c>
      <c r="S194" s="115" t="e">
        <f>VLOOKUP($A194,'S45'!$C:$BQ,60,0)</f>
        <v>#N/A</v>
      </c>
      <c r="T194" s="107" t="e">
        <f>VLOOKUP($A194,'S46'!$C:$BQ,32,0)</f>
        <v>#N/A</v>
      </c>
      <c r="U194" s="107" t="e">
        <f>VLOOKUP($A194,'S46'!$C:$BQ,39,0)</f>
        <v>#N/A</v>
      </c>
      <c r="V194" s="107" t="e">
        <f>VLOOKUP($A194,'S46'!$C:$BQ,40,0)</f>
        <v>#N/A</v>
      </c>
      <c r="W194" s="107" t="e">
        <f>VLOOKUP($A194,'S46'!$C:$BQ,22,0)</f>
        <v>#N/A</v>
      </c>
      <c r="X194" s="115" t="e">
        <f>VLOOKUP($A194,'S46'!$C:$BQ,29,0)</f>
        <v>#N/A</v>
      </c>
      <c r="Y194" s="115" t="e">
        <f>VLOOKUP($A194,'S46'!$C:$BQ,30,0)</f>
        <v>#N/A</v>
      </c>
      <c r="Z194" s="115" t="e">
        <f>VLOOKUP($A194,'S46'!$C:$BQ,52,0)</f>
        <v>#N/A</v>
      </c>
      <c r="AA194" s="115" t="e">
        <f>VLOOKUP($A194,'S46'!$C:$BQ,59,0)</f>
        <v>#N/A</v>
      </c>
      <c r="AB194" s="115" t="e">
        <f>VLOOKUP($A194,'S46'!$C:$BQ,60,0)</f>
        <v>#N/A</v>
      </c>
      <c r="AC194" s="107" t="e">
        <f>VLOOKUP($A194,'S47'!$C:$BQ,32,0)</f>
        <v>#N/A</v>
      </c>
      <c r="AD194" s="107" t="e">
        <f>VLOOKUP($A194,'S47'!$C:$BQ,39,0)</f>
        <v>#N/A</v>
      </c>
      <c r="AE194" s="107" t="e">
        <f>VLOOKUP($A194,'S47'!$C:$BQ,40,0)</f>
        <v>#N/A</v>
      </c>
      <c r="AF194" s="107" t="e">
        <f>VLOOKUP($A194,'S47'!$C:$BQ,22,0)</f>
        <v>#N/A</v>
      </c>
      <c r="AG194" s="115" t="e">
        <f>VLOOKUP($A194,'S47'!$C:$BQ,29,0)</f>
        <v>#N/A</v>
      </c>
      <c r="AH194" s="115" t="e">
        <f>VLOOKUP($A194,'S47'!$C:$BQ,30,0)</f>
        <v>#N/A</v>
      </c>
      <c r="AI194" s="115" t="e">
        <f>VLOOKUP($A194,'S47'!$C:$BQ,52,0)</f>
        <v>#N/A</v>
      </c>
      <c r="AJ194" s="115" t="e">
        <f>VLOOKUP($A194,'S47'!$C:$BQ,59,0)</f>
        <v>#N/A</v>
      </c>
      <c r="AK194" s="115" t="e">
        <f>VLOOKUP($A194,'S47'!$C:$BQ,60,0)</f>
        <v>#N/A</v>
      </c>
      <c r="AL194" s="107" t="e">
        <f>VLOOKUP($A194,'S48'!$C:$BQ,32,0)</f>
        <v>#N/A</v>
      </c>
      <c r="AM194" s="107" t="e">
        <f>VLOOKUP($A194,'S48'!$C:$BQ,39,0)</f>
        <v>#N/A</v>
      </c>
      <c r="AN194" s="107" t="e">
        <f>VLOOKUP($A194,'S48'!$C:$BQ,40,0)</f>
        <v>#N/A</v>
      </c>
      <c r="AO194" s="107" t="e">
        <f>VLOOKUP($A194,'S48'!$C:$BQ,22,0)</f>
        <v>#N/A</v>
      </c>
      <c r="AP194" s="115" t="e">
        <f>VLOOKUP($A194,'S48'!$C:$BQ,29,0)</f>
        <v>#N/A</v>
      </c>
      <c r="AQ194" s="115" t="e">
        <f>VLOOKUP($A194,'S48'!$C:$BQ,30,0)</f>
        <v>#N/A</v>
      </c>
      <c r="AR194" s="115" t="e">
        <f>VLOOKUP($A194,'S48'!$C:$BQ,52,0)</f>
        <v>#N/A</v>
      </c>
      <c r="AS194" s="115" t="e">
        <f>VLOOKUP($A194,'S48'!$C:$BQ,59,0)</f>
        <v>#N/A</v>
      </c>
      <c r="AT194" s="115" t="e">
        <f>VLOOKUP($A194,'S48'!$C:$BQ,60,0)</f>
        <v>#N/A</v>
      </c>
      <c r="AU194" s="107" t="e">
        <f>VLOOKUP($A194,'S49'!$C:$BQ,32,0)</f>
        <v>#N/A</v>
      </c>
      <c r="AV194" s="107" t="e">
        <f>VLOOKUP($A194,'S49'!$C:$BQ,39,0)</f>
        <v>#N/A</v>
      </c>
      <c r="AW194" s="107" t="e">
        <f>VLOOKUP($A194,'S49'!$C:$BQ,40,0)</f>
        <v>#N/A</v>
      </c>
      <c r="AX194" s="107" t="e">
        <f>VLOOKUP($A194,'S49'!$C:$BQ,22,0)</f>
        <v>#N/A</v>
      </c>
      <c r="AY194" s="115" t="e">
        <f>VLOOKUP($A194,'S49'!$C:$BQ,29,0)</f>
        <v>#N/A</v>
      </c>
      <c r="AZ194" s="115" t="e">
        <f>VLOOKUP($A194,'S49'!$C:$BQ,30,0)</f>
        <v>#N/A</v>
      </c>
      <c r="BA194" s="115" t="e">
        <f>VLOOKUP($A194,'S49'!$C:$BQ,52,0)</f>
        <v>#N/A</v>
      </c>
      <c r="BB194" s="115" t="e">
        <f>VLOOKUP($A194,'S49'!$C:$BQ,59,0)</f>
        <v>#N/A</v>
      </c>
      <c r="BC194" s="115" t="e">
        <f>VLOOKUP($A194,'S49'!$C:$BQ,60,0)</f>
        <v>#N/A</v>
      </c>
      <c r="BD194" s="107" t="e">
        <f>VLOOKUP($A194,'S50'!$C:$BQ,32,0)</f>
        <v>#N/A</v>
      </c>
      <c r="BE194" s="107" t="e">
        <f>VLOOKUP($A194,'S50'!$C:$BQ,39,0)</f>
        <v>#N/A</v>
      </c>
      <c r="BF194" s="107" t="e">
        <f>VLOOKUP($A194,'S50'!$C:$BQ,40,0)</f>
        <v>#N/A</v>
      </c>
      <c r="BG194" s="107" t="e">
        <f>VLOOKUP($A194,'S50'!$C:$BQ,22,0)</f>
        <v>#N/A</v>
      </c>
      <c r="BH194" s="115" t="e">
        <f>VLOOKUP($A194,'S50'!$C:$BQ,29,0)</f>
        <v>#N/A</v>
      </c>
      <c r="BI194" s="115" t="e">
        <f>VLOOKUP($A194,'S50'!$C:$BQ,30,0)</f>
        <v>#N/A</v>
      </c>
      <c r="BJ194" s="115" t="e">
        <f>VLOOKUP($A194,'S50'!$C:$BQ,52,0)</f>
        <v>#N/A</v>
      </c>
      <c r="BK194" s="115" t="e">
        <f>VLOOKUP($A194,'S50'!$C:$BQ,59,0)</f>
        <v>#N/A</v>
      </c>
      <c r="BL194" s="115" t="e">
        <f>VLOOKUP($A194,'S50'!$C:$BQ,60,0)</f>
        <v>#N/A</v>
      </c>
    </row>
    <row r="195" spans="1:64" x14ac:dyDescent="0.2">
      <c r="A195" s="106" t="s">
        <v>263</v>
      </c>
      <c r="B195" s="107">
        <f>VLOOKUP($A195,'S0 remplacer avec S44'!$C:$BQ,32,0)</f>
        <v>103.8</v>
      </c>
      <c r="C195" s="107">
        <f>VLOOKUP($A195,'S0 remplacer avec S44'!$C:$BQ,39,0)</f>
        <v>20</v>
      </c>
      <c r="D195" s="107">
        <f>VLOOKUP($A195,'S0 remplacer avec S44'!$C:$BQ,40,0)</f>
        <v>45</v>
      </c>
      <c r="E195" s="107">
        <f>VLOOKUP($A195,'S0 remplacer avec S44'!$C:$BQ,22,0)</f>
        <v>1316.923225</v>
      </c>
      <c r="F195" s="115">
        <f>VLOOKUP($A195,'S0 remplacer avec S44'!$C:$BQ,29,0)</f>
        <v>0</v>
      </c>
      <c r="G195" s="115">
        <f>VLOOKUP($A195,'S0 remplacer avec S44'!$C:$BQ,30,0)</f>
        <v>29</v>
      </c>
      <c r="H195" s="115">
        <f>VLOOKUP($A195,'S0 remplacer avec S44'!$C:$BQ,52,0)</f>
        <v>64.8</v>
      </c>
      <c r="I195" s="115">
        <f>VLOOKUP($A195,'S0 remplacer avec S44'!$C:$BQ,59,0)</f>
        <v>0</v>
      </c>
      <c r="J195" s="115">
        <f>VLOOKUP($A195,'S0 remplacer avec S44'!$C:$BQ,60,0)</f>
        <v>11</v>
      </c>
      <c r="K195" s="107" t="e">
        <f>VLOOKUP($A195,'S45'!$C:$BQ,32,0)</f>
        <v>#N/A</v>
      </c>
      <c r="L195" s="107" t="e">
        <f>VLOOKUP($A195,'S45'!$C:$BQ,39,0)</f>
        <v>#N/A</v>
      </c>
      <c r="M195" s="107" t="e">
        <f>VLOOKUP($A195,'S45'!$C:$BQ,40,0)</f>
        <v>#N/A</v>
      </c>
      <c r="N195" s="107" t="e">
        <f>VLOOKUP($A195,'S45'!$C:$BQ,22,0)</f>
        <v>#N/A</v>
      </c>
      <c r="O195" s="115" t="e">
        <f>VLOOKUP($A195,'S45'!$C:$BQ,29,0)</f>
        <v>#N/A</v>
      </c>
      <c r="P195" s="115" t="e">
        <f>VLOOKUP($A195,'S45'!$C:$BQ,30,0)</f>
        <v>#N/A</v>
      </c>
      <c r="Q195" s="115" t="e">
        <f>VLOOKUP($A195,'S45'!$C:$BQ,52,0)</f>
        <v>#N/A</v>
      </c>
      <c r="R195" s="115" t="e">
        <f>VLOOKUP($A195,'S45'!$C:$BQ,59,0)</f>
        <v>#N/A</v>
      </c>
      <c r="S195" s="115" t="e">
        <f>VLOOKUP($A195,'S45'!$C:$BQ,60,0)</f>
        <v>#N/A</v>
      </c>
      <c r="T195" s="107" t="e">
        <f>VLOOKUP($A195,'S46'!$C:$BQ,32,0)</f>
        <v>#N/A</v>
      </c>
      <c r="U195" s="107" t="e">
        <f>VLOOKUP($A195,'S46'!$C:$BQ,39,0)</f>
        <v>#N/A</v>
      </c>
      <c r="V195" s="107" t="e">
        <f>VLOOKUP($A195,'S46'!$C:$BQ,40,0)</f>
        <v>#N/A</v>
      </c>
      <c r="W195" s="107" t="e">
        <f>VLOOKUP($A195,'S46'!$C:$BQ,22,0)</f>
        <v>#N/A</v>
      </c>
      <c r="X195" s="115" t="e">
        <f>VLOOKUP($A195,'S46'!$C:$BQ,29,0)</f>
        <v>#N/A</v>
      </c>
      <c r="Y195" s="115" t="e">
        <f>VLOOKUP($A195,'S46'!$C:$BQ,30,0)</f>
        <v>#N/A</v>
      </c>
      <c r="Z195" s="115" t="e">
        <f>VLOOKUP($A195,'S46'!$C:$BQ,52,0)</f>
        <v>#N/A</v>
      </c>
      <c r="AA195" s="115" t="e">
        <f>VLOOKUP($A195,'S46'!$C:$BQ,59,0)</f>
        <v>#N/A</v>
      </c>
      <c r="AB195" s="115" t="e">
        <f>VLOOKUP($A195,'S46'!$C:$BQ,60,0)</f>
        <v>#N/A</v>
      </c>
      <c r="AC195" s="107" t="e">
        <f>VLOOKUP($A195,'S47'!$C:$BQ,32,0)</f>
        <v>#N/A</v>
      </c>
      <c r="AD195" s="107" t="e">
        <f>VLOOKUP($A195,'S47'!$C:$BQ,39,0)</f>
        <v>#N/A</v>
      </c>
      <c r="AE195" s="107" t="e">
        <f>VLOOKUP($A195,'S47'!$C:$BQ,40,0)</f>
        <v>#N/A</v>
      </c>
      <c r="AF195" s="107" t="e">
        <f>VLOOKUP($A195,'S47'!$C:$BQ,22,0)</f>
        <v>#N/A</v>
      </c>
      <c r="AG195" s="115" t="e">
        <f>VLOOKUP($A195,'S47'!$C:$BQ,29,0)</f>
        <v>#N/A</v>
      </c>
      <c r="AH195" s="115" t="e">
        <f>VLOOKUP($A195,'S47'!$C:$BQ,30,0)</f>
        <v>#N/A</v>
      </c>
      <c r="AI195" s="115" t="e">
        <f>VLOOKUP($A195,'S47'!$C:$BQ,52,0)</f>
        <v>#N/A</v>
      </c>
      <c r="AJ195" s="115" t="e">
        <f>VLOOKUP($A195,'S47'!$C:$BQ,59,0)</f>
        <v>#N/A</v>
      </c>
      <c r="AK195" s="115" t="e">
        <f>VLOOKUP($A195,'S47'!$C:$BQ,60,0)</f>
        <v>#N/A</v>
      </c>
      <c r="AL195" s="107" t="e">
        <f>VLOOKUP($A195,'S48'!$C:$BQ,32,0)</f>
        <v>#N/A</v>
      </c>
      <c r="AM195" s="107" t="e">
        <f>VLOOKUP($A195,'S48'!$C:$BQ,39,0)</f>
        <v>#N/A</v>
      </c>
      <c r="AN195" s="107" t="e">
        <f>VLOOKUP($A195,'S48'!$C:$BQ,40,0)</f>
        <v>#N/A</v>
      </c>
      <c r="AO195" s="107" t="e">
        <f>VLOOKUP($A195,'S48'!$C:$BQ,22,0)</f>
        <v>#N/A</v>
      </c>
      <c r="AP195" s="115" t="e">
        <f>VLOOKUP($A195,'S48'!$C:$BQ,29,0)</f>
        <v>#N/A</v>
      </c>
      <c r="AQ195" s="115" t="e">
        <f>VLOOKUP($A195,'S48'!$C:$BQ,30,0)</f>
        <v>#N/A</v>
      </c>
      <c r="AR195" s="115" t="e">
        <f>VLOOKUP($A195,'S48'!$C:$BQ,52,0)</f>
        <v>#N/A</v>
      </c>
      <c r="AS195" s="115" t="e">
        <f>VLOOKUP($A195,'S48'!$C:$BQ,59,0)</f>
        <v>#N/A</v>
      </c>
      <c r="AT195" s="115" t="e">
        <f>VLOOKUP($A195,'S48'!$C:$BQ,60,0)</f>
        <v>#N/A</v>
      </c>
      <c r="AU195" s="107" t="e">
        <f>VLOOKUP($A195,'S49'!$C:$BQ,32,0)</f>
        <v>#N/A</v>
      </c>
      <c r="AV195" s="107" t="e">
        <f>VLOOKUP($A195,'S49'!$C:$BQ,39,0)</f>
        <v>#N/A</v>
      </c>
      <c r="AW195" s="107" t="e">
        <f>VLOOKUP($A195,'S49'!$C:$BQ,40,0)</f>
        <v>#N/A</v>
      </c>
      <c r="AX195" s="107" t="e">
        <f>VLOOKUP($A195,'S49'!$C:$BQ,22,0)</f>
        <v>#N/A</v>
      </c>
      <c r="AY195" s="115" t="e">
        <f>VLOOKUP($A195,'S49'!$C:$BQ,29,0)</f>
        <v>#N/A</v>
      </c>
      <c r="AZ195" s="115" t="e">
        <f>VLOOKUP($A195,'S49'!$C:$BQ,30,0)</f>
        <v>#N/A</v>
      </c>
      <c r="BA195" s="115" t="e">
        <f>VLOOKUP($A195,'S49'!$C:$BQ,52,0)</f>
        <v>#N/A</v>
      </c>
      <c r="BB195" s="115" t="e">
        <f>VLOOKUP($A195,'S49'!$C:$BQ,59,0)</f>
        <v>#N/A</v>
      </c>
      <c r="BC195" s="115" t="e">
        <f>VLOOKUP($A195,'S49'!$C:$BQ,60,0)</f>
        <v>#N/A</v>
      </c>
      <c r="BD195" s="107" t="e">
        <f>VLOOKUP($A195,'S50'!$C:$BQ,32,0)</f>
        <v>#N/A</v>
      </c>
      <c r="BE195" s="107" t="e">
        <f>VLOOKUP($A195,'S50'!$C:$BQ,39,0)</f>
        <v>#N/A</v>
      </c>
      <c r="BF195" s="107" t="e">
        <f>VLOOKUP($A195,'S50'!$C:$BQ,40,0)</f>
        <v>#N/A</v>
      </c>
      <c r="BG195" s="107" t="e">
        <f>VLOOKUP($A195,'S50'!$C:$BQ,22,0)</f>
        <v>#N/A</v>
      </c>
      <c r="BH195" s="115" t="e">
        <f>VLOOKUP($A195,'S50'!$C:$BQ,29,0)</f>
        <v>#N/A</v>
      </c>
      <c r="BI195" s="115" t="e">
        <f>VLOOKUP($A195,'S50'!$C:$BQ,30,0)</f>
        <v>#N/A</v>
      </c>
      <c r="BJ195" s="115" t="e">
        <f>VLOOKUP($A195,'S50'!$C:$BQ,52,0)</f>
        <v>#N/A</v>
      </c>
      <c r="BK195" s="115" t="e">
        <f>VLOOKUP($A195,'S50'!$C:$BQ,59,0)</f>
        <v>#N/A</v>
      </c>
      <c r="BL195" s="115" t="e">
        <f>VLOOKUP($A195,'S50'!$C:$BQ,60,0)</f>
        <v>#N/A</v>
      </c>
    </row>
    <row r="196" spans="1:64" x14ac:dyDescent="0.2">
      <c r="A196" s="106" t="s">
        <v>264</v>
      </c>
      <c r="B196" s="107">
        <f>VLOOKUP($A196,'S0 remplacer avec S44'!$C:$BQ,32,0)</f>
        <v>104.7</v>
      </c>
      <c r="C196" s="107">
        <f>VLOOKUP($A196,'S0 remplacer avec S44'!$C:$BQ,39,0)</f>
        <v>62</v>
      </c>
      <c r="D196" s="107">
        <f>VLOOKUP($A196,'S0 remplacer avec S44'!$C:$BQ,40,0)</f>
        <v>95</v>
      </c>
      <c r="E196" s="107">
        <f>VLOOKUP($A196,'S0 remplacer avec S44'!$C:$BQ,22,0)</f>
        <v>1220.773635</v>
      </c>
      <c r="F196" s="115">
        <f>VLOOKUP($A196,'S0 remplacer avec S44'!$C:$BQ,29,0)</f>
        <v>293</v>
      </c>
      <c r="G196" s="115">
        <f>VLOOKUP($A196,'S0 remplacer avec S44'!$C:$BQ,30,0)</f>
        <v>595</v>
      </c>
      <c r="H196" s="115">
        <f>VLOOKUP($A196,'S0 remplacer avec S44'!$C:$BQ,52,0)</f>
        <v>75.2</v>
      </c>
      <c r="I196" s="115">
        <f>VLOOKUP($A196,'S0 remplacer avec S44'!$C:$BQ,59,0)</f>
        <v>10</v>
      </c>
      <c r="J196" s="115">
        <f>VLOOKUP($A196,'S0 remplacer avec S44'!$C:$BQ,60,0)</f>
        <v>27</v>
      </c>
      <c r="K196" s="107" t="e">
        <f>VLOOKUP($A196,'S45'!$C:$BQ,32,0)</f>
        <v>#N/A</v>
      </c>
      <c r="L196" s="107" t="e">
        <f>VLOOKUP($A196,'S45'!$C:$BQ,39,0)</f>
        <v>#N/A</v>
      </c>
      <c r="M196" s="107" t="e">
        <f>VLOOKUP($A196,'S45'!$C:$BQ,40,0)</f>
        <v>#N/A</v>
      </c>
      <c r="N196" s="107" t="e">
        <f>VLOOKUP($A196,'S45'!$C:$BQ,22,0)</f>
        <v>#N/A</v>
      </c>
      <c r="O196" s="115" t="e">
        <f>VLOOKUP($A196,'S45'!$C:$BQ,29,0)</f>
        <v>#N/A</v>
      </c>
      <c r="P196" s="115" t="e">
        <f>VLOOKUP($A196,'S45'!$C:$BQ,30,0)</f>
        <v>#N/A</v>
      </c>
      <c r="Q196" s="115" t="e">
        <f>VLOOKUP($A196,'S45'!$C:$BQ,52,0)</f>
        <v>#N/A</v>
      </c>
      <c r="R196" s="115" t="e">
        <f>VLOOKUP($A196,'S45'!$C:$BQ,59,0)</f>
        <v>#N/A</v>
      </c>
      <c r="S196" s="115" t="e">
        <f>VLOOKUP($A196,'S45'!$C:$BQ,60,0)</f>
        <v>#N/A</v>
      </c>
      <c r="T196" s="107" t="e">
        <f>VLOOKUP($A196,'S46'!$C:$BQ,32,0)</f>
        <v>#N/A</v>
      </c>
      <c r="U196" s="107" t="e">
        <f>VLOOKUP($A196,'S46'!$C:$BQ,39,0)</f>
        <v>#N/A</v>
      </c>
      <c r="V196" s="107" t="e">
        <f>VLOOKUP($A196,'S46'!$C:$BQ,40,0)</f>
        <v>#N/A</v>
      </c>
      <c r="W196" s="107" t="e">
        <f>VLOOKUP($A196,'S46'!$C:$BQ,22,0)</f>
        <v>#N/A</v>
      </c>
      <c r="X196" s="115" t="e">
        <f>VLOOKUP($A196,'S46'!$C:$BQ,29,0)</f>
        <v>#N/A</v>
      </c>
      <c r="Y196" s="115" t="e">
        <f>VLOOKUP($A196,'S46'!$C:$BQ,30,0)</f>
        <v>#N/A</v>
      </c>
      <c r="Z196" s="115" t="e">
        <f>VLOOKUP($A196,'S46'!$C:$BQ,52,0)</f>
        <v>#N/A</v>
      </c>
      <c r="AA196" s="115" t="e">
        <f>VLOOKUP($A196,'S46'!$C:$BQ,59,0)</f>
        <v>#N/A</v>
      </c>
      <c r="AB196" s="115" t="e">
        <f>VLOOKUP($A196,'S46'!$C:$BQ,60,0)</f>
        <v>#N/A</v>
      </c>
      <c r="AC196" s="107" t="e">
        <f>VLOOKUP($A196,'S47'!$C:$BQ,32,0)</f>
        <v>#N/A</v>
      </c>
      <c r="AD196" s="107" t="e">
        <f>VLOOKUP($A196,'S47'!$C:$BQ,39,0)</f>
        <v>#N/A</v>
      </c>
      <c r="AE196" s="107" t="e">
        <f>VLOOKUP($A196,'S47'!$C:$BQ,40,0)</f>
        <v>#N/A</v>
      </c>
      <c r="AF196" s="107" t="e">
        <f>VLOOKUP($A196,'S47'!$C:$BQ,22,0)</f>
        <v>#N/A</v>
      </c>
      <c r="AG196" s="115" t="e">
        <f>VLOOKUP($A196,'S47'!$C:$BQ,29,0)</f>
        <v>#N/A</v>
      </c>
      <c r="AH196" s="115" t="e">
        <f>VLOOKUP($A196,'S47'!$C:$BQ,30,0)</f>
        <v>#N/A</v>
      </c>
      <c r="AI196" s="115" t="e">
        <f>VLOOKUP($A196,'S47'!$C:$BQ,52,0)</f>
        <v>#N/A</v>
      </c>
      <c r="AJ196" s="115" t="e">
        <f>VLOOKUP($A196,'S47'!$C:$BQ,59,0)</f>
        <v>#N/A</v>
      </c>
      <c r="AK196" s="115" t="e">
        <f>VLOOKUP($A196,'S47'!$C:$BQ,60,0)</f>
        <v>#N/A</v>
      </c>
      <c r="AL196" s="107" t="e">
        <f>VLOOKUP($A196,'S48'!$C:$BQ,32,0)</f>
        <v>#N/A</v>
      </c>
      <c r="AM196" s="107" t="e">
        <f>VLOOKUP($A196,'S48'!$C:$BQ,39,0)</f>
        <v>#N/A</v>
      </c>
      <c r="AN196" s="107" t="e">
        <f>VLOOKUP($A196,'S48'!$C:$BQ,40,0)</f>
        <v>#N/A</v>
      </c>
      <c r="AO196" s="107" t="e">
        <f>VLOOKUP($A196,'S48'!$C:$BQ,22,0)</f>
        <v>#N/A</v>
      </c>
      <c r="AP196" s="115" t="e">
        <f>VLOOKUP($A196,'S48'!$C:$BQ,29,0)</f>
        <v>#N/A</v>
      </c>
      <c r="AQ196" s="115" t="e">
        <f>VLOOKUP($A196,'S48'!$C:$BQ,30,0)</f>
        <v>#N/A</v>
      </c>
      <c r="AR196" s="115" t="e">
        <f>VLOOKUP($A196,'S48'!$C:$BQ,52,0)</f>
        <v>#N/A</v>
      </c>
      <c r="AS196" s="115" t="e">
        <f>VLOOKUP($A196,'S48'!$C:$BQ,59,0)</f>
        <v>#N/A</v>
      </c>
      <c r="AT196" s="115" t="e">
        <f>VLOOKUP($A196,'S48'!$C:$BQ,60,0)</f>
        <v>#N/A</v>
      </c>
      <c r="AU196" s="107" t="e">
        <f>VLOOKUP($A196,'S49'!$C:$BQ,32,0)</f>
        <v>#N/A</v>
      </c>
      <c r="AV196" s="107" t="e">
        <f>VLOOKUP($A196,'S49'!$C:$BQ,39,0)</f>
        <v>#N/A</v>
      </c>
      <c r="AW196" s="107" t="e">
        <f>VLOOKUP($A196,'S49'!$C:$BQ,40,0)</f>
        <v>#N/A</v>
      </c>
      <c r="AX196" s="107" t="e">
        <f>VLOOKUP($A196,'S49'!$C:$BQ,22,0)</f>
        <v>#N/A</v>
      </c>
      <c r="AY196" s="115" t="e">
        <f>VLOOKUP($A196,'S49'!$C:$BQ,29,0)</f>
        <v>#N/A</v>
      </c>
      <c r="AZ196" s="115" t="e">
        <f>VLOOKUP($A196,'S49'!$C:$BQ,30,0)</f>
        <v>#N/A</v>
      </c>
      <c r="BA196" s="115" t="e">
        <f>VLOOKUP($A196,'S49'!$C:$BQ,52,0)</f>
        <v>#N/A</v>
      </c>
      <c r="BB196" s="115" t="e">
        <f>VLOOKUP($A196,'S49'!$C:$BQ,59,0)</f>
        <v>#N/A</v>
      </c>
      <c r="BC196" s="115" t="e">
        <f>VLOOKUP($A196,'S49'!$C:$BQ,60,0)</f>
        <v>#N/A</v>
      </c>
      <c r="BD196" s="107" t="e">
        <f>VLOOKUP($A196,'S50'!$C:$BQ,32,0)</f>
        <v>#N/A</v>
      </c>
      <c r="BE196" s="107" t="e">
        <f>VLOOKUP($A196,'S50'!$C:$BQ,39,0)</f>
        <v>#N/A</v>
      </c>
      <c r="BF196" s="107" t="e">
        <f>VLOOKUP($A196,'S50'!$C:$BQ,40,0)</f>
        <v>#N/A</v>
      </c>
      <c r="BG196" s="107" t="e">
        <f>VLOOKUP($A196,'S50'!$C:$BQ,22,0)</f>
        <v>#N/A</v>
      </c>
      <c r="BH196" s="115" t="e">
        <f>VLOOKUP($A196,'S50'!$C:$BQ,29,0)</f>
        <v>#N/A</v>
      </c>
      <c r="BI196" s="115" t="e">
        <f>VLOOKUP($A196,'S50'!$C:$BQ,30,0)</f>
        <v>#N/A</v>
      </c>
      <c r="BJ196" s="115" t="e">
        <f>VLOOKUP($A196,'S50'!$C:$BQ,52,0)</f>
        <v>#N/A</v>
      </c>
      <c r="BK196" s="115" t="e">
        <f>VLOOKUP($A196,'S50'!$C:$BQ,59,0)</f>
        <v>#N/A</v>
      </c>
      <c r="BL196" s="115" t="e">
        <f>VLOOKUP($A196,'S50'!$C:$BQ,60,0)</f>
        <v>#N/A</v>
      </c>
    </row>
    <row r="197" spans="1:64" x14ac:dyDescent="0.2">
      <c r="A197" s="106" t="s">
        <v>265</v>
      </c>
      <c r="B197" s="107">
        <f>VLOOKUP($A197,'S0 remplacer avec S44'!$C:$BQ,32,0)</f>
        <v>155.9</v>
      </c>
      <c r="C197" s="107">
        <f>VLOOKUP($A197,'S0 remplacer avec S44'!$C:$BQ,39,0)</f>
        <v>14</v>
      </c>
      <c r="D197" s="107">
        <f>VLOOKUP($A197,'S0 remplacer avec S44'!$C:$BQ,40,0)</f>
        <v>48</v>
      </c>
      <c r="E197" s="107">
        <f>VLOOKUP($A197,'S0 remplacer avec S44'!$C:$BQ,22,0)</f>
        <v>1708.4290699999999</v>
      </c>
      <c r="F197" s="115">
        <f>VLOOKUP($A197,'S0 remplacer avec S44'!$C:$BQ,29,0)</f>
        <v>0</v>
      </c>
      <c r="G197" s="115">
        <f>VLOOKUP($A197,'S0 remplacer avec S44'!$C:$BQ,30,0)</f>
        <v>143</v>
      </c>
      <c r="H197" s="115">
        <f>VLOOKUP($A197,'S0 remplacer avec S44'!$C:$BQ,52,0)</f>
        <v>98.4</v>
      </c>
      <c r="I197" s="115">
        <f>VLOOKUP($A197,'S0 remplacer avec S44'!$C:$BQ,59,0)</f>
        <v>0</v>
      </c>
      <c r="J197" s="115">
        <f>VLOOKUP($A197,'S0 remplacer avec S44'!$C:$BQ,60,0)</f>
        <v>5</v>
      </c>
      <c r="K197" s="107" t="e">
        <f>VLOOKUP($A197,'S45'!$C:$BQ,32,0)</f>
        <v>#N/A</v>
      </c>
      <c r="L197" s="107" t="e">
        <f>VLOOKUP($A197,'S45'!$C:$BQ,39,0)</f>
        <v>#N/A</v>
      </c>
      <c r="M197" s="107" t="e">
        <f>VLOOKUP($A197,'S45'!$C:$BQ,40,0)</f>
        <v>#N/A</v>
      </c>
      <c r="N197" s="107" t="e">
        <f>VLOOKUP($A197,'S45'!$C:$BQ,22,0)</f>
        <v>#N/A</v>
      </c>
      <c r="O197" s="115" t="e">
        <f>VLOOKUP($A197,'S45'!$C:$BQ,29,0)</f>
        <v>#N/A</v>
      </c>
      <c r="P197" s="115" t="e">
        <f>VLOOKUP($A197,'S45'!$C:$BQ,30,0)</f>
        <v>#N/A</v>
      </c>
      <c r="Q197" s="115" t="e">
        <f>VLOOKUP($A197,'S45'!$C:$BQ,52,0)</f>
        <v>#N/A</v>
      </c>
      <c r="R197" s="115" t="e">
        <f>VLOOKUP($A197,'S45'!$C:$BQ,59,0)</f>
        <v>#N/A</v>
      </c>
      <c r="S197" s="115" t="e">
        <f>VLOOKUP($A197,'S45'!$C:$BQ,60,0)</f>
        <v>#N/A</v>
      </c>
      <c r="T197" s="107" t="e">
        <f>VLOOKUP($A197,'S46'!$C:$BQ,32,0)</f>
        <v>#N/A</v>
      </c>
      <c r="U197" s="107" t="e">
        <f>VLOOKUP($A197,'S46'!$C:$BQ,39,0)</f>
        <v>#N/A</v>
      </c>
      <c r="V197" s="107" t="e">
        <f>VLOOKUP($A197,'S46'!$C:$BQ,40,0)</f>
        <v>#N/A</v>
      </c>
      <c r="W197" s="107" t="e">
        <f>VLOOKUP($A197,'S46'!$C:$BQ,22,0)</f>
        <v>#N/A</v>
      </c>
      <c r="X197" s="115" t="e">
        <f>VLOOKUP($A197,'S46'!$C:$BQ,29,0)</f>
        <v>#N/A</v>
      </c>
      <c r="Y197" s="115" t="e">
        <f>VLOOKUP($A197,'S46'!$C:$BQ,30,0)</f>
        <v>#N/A</v>
      </c>
      <c r="Z197" s="115" t="e">
        <f>VLOOKUP($A197,'S46'!$C:$BQ,52,0)</f>
        <v>#N/A</v>
      </c>
      <c r="AA197" s="115" t="e">
        <f>VLOOKUP($A197,'S46'!$C:$BQ,59,0)</f>
        <v>#N/A</v>
      </c>
      <c r="AB197" s="115" t="e">
        <f>VLOOKUP($A197,'S46'!$C:$BQ,60,0)</f>
        <v>#N/A</v>
      </c>
      <c r="AC197" s="107" t="e">
        <f>VLOOKUP($A197,'S47'!$C:$BQ,32,0)</f>
        <v>#N/A</v>
      </c>
      <c r="AD197" s="107" t="e">
        <f>VLOOKUP($A197,'S47'!$C:$BQ,39,0)</f>
        <v>#N/A</v>
      </c>
      <c r="AE197" s="107" t="e">
        <f>VLOOKUP($A197,'S47'!$C:$BQ,40,0)</f>
        <v>#N/A</v>
      </c>
      <c r="AF197" s="107" t="e">
        <f>VLOOKUP($A197,'S47'!$C:$BQ,22,0)</f>
        <v>#N/A</v>
      </c>
      <c r="AG197" s="115" t="e">
        <f>VLOOKUP($A197,'S47'!$C:$BQ,29,0)</f>
        <v>#N/A</v>
      </c>
      <c r="AH197" s="115" t="e">
        <f>VLOOKUP($A197,'S47'!$C:$BQ,30,0)</f>
        <v>#N/A</v>
      </c>
      <c r="AI197" s="115" t="e">
        <f>VLOOKUP($A197,'S47'!$C:$BQ,52,0)</f>
        <v>#N/A</v>
      </c>
      <c r="AJ197" s="115" t="e">
        <f>VLOOKUP($A197,'S47'!$C:$BQ,59,0)</f>
        <v>#N/A</v>
      </c>
      <c r="AK197" s="115" t="e">
        <f>VLOOKUP($A197,'S47'!$C:$BQ,60,0)</f>
        <v>#N/A</v>
      </c>
      <c r="AL197" s="107" t="e">
        <f>VLOOKUP($A197,'S48'!$C:$BQ,32,0)</f>
        <v>#N/A</v>
      </c>
      <c r="AM197" s="107" t="e">
        <f>VLOOKUP($A197,'S48'!$C:$BQ,39,0)</f>
        <v>#N/A</v>
      </c>
      <c r="AN197" s="107" t="e">
        <f>VLOOKUP($A197,'S48'!$C:$BQ,40,0)</f>
        <v>#N/A</v>
      </c>
      <c r="AO197" s="107" t="e">
        <f>VLOOKUP($A197,'S48'!$C:$BQ,22,0)</f>
        <v>#N/A</v>
      </c>
      <c r="AP197" s="115" t="e">
        <f>VLOOKUP($A197,'S48'!$C:$BQ,29,0)</f>
        <v>#N/A</v>
      </c>
      <c r="AQ197" s="115" t="e">
        <f>VLOOKUP($A197,'S48'!$C:$BQ,30,0)</f>
        <v>#N/A</v>
      </c>
      <c r="AR197" s="115" t="e">
        <f>VLOOKUP($A197,'S48'!$C:$BQ,52,0)</f>
        <v>#N/A</v>
      </c>
      <c r="AS197" s="115" t="e">
        <f>VLOOKUP($A197,'S48'!$C:$BQ,59,0)</f>
        <v>#N/A</v>
      </c>
      <c r="AT197" s="115" t="e">
        <f>VLOOKUP($A197,'S48'!$C:$BQ,60,0)</f>
        <v>#N/A</v>
      </c>
      <c r="AU197" s="107" t="e">
        <f>VLOOKUP($A197,'S49'!$C:$BQ,32,0)</f>
        <v>#N/A</v>
      </c>
      <c r="AV197" s="107" t="e">
        <f>VLOOKUP($A197,'S49'!$C:$BQ,39,0)</f>
        <v>#N/A</v>
      </c>
      <c r="AW197" s="107" t="e">
        <f>VLOOKUP($A197,'S49'!$C:$BQ,40,0)</f>
        <v>#N/A</v>
      </c>
      <c r="AX197" s="107" t="e">
        <f>VLOOKUP($A197,'S49'!$C:$BQ,22,0)</f>
        <v>#N/A</v>
      </c>
      <c r="AY197" s="115" t="e">
        <f>VLOOKUP($A197,'S49'!$C:$BQ,29,0)</f>
        <v>#N/A</v>
      </c>
      <c r="AZ197" s="115" t="e">
        <f>VLOOKUP($A197,'S49'!$C:$BQ,30,0)</f>
        <v>#N/A</v>
      </c>
      <c r="BA197" s="115" t="e">
        <f>VLOOKUP($A197,'S49'!$C:$BQ,52,0)</f>
        <v>#N/A</v>
      </c>
      <c r="BB197" s="115" t="e">
        <f>VLOOKUP($A197,'S49'!$C:$BQ,59,0)</f>
        <v>#N/A</v>
      </c>
      <c r="BC197" s="115" t="e">
        <f>VLOOKUP($A197,'S49'!$C:$BQ,60,0)</f>
        <v>#N/A</v>
      </c>
      <c r="BD197" s="107" t="e">
        <f>VLOOKUP($A197,'S50'!$C:$BQ,32,0)</f>
        <v>#N/A</v>
      </c>
      <c r="BE197" s="107" t="e">
        <f>VLOOKUP($A197,'S50'!$C:$BQ,39,0)</f>
        <v>#N/A</v>
      </c>
      <c r="BF197" s="107" t="e">
        <f>VLOOKUP($A197,'S50'!$C:$BQ,40,0)</f>
        <v>#N/A</v>
      </c>
      <c r="BG197" s="107" t="e">
        <f>VLOOKUP($A197,'S50'!$C:$BQ,22,0)</f>
        <v>#N/A</v>
      </c>
      <c r="BH197" s="115" t="e">
        <f>VLOOKUP($A197,'S50'!$C:$BQ,29,0)</f>
        <v>#N/A</v>
      </c>
      <c r="BI197" s="115" t="e">
        <f>VLOOKUP($A197,'S50'!$C:$BQ,30,0)</f>
        <v>#N/A</v>
      </c>
      <c r="BJ197" s="115" t="e">
        <f>VLOOKUP($A197,'S50'!$C:$BQ,52,0)</f>
        <v>#N/A</v>
      </c>
      <c r="BK197" s="115" t="e">
        <f>VLOOKUP($A197,'S50'!$C:$BQ,59,0)</f>
        <v>#N/A</v>
      </c>
      <c r="BL197" s="115" t="e">
        <f>VLOOKUP($A197,'S50'!$C:$BQ,60,0)</f>
        <v>#N/A</v>
      </c>
    </row>
    <row r="198" spans="1:64" x14ac:dyDescent="0.2">
      <c r="A198" s="106" t="s">
        <v>266</v>
      </c>
      <c r="B198" s="107">
        <f>VLOOKUP($A198,'S0 remplacer avec S44'!$C:$BQ,32,0)</f>
        <v>221.5</v>
      </c>
      <c r="C198" s="107">
        <f>VLOOKUP($A198,'S0 remplacer avec S44'!$C:$BQ,39,0)</f>
        <v>23</v>
      </c>
      <c r="D198" s="107">
        <f>VLOOKUP($A198,'S0 remplacer avec S44'!$C:$BQ,40,0)</f>
        <v>72</v>
      </c>
      <c r="E198" s="107">
        <f>VLOOKUP($A198,'S0 remplacer avec S44'!$C:$BQ,22,0)</f>
        <v>2057.5146</v>
      </c>
      <c r="F198" s="115">
        <f>VLOOKUP($A198,'S0 remplacer avec S44'!$C:$BQ,29,0)</f>
        <v>163</v>
      </c>
      <c r="G198" s="115">
        <f>VLOOKUP($A198,'S0 remplacer avec S44'!$C:$BQ,30,0)</f>
        <v>607</v>
      </c>
      <c r="H198" s="115">
        <f>VLOOKUP($A198,'S0 remplacer avec S44'!$C:$BQ,52,0)</f>
        <v>146.19999999999999</v>
      </c>
      <c r="I198" s="115">
        <f>VLOOKUP($A198,'S0 remplacer avec S44'!$C:$BQ,59,0)</f>
        <v>0</v>
      </c>
      <c r="J198" s="115">
        <f>VLOOKUP($A198,'S0 remplacer avec S44'!$C:$BQ,60,0)</f>
        <v>3</v>
      </c>
      <c r="K198" s="107" t="e">
        <f>VLOOKUP($A198,'S45'!$C:$BQ,32,0)</f>
        <v>#N/A</v>
      </c>
      <c r="L198" s="107" t="e">
        <f>VLOOKUP($A198,'S45'!$C:$BQ,39,0)</f>
        <v>#N/A</v>
      </c>
      <c r="M198" s="107" t="e">
        <f>VLOOKUP($A198,'S45'!$C:$BQ,40,0)</f>
        <v>#N/A</v>
      </c>
      <c r="N198" s="107" t="e">
        <f>VLOOKUP($A198,'S45'!$C:$BQ,22,0)</f>
        <v>#N/A</v>
      </c>
      <c r="O198" s="115" t="e">
        <f>VLOOKUP($A198,'S45'!$C:$BQ,29,0)</f>
        <v>#N/A</v>
      </c>
      <c r="P198" s="115" t="e">
        <f>VLOOKUP($A198,'S45'!$C:$BQ,30,0)</f>
        <v>#N/A</v>
      </c>
      <c r="Q198" s="115" t="e">
        <f>VLOOKUP($A198,'S45'!$C:$BQ,52,0)</f>
        <v>#N/A</v>
      </c>
      <c r="R198" s="115" t="e">
        <f>VLOOKUP($A198,'S45'!$C:$BQ,59,0)</f>
        <v>#N/A</v>
      </c>
      <c r="S198" s="115" t="e">
        <f>VLOOKUP($A198,'S45'!$C:$BQ,60,0)</f>
        <v>#N/A</v>
      </c>
      <c r="T198" s="107" t="e">
        <f>VLOOKUP($A198,'S46'!$C:$BQ,32,0)</f>
        <v>#N/A</v>
      </c>
      <c r="U198" s="107" t="e">
        <f>VLOOKUP($A198,'S46'!$C:$BQ,39,0)</f>
        <v>#N/A</v>
      </c>
      <c r="V198" s="107" t="e">
        <f>VLOOKUP($A198,'S46'!$C:$BQ,40,0)</f>
        <v>#N/A</v>
      </c>
      <c r="W198" s="107" t="e">
        <f>VLOOKUP($A198,'S46'!$C:$BQ,22,0)</f>
        <v>#N/A</v>
      </c>
      <c r="X198" s="115" t="e">
        <f>VLOOKUP($A198,'S46'!$C:$BQ,29,0)</f>
        <v>#N/A</v>
      </c>
      <c r="Y198" s="115" t="e">
        <f>VLOOKUP($A198,'S46'!$C:$BQ,30,0)</f>
        <v>#N/A</v>
      </c>
      <c r="Z198" s="115" t="e">
        <f>VLOOKUP($A198,'S46'!$C:$BQ,52,0)</f>
        <v>#N/A</v>
      </c>
      <c r="AA198" s="115" t="e">
        <f>VLOOKUP($A198,'S46'!$C:$BQ,59,0)</f>
        <v>#N/A</v>
      </c>
      <c r="AB198" s="115" t="e">
        <f>VLOOKUP($A198,'S46'!$C:$BQ,60,0)</f>
        <v>#N/A</v>
      </c>
      <c r="AC198" s="107" t="e">
        <f>VLOOKUP($A198,'S47'!$C:$BQ,32,0)</f>
        <v>#N/A</v>
      </c>
      <c r="AD198" s="107" t="e">
        <f>VLOOKUP($A198,'S47'!$C:$BQ,39,0)</f>
        <v>#N/A</v>
      </c>
      <c r="AE198" s="107" t="e">
        <f>VLOOKUP($A198,'S47'!$C:$BQ,40,0)</f>
        <v>#N/A</v>
      </c>
      <c r="AF198" s="107" t="e">
        <f>VLOOKUP($A198,'S47'!$C:$BQ,22,0)</f>
        <v>#N/A</v>
      </c>
      <c r="AG198" s="115" t="e">
        <f>VLOOKUP($A198,'S47'!$C:$BQ,29,0)</f>
        <v>#N/A</v>
      </c>
      <c r="AH198" s="115" t="e">
        <f>VLOOKUP($A198,'S47'!$C:$BQ,30,0)</f>
        <v>#N/A</v>
      </c>
      <c r="AI198" s="115" t="e">
        <f>VLOOKUP($A198,'S47'!$C:$BQ,52,0)</f>
        <v>#N/A</v>
      </c>
      <c r="AJ198" s="115" t="e">
        <f>VLOOKUP($A198,'S47'!$C:$BQ,59,0)</f>
        <v>#N/A</v>
      </c>
      <c r="AK198" s="115" t="e">
        <f>VLOOKUP($A198,'S47'!$C:$BQ,60,0)</f>
        <v>#N/A</v>
      </c>
      <c r="AL198" s="107" t="e">
        <f>VLOOKUP($A198,'S48'!$C:$BQ,32,0)</f>
        <v>#N/A</v>
      </c>
      <c r="AM198" s="107" t="e">
        <f>VLOOKUP($A198,'S48'!$C:$BQ,39,0)</f>
        <v>#N/A</v>
      </c>
      <c r="AN198" s="107" t="e">
        <f>VLOOKUP($A198,'S48'!$C:$BQ,40,0)</f>
        <v>#N/A</v>
      </c>
      <c r="AO198" s="107" t="e">
        <f>VLOOKUP($A198,'S48'!$C:$BQ,22,0)</f>
        <v>#N/A</v>
      </c>
      <c r="AP198" s="115" t="e">
        <f>VLOOKUP($A198,'S48'!$C:$BQ,29,0)</f>
        <v>#N/A</v>
      </c>
      <c r="AQ198" s="115" t="e">
        <f>VLOOKUP($A198,'S48'!$C:$BQ,30,0)</f>
        <v>#N/A</v>
      </c>
      <c r="AR198" s="115" t="e">
        <f>VLOOKUP($A198,'S48'!$C:$BQ,52,0)</f>
        <v>#N/A</v>
      </c>
      <c r="AS198" s="115" t="e">
        <f>VLOOKUP($A198,'S48'!$C:$BQ,59,0)</f>
        <v>#N/A</v>
      </c>
      <c r="AT198" s="115" t="e">
        <f>VLOOKUP($A198,'S48'!$C:$BQ,60,0)</f>
        <v>#N/A</v>
      </c>
      <c r="AU198" s="107" t="e">
        <f>VLOOKUP($A198,'S49'!$C:$BQ,32,0)</f>
        <v>#N/A</v>
      </c>
      <c r="AV198" s="107" t="e">
        <f>VLOOKUP($A198,'S49'!$C:$BQ,39,0)</f>
        <v>#N/A</v>
      </c>
      <c r="AW198" s="107" t="e">
        <f>VLOOKUP($A198,'S49'!$C:$BQ,40,0)</f>
        <v>#N/A</v>
      </c>
      <c r="AX198" s="107" t="e">
        <f>VLOOKUP($A198,'S49'!$C:$BQ,22,0)</f>
        <v>#N/A</v>
      </c>
      <c r="AY198" s="115" t="e">
        <f>VLOOKUP($A198,'S49'!$C:$BQ,29,0)</f>
        <v>#N/A</v>
      </c>
      <c r="AZ198" s="115" t="e">
        <f>VLOOKUP($A198,'S49'!$C:$BQ,30,0)</f>
        <v>#N/A</v>
      </c>
      <c r="BA198" s="115" t="e">
        <f>VLOOKUP($A198,'S49'!$C:$BQ,52,0)</f>
        <v>#N/A</v>
      </c>
      <c r="BB198" s="115" t="e">
        <f>VLOOKUP($A198,'S49'!$C:$BQ,59,0)</f>
        <v>#N/A</v>
      </c>
      <c r="BC198" s="115" t="e">
        <f>VLOOKUP($A198,'S49'!$C:$BQ,60,0)</f>
        <v>#N/A</v>
      </c>
      <c r="BD198" s="107" t="e">
        <f>VLOOKUP($A198,'S50'!$C:$BQ,32,0)</f>
        <v>#N/A</v>
      </c>
      <c r="BE198" s="107" t="e">
        <f>VLOOKUP($A198,'S50'!$C:$BQ,39,0)</f>
        <v>#N/A</v>
      </c>
      <c r="BF198" s="107" t="e">
        <f>VLOOKUP($A198,'S50'!$C:$BQ,40,0)</f>
        <v>#N/A</v>
      </c>
      <c r="BG198" s="107" t="e">
        <f>VLOOKUP($A198,'S50'!$C:$BQ,22,0)</f>
        <v>#N/A</v>
      </c>
      <c r="BH198" s="115" t="e">
        <f>VLOOKUP($A198,'S50'!$C:$BQ,29,0)</f>
        <v>#N/A</v>
      </c>
      <c r="BI198" s="115" t="e">
        <f>VLOOKUP($A198,'S50'!$C:$BQ,30,0)</f>
        <v>#N/A</v>
      </c>
      <c r="BJ198" s="115" t="e">
        <f>VLOOKUP($A198,'S50'!$C:$BQ,52,0)</f>
        <v>#N/A</v>
      </c>
      <c r="BK198" s="115" t="e">
        <f>VLOOKUP($A198,'S50'!$C:$BQ,59,0)</f>
        <v>#N/A</v>
      </c>
      <c r="BL198" s="115" t="e">
        <f>VLOOKUP($A198,'S50'!$C:$BQ,60,0)</f>
        <v>#N/A</v>
      </c>
    </row>
    <row r="199" spans="1:64" x14ac:dyDescent="0.2">
      <c r="A199" s="106" t="s">
        <v>267</v>
      </c>
      <c r="B199" s="107">
        <f>VLOOKUP($A199,'S0 remplacer avec S44'!$C:$BQ,32,0)</f>
        <v>191.65</v>
      </c>
      <c r="C199" s="107">
        <f>VLOOKUP($A199,'S0 remplacer avec S44'!$C:$BQ,39,0)</f>
        <v>13</v>
      </c>
      <c r="D199" s="107">
        <f>VLOOKUP($A199,'S0 remplacer avec S44'!$C:$BQ,40,0)</f>
        <v>54</v>
      </c>
      <c r="E199" s="107">
        <f>VLOOKUP($A199,'S0 remplacer avec S44'!$C:$BQ,22,0)</f>
        <v>1933.5015450000001</v>
      </c>
      <c r="F199" s="115">
        <f>VLOOKUP($A199,'S0 remplacer avec S44'!$C:$BQ,29,0)</f>
        <v>0</v>
      </c>
      <c r="G199" s="115">
        <f>VLOOKUP($A199,'S0 remplacer avec S44'!$C:$BQ,30,0)</f>
        <v>294</v>
      </c>
      <c r="H199" s="115">
        <f>VLOOKUP($A199,'S0 remplacer avec S44'!$C:$BQ,52,0)</f>
        <v>122.8</v>
      </c>
      <c r="I199" s="115">
        <f>VLOOKUP($A199,'S0 remplacer avec S44'!$C:$BQ,59,0)</f>
        <v>0</v>
      </c>
      <c r="J199" s="115">
        <f>VLOOKUP($A199,'S0 remplacer avec S44'!$C:$BQ,60,0)</f>
        <v>2</v>
      </c>
      <c r="K199" s="107" t="e">
        <f>VLOOKUP($A199,'S45'!$C:$BQ,32,0)</f>
        <v>#N/A</v>
      </c>
      <c r="L199" s="107" t="e">
        <f>VLOOKUP($A199,'S45'!$C:$BQ,39,0)</f>
        <v>#N/A</v>
      </c>
      <c r="M199" s="107" t="e">
        <f>VLOOKUP($A199,'S45'!$C:$BQ,40,0)</f>
        <v>#N/A</v>
      </c>
      <c r="N199" s="107" t="e">
        <f>VLOOKUP($A199,'S45'!$C:$BQ,22,0)</f>
        <v>#N/A</v>
      </c>
      <c r="O199" s="115" t="e">
        <f>VLOOKUP($A199,'S45'!$C:$BQ,29,0)</f>
        <v>#N/A</v>
      </c>
      <c r="P199" s="115" t="e">
        <f>VLOOKUP($A199,'S45'!$C:$BQ,30,0)</f>
        <v>#N/A</v>
      </c>
      <c r="Q199" s="115" t="e">
        <f>VLOOKUP($A199,'S45'!$C:$BQ,52,0)</f>
        <v>#N/A</v>
      </c>
      <c r="R199" s="115" t="e">
        <f>VLOOKUP($A199,'S45'!$C:$BQ,59,0)</f>
        <v>#N/A</v>
      </c>
      <c r="S199" s="115" t="e">
        <f>VLOOKUP($A199,'S45'!$C:$BQ,60,0)</f>
        <v>#N/A</v>
      </c>
      <c r="T199" s="107" t="e">
        <f>VLOOKUP($A199,'S46'!$C:$BQ,32,0)</f>
        <v>#N/A</v>
      </c>
      <c r="U199" s="107" t="e">
        <f>VLOOKUP($A199,'S46'!$C:$BQ,39,0)</f>
        <v>#N/A</v>
      </c>
      <c r="V199" s="107" t="e">
        <f>VLOOKUP($A199,'S46'!$C:$BQ,40,0)</f>
        <v>#N/A</v>
      </c>
      <c r="W199" s="107" t="e">
        <f>VLOOKUP($A199,'S46'!$C:$BQ,22,0)</f>
        <v>#N/A</v>
      </c>
      <c r="X199" s="115" t="e">
        <f>VLOOKUP($A199,'S46'!$C:$BQ,29,0)</f>
        <v>#N/A</v>
      </c>
      <c r="Y199" s="115" t="e">
        <f>VLOOKUP($A199,'S46'!$C:$BQ,30,0)</f>
        <v>#N/A</v>
      </c>
      <c r="Z199" s="115" t="e">
        <f>VLOOKUP($A199,'S46'!$C:$BQ,52,0)</f>
        <v>#N/A</v>
      </c>
      <c r="AA199" s="115" t="e">
        <f>VLOOKUP($A199,'S46'!$C:$BQ,59,0)</f>
        <v>#N/A</v>
      </c>
      <c r="AB199" s="115" t="e">
        <f>VLOOKUP($A199,'S46'!$C:$BQ,60,0)</f>
        <v>#N/A</v>
      </c>
      <c r="AC199" s="107" t="e">
        <f>VLOOKUP($A199,'S47'!$C:$BQ,32,0)</f>
        <v>#N/A</v>
      </c>
      <c r="AD199" s="107" t="e">
        <f>VLOOKUP($A199,'S47'!$C:$BQ,39,0)</f>
        <v>#N/A</v>
      </c>
      <c r="AE199" s="107" t="e">
        <f>VLOOKUP($A199,'S47'!$C:$BQ,40,0)</f>
        <v>#N/A</v>
      </c>
      <c r="AF199" s="107" t="e">
        <f>VLOOKUP($A199,'S47'!$C:$BQ,22,0)</f>
        <v>#N/A</v>
      </c>
      <c r="AG199" s="115" t="e">
        <f>VLOOKUP($A199,'S47'!$C:$BQ,29,0)</f>
        <v>#N/A</v>
      </c>
      <c r="AH199" s="115" t="e">
        <f>VLOOKUP($A199,'S47'!$C:$BQ,30,0)</f>
        <v>#N/A</v>
      </c>
      <c r="AI199" s="115" t="e">
        <f>VLOOKUP($A199,'S47'!$C:$BQ,52,0)</f>
        <v>#N/A</v>
      </c>
      <c r="AJ199" s="115" t="e">
        <f>VLOOKUP($A199,'S47'!$C:$BQ,59,0)</f>
        <v>#N/A</v>
      </c>
      <c r="AK199" s="115" t="e">
        <f>VLOOKUP($A199,'S47'!$C:$BQ,60,0)</f>
        <v>#N/A</v>
      </c>
      <c r="AL199" s="107" t="e">
        <f>VLOOKUP($A199,'S48'!$C:$BQ,32,0)</f>
        <v>#N/A</v>
      </c>
      <c r="AM199" s="107" t="e">
        <f>VLOOKUP($A199,'S48'!$C:$BQ,39,0)</f>
        <v>#N/A</v>
      </c>
      <c r="AN199" s="107" t="e">
        <f>VLOOKUP($A199,'S48'!$C:$BQ,40,0)</f>
        <v>#N/A</v>
      </c>
      <c r="AO199" s="107" t="e">
        <f>VLOOKUP($A199,'S48'!$C:$BQ,22,0)</f>
        <v>#N/A</v>
      </c>
      <c r="AP199" s="115" t="e">
        <f>VLOOKUP($A199,'S48'!$C:$BQ,29,0)</f>
        <v>#N/A</v>
      </c>
      <c r="AQ199" s="115" t="e">
        <f>VLOOKUP($A199,'S48'!$C:$BQ,30,0)</f>
        <v>#N/A</v>
      </c>
      <c r="AR199" s="115" t="e">
        <f>VLOOKUP($A199,'S48'!$C:$BQ,52,0)</f>
        <v>#N/A</v>
      </c>
      <c r="AS199" s="115" t="e">
        <f>VLOOKUP($A199,'S48'!$C:$BQ,59,0)</f>
        <v>#N/A</v>
      </c>
      <c r="AT199" s="115" t="e">
        <f>VLOOKUP($A199,'S48'!$C:$BQ,60,0)</f>
        <v>#N/A</v>
      </c>
      <c r="AU199" s="107" t="e">
        <f>VLOOKUP($A199,'S49'!$C:$BQ,32,0)</f>
        <v>#N/A</v>
      </c>
      <c r="AV199" s="107" t="e">
        <f>VLOOKUP($A199,'S49'!$C:$BQ,39,0)</f>
        <v>#N/A</v>
      </c>
      <c r="AW199" s="107" t="e">
        <f>VLOOKUP($A199,'S49'!$C:$BQ,40,0)</f>
        <v>#N/A</v>
      </c>
      <c r="AX199" s="107" t="e">
        <f>VLOOKUP($A199,'S49'!$C:$BQ,22,0)</f>
        <v>#N/A</v>
      </c>
      <c r="AY199" s="115" t="e">
        <f>VLOOKUP($A199,'S49'!$C:$BQ,29,0)</f>
        <v>#N/A</v>
      </c>
      <c r="AZ199" s="115" t="e">
        <f>VLOOKUP($A199,'S49'!$C:$BQ,30,0)</f>
        <v>#N/A</v>
      </c>
      <c r="BA199" s="115" t="e">
        <f>VLOOKUP($A199,'S49'!$C:$BQ,52,0)</f>
        <v>#N/A</v>
      </c>
      <c r="BB199" s="115" t="e">
        <f>VLOOKUP($A199,'S49'!$C:$BQ,59,0)</f>
        <v>#N/A</v>
      </c>
      <c r="BC199" s="115" t="e">
        <f>VLOOKUP($A199,'S49'!$C:$BQ,60,0)</f>
        <v>#N/A</v>
      </c>
      <c r="BD199" s="107" t="e">
        <f>VLOOKUP($A199,'S50'!$C:$BQ,32,0)</f>
        <v>#N/A</v>
      </c>
      <c r="BE199" s="107" t="e">
        <f>VLOOKUP($A199,'S50'!$C:$BQ,39,0)</f>
        <v>#N/A</v>
      </c>
      <c r="BF199" s="107" t="e">
        <f>VLOOKUP($A199,'S50'!$C:$BQ,40,0)</f>
        <v>#N/A</v>
      </c>
      <c r="BG199" s="107" t="e">
        <f>VLOOKUP($A199,'S50'!$C:$BQ,22,0)</f>
        <v>#N/A</v>
      </c>
      <c r="BH199" s="115" t="e">
        <f>VLOOKUP($A199,'S50'!$C:$BQ,29,0)</f>
        <v>#N/A</v>
      </c>
      <c r="BI199" s="115" t="e">
        <f>VLOOKUP($A199,'S50'!$C:$BQ,30,0)</f>
        <v>#N/A</v>
      </c>
      <c r="BJ199" s="115" t="e">
        <f>VLOOKUP($A199,'S50'!$C:$BQ,52,0)</f>
        <v>#N/A</v>
      </c>
      <c r="BK199" s="115" t="e">
        <f>VLOOKUP($A199,'S50'!$C:$BQ,59,0)</f>
        <v>#N/A</v>
      </c>
      <c r="BL199" s="115" t="e">
        <f>VLOOKUP($A199,'S50'!$C:$BQ,60,0)</f>
        <v>#N/A</v>
      </c>
    </row>
    <row r="200" spans="1:64" x14ac:dyDescent="0.2">
      <c r="A200" s="106" t="s">
        <v>268</v>
      </c>
      <c r="B200" s="107">
        <f>VLOOKUP($A200,'S0 remplacer avec S44'!$C:$BQ,32,0)</f>
        <v>95.7</v>
      </c>
      <c r="C200" s="107">
        <f>VLOOKUP($A200,'S0 remplacer avec S44'!$C:$BQ,39,0)</f>
        <v>6</v>
      </c>
      <c r="D200" s="107">
        <f>VLOOKUP($A200,'S0 remplacer avec S44'!$C:$BQ,40,0)</f>
        <v>26</v>
      </c>
      <c r="E200" s="107">
        <f>VLOOKUP($A200,'S0 remplacer avec S44'!$C:$BQ,22,0)</f>
        <v>1481.2113300000001</v>
      </c>
      <c r="F200" s="115">
        <f>VLOOKUP($A200,'S0 remplacer avec S44'!$C:$BQ,29,0)</f>
        <v>0</v>
      </c>
      <c r="G200" s="115">
        <f>VLOOKUP($A200,'S0 remplacer avec S44'!$C:$BQ,30,0)</f>
        <v>0</v>
      </c>
      <c r="H200" s="115">
        <f>VLOOKUP($A200,'S0 remplacer avec S44'!$C:$BQ,52,0)</f>
        <v>62.6</v>
      </c>
      <c r="I200" s="115">
        <f>VLOOKUP($A200,'S0 remplacer avec S44'!$C:$BQ,59,0)</f>
        <v>0</v>
      </c>
      <c r="J200" s="115">
        <f>VLOOKUP($A200,'S0 remplacer avec S44'!$C:$BQ,60,0)</f>
        <v>0</v>
      </c>
      <c r="K200" s="107" t="e">
        <f>VLOOKUP($A200,'S45'!$C:$BQ,32,0)</f>
        <v>#N/A</v>
      </c>
      <c r="L200" s="107" t="e">
        <f>VLOOKUP($A200,'S45'!$C:$BQ,39,0)</f>
        <v>#N/A</v>
      </c>
      <c r="M200" s="107" t="e">
        <f>VLOOKUP($A200,'S45'!$C:$BQ,40,0)</f>
        <v>#N/A</v>
      </c>
      <c r="N200" s="107" t="e">
        <f>VLOOKUP($A200,'S45'!$C:$BQ,22,0)</f>
        <v>#N/A</v>
      </c>
      <c r="O200" s="115" t="e">
        <f>VLOOKUP($A200,'S45'!$C:$BQ,29,0)</f>
        <v>#N/A</v>
      </c>
      <c r="P200" s="115" t="e">
        <f>VLOOKUP($A200,'S45'!$C:$BQ,30,0)</f>
        <v>#N/A</v>
      </c>
      <c r="Q200" s="115" t="e">
        <f>VLOOKUP($A200,'S45'!$C:$BQ,52,0)</f>
        <v>#N/A</v>
      </c>
      <c r="R200" s="115" t="e">
        <f>VLOOKUP($A200,'S45'!$C:$BQ,59,0)</f>
        <v>#N/A</v>
      </c>
      <c r="S200" s="115" t="e">
        <f>VLOOKUP($A200,'S45'!$C:$BQ,60,0)</f>
        <v>#N/A</v>
      </c>
      <c r="T200" s="107" t="e">
        <f>VLOOKUP($A200,'S46'!$C:$BQ,32,0)</f>
        <v>#N/A</v>
      </c>
      <c r="U200" s="107" t="e">
        <f>VLOOKUP($A200,'S46'!$C:$BQ,39,0)</f>
        <v>#N/A</v>
      </c>
      <c r="V200" s="107" t="e">
        <f>VLOOKUP($A200,'S46'!$C:$BQ,40,0)</f>
        <v>#N/A</v>
      </c>
      <c r="W200" s="107" t="e">
        <f>VLOOKUP($A200,'S46'!$C:$BQ,22,0)</f>
        <v>#N/A</v>
      </c>
      <c r="X200" s="115" t="e">
        <f>VLOOKUP($A200,'S46'!$C:$BQ,29,0)</f>
        <v>#N/A</v>
      </c>
      <c r="Y200" s="115" t="e">
        <f>VLOOKUP($A200,'S46'!$C:$BQ,30,0)</f>
        <v>#N/A</v>
      </c>
      <c r="Z200" s="115" t="e">
        <f>VLOOKUP($A200,'S46'!$C:$BQ,52,0)</f>
        <v>#N/A</v>
      </c>
      <c r="AA200" s="115" t="e">
        <f>VLOOKUP($A200,'S46'!$C:$BQ,59,0)</f>
        <v>#N/A</v>
      </c>
      <c r="AB200" s="115" t="e">
        <f>VLOOKUP($A200,'S46'!$C:$BQ,60,0)</f>
        <v>#N/A</v>
      </c>
      <c r="AC200" s="107" t="e">
        <f>VLOOKUP($A200,'S47'!$C:$BQ,32,0)</f>
        <v>#N/A</v>
      </c>
      <c r="AD200" s="107" t="e">
        <f>VLOOKUP($A200,'S47'!$C:$BQ,39,0)</f>
        <v>#N/A</v>
      </c>
      <c r="AE200" s="107" t="e">
        <f>VLOOKUP($A200,'S47'!$C:$BQ,40,0)</f>
        <v>#N/A</v>
      </c>
      <c r="AF200" s="107" t="e">
        <f>VLOOKUP($A200,'S47'!$C:$BQ,22,0)</f>
        <v>#N/A</v>
      </c>
      <c r="AG200" s="115" t="e">
        <f>VLOOKUP($A200,'S47'!$C:$BQ,29,0)</f>
        <v>#N/A</v>
      </c>
      <c r="AH200" s="115" t="e">
        <f>VLOOKUP($A200,'S47'!$C:$BQ,30,0)</f>
        <v>#N/A</v>
      </c>
      <c r="AI200" s="115" t="e">
        <f>VLOOKUP($A200,'S47'!$C:$BQ,52,0)</f>
        <v>#N/A</v>
      </c>
      <c r="AJ200" s="115" t="e">
        <f>VLOOKUP($A200,'S47'!$C:$BQ,59,0)</f>
        <v>#N/A</v>
      </c>
      <c r="AK200" s="115" t="e">
        <f>VLOOKUP($A200,'S47'!$C:$BQ,60,0)</f>
        <v>#N/A</v>
      </c>
      <c r="AL200" s="107" t="e">
        <f>VLOOKUP($A200,'S48'!$C:$BQ,32,0)</f>
        <v>#N/A</v>
      </c>
      <c r="AM200" s="107" t="e">
        <f>VLOOKUP($A200,'S48'!$C:$BQ,39,0)</f>
        <v>#N/A</v>
      </c>
      <c r="AN200" s="107" t="e">
        <f>VLOOKUP($A200,'S48'!$C:$BQ,40,0)</f>
        <v>#N/A</v>
      </c>
      <c r="AO200" s="107" t="e">
        <f>VLOOKUP($A200,'S48'!$C:$BQ,22,0)</f>
        <v>#N/A</v>
      </c>
      <c r="AP200" s="115" t="e">
        <f>VLOOKUP($A200,'S48'!$C:$BQ,29,0)</f>
        <v>#N/A</v>
      </c>
      <c r="AQ200" s="115" t="e">
        <f>VLOOKUP($A200,'S48'!$C:$BQ,30,0)</f>
        <v>#N/A</v>
      </c>
      <c r="AR200" s="115" t="e">
        <f>VLOOKUP($A200,'S48'!$C:$BQ,52,0)</f>
        <v>#N/A</v>
      </c>
      <c r="AS200" s="115" t="e">
        <f>VLOOKUP($A200,'S48'!$C:$BQ,59,0)</f>
        <v>#N/A</v>
      </c>
      <c r="AT200" s="115" t="e">
        <f>VLOOKUP($A200,'S48'!$C:$BQ,60,0)</f>
        <v>#N/A</v>
      </c>
      <c r="AU200" s="107" t="e">
        <f>VLOOKUP($A200,'S49'!$C:$BQ,32,0)</f>
        <v>#N/A</v>
      </c>
      <c r="AV200" s="107" t="e">
        <f>VLOOKUP($A200,'S49'!$C:$BQ,39,0)</f>
        <v>#N/A</v>
      </c>
      <c r="AW200" s="107" t="e">
        <f>VLOOKUP($A200,'S49'!$C:$BQ,40,0)</f>
        <v>#N/A</v>
      </c>
      <c r="AX200" s="107" t="e">
        <f>VLOOKUP($A200,'S49'!$C:$BQ,22,0)</f>
        <v>#N/A</v>
      </c>
      <c r="AY200" s="115" t="e">
        <f>VLOOKUP($A200,'S49'!$C:$BQ,29,0)</f>
        <v>#N/A</v>
      </c>
      <c r="AZ200" s="115" t="e">
        <f>VLOOKUP($A200,'S49'!$C:$BQ,30,0)</f>
        <v>#N/A</v>
      </c>
      <c r="BA200" s="115" t="e">
        <f>VLOOKUP($A200,'S49'!$C:$BQ,52,0)</f>
        <v>#N/A</v>
      </c>
      <c r="BB200" s="115" t="e">
        <f>VLOOKUP($A200,'S49'!$C:$BQ,59,0)</f>
        <v>#N/A</v>
      </c>
      <c r="BC200" s="115" t="e">
        <f>VLOOKUP($A200,'S49'!$C:$BQ,60,0)</f>
        <v>#N/A</v>
      </c>
      <c r="BD200" s="107" t="e">
        <f>VLOOKUP($A200,'S50'!$C:$BQ,32,0)</f>
        <v>#N/A</v>
      </c>
      <c r="BE200" s="107" t="e">
        <f>VLOOKUP($A200,'S50'!$C:$BQ,39,0)</f>
        <v>#N/A</v>
      </c>
      <c r="BF200" s="107" t="e">
        <f>VLOOKUP($A200,'S50'!$C:$BQ,40,0)</f>
        <v>#N/A</v>
      </c>
      <c r="BG200" s="107" t="e">
        <f>VLOOKUP($A200,'S50'!$C:$BQ,22,0)</f>
        <v>#N/A</v>
      </c>
      <c r="BH200" s="115" t="e">
        <f>VLOOKUP($A200,'S50'!$C:$BQ,29,0)</f>
        <v>#N/A</v>
      </c>
      <c r="BI200" s="115" t="e">
        <f>VLOOKUP($A200,'S50'!$C:$BQ,30,0)</f>
        <v>#N/A</v>
      </c>
      <c r="BJ200" s="115" t="e">
        <f>VLOOKUP($A200,'S50'!$C:$BQ,52,0)</f>
        <v>#N/A</v>
      </c>
      <c r="BK200" s="115" t="e">
        <f>VLOOKUP($A200,'S50'!$C:$BQ,59,0)</f>
        <v>#N/A</v>
      </c>
      <c r="BL200" s="115" t="e">
        <f>VLOOKUP($A200,'S50'!$C:$BQ,60,0)</f>
        <v>#N/A</v>
      </c>
    </row>
    <row r="201" spans="1:64" x14ac:dyDescent="0.2">
      <c r="A201" s="106" t="s">
        <v>269</v>
      </c>
      <c r="B201" s="107">
        <f>VLOOKUP($A201,'S0 remplacer avec S44'!$C:$BQ,32,0)</f>
        <v>114.65</v>
      </c>
      <c r="C201" s="107">
        <f>VLOOKUP($A201,'S0 remplacer avec S44'!$C:$BQ,39,0)</f>
        <v>68</v>
      </c>
      <c r="D201" s="107">
        <f>VLOOKUP($A201,'S0 remplacer avec S44'!$C:$BQ,40,0)</f>
        <v>104</v>
      </c>
      <c r="E201" s="107">
        <f>VLOOKUP($A201,'S0 remplacer avec S44'!$C:$BQ,22,0)</f>
        <v>1849.9044349999999</v>
      </c>
      <c r="F201" s="115">
        <f>VLOOKUP($A201,'S0 remplacer avec S44'!$C:$BQ,29,0)</f>
        <v>0</v>
      </c>
      <c r="G201" s="115">
        <f>VLOOKUP($A201,'S0 remplacer avec S44'!$C:$BQ,30,0)</f>
        <v>138</v>
      </c>
      <c r="H201" s="115">
        <f>VLOOKUP($A201,'S0 remplacer avec S44'!$C:$BQ,52,0)</f>
        <v>72.8</v>
      </c>
      <c r="I201" s="115">
        <f>VLOOKUP($A201,'S0 remplacer avec S44'!$C:$BQ,59,0)</f>
        <v>20</v>
      </c>
      <c r="J201" s="115">
        <f>VLOOKUP($A201,'S0 remplacer avec S44'!$C:$BQ,60,0)</f>
        <v>39</v>
      </c>
      <c r="K201" s="107" t="e">
        <f>VLOOKUP($A201,'S45'!$C:$BQ,32,0)</f>
        <v>#N/A</v>
      </c>
      <c r="L201" s="107" t="e">
        <f>VLOOKUP($A201,'S45'!$C:$BQ,39,0)</f>
        <v>#N/A</v>
      </c>
      <c r="M201" s="107" t="e">
        <f>VLOOKUP($A201,'S45'!$C:$BQ,40,0)</f>
        <v>#N/A</v>
      </c>
      <c r="N201" s="107" t="e">
        <f>VLOOKUP($A201,'S45'!$C:$BQ,22,0)</f>
        <v>#N/A</v>
      </c>
      <c r="O201" s="115" t="e">
        <f>VLOOKUP($A201,'S45'!$C:$BQ,29,0)</f>
        <v>#N/A</v>
      </c>
      <c r="P201" s="115" t="e">
        <f>VLOOKUP($A201,'S45'!$C:$BQ,30,0)</f>
        <v>#N/A</v>
      </c>
      <c r="Q201" s="115" t="e">
        <f>VLOOKUP($A201,'S45'!$C:$BQ,52,0)</f>
        <v>#N/A</v>
      </c>
      <c r="R201" s="115" t="e">
        <f>VLOOKUP($A201,'S45'!$C:$BQ,59,0)</f>
        <v>#N/A</v>
      </c>
      <c r="S201" s="115" t="e">
        <f>VLOOKUP($A201,'S45'!$C:$BQ,60,0)</f>
        <v>#N/A</v>
      </c>
      <c r="T201" s="107" t="e">
        <f>VLOOKUP($A201,'S46'!$C:$BQ,32,0)</f>
        <v>#N/A</v>
      </c>
      <c r="U201" s="107" t="e">
        <f>VLOOKUP($A201,'S46'!$C:$BQ,39,0)</f>
        <v>#N/A</v>
      </c>
      <c r="V201" s="107" t="e">
        <f>VLOOKUP($A201,'S46'!$C:$BQ,40,0)</f>
        <v>#N/A</v>
      </c>
      <c r="W201" s="107" t="e">
        <f>VLOOKUP($A201,'S46'!$C:$BQ,22,0)</f>
        <v>#N/A</v>
      </c>
      <c r="X201" s="115" t="e">
        <f>VLOOKUP($A201,'S46'!$C:$BQ,29,0)</f>
        <v>#N/A</v>
      </c>
      <c r="Y201" s="115" t="e">
        <f>VLOOKUP($A201,'S46'!$C:$BQ,30,0)</f>
        <v>#N/A</v>
      </c>
      <c r="Z201" s="115" t="e">
        <f>VLOOKUP($A201,'S46'!$C:$BQ,52,0)</f>
        <v>#N/A</v>
      </c>
      <c r="AA201" s="115" t="e">
        <f>VLOOKUP($A201,'S46'!$C:$BQ,59,0)</f>
        <v>#N/A</v>
      </c>
      <c r="AB201" s="115" t="e">
        <f>VLOOKUP($A201,'S46'!$C:$BQ,60,0)</f>
        <v>#N/A</v>
      </c>
      <c r="AC201" s="107" t="e">
        <f>VLOOKUP($A201,'S47'!$C:$BQ,32,0)</f>
        <v>#N/A</v>
      </c>
      <c r="AD201" s="107" t="e">
        <f>VLOOKUP($A201,'S47'!$C:$BQ,39,0)</f>
        <v>#N/A</v>
      </c>
      <c r="AE201" s="107" t="e">
        <f>VLOOKUP($A201,'S47'!$C:$BQ,40,0)</f>
        <v>#N/A</v>
      </c>
      <c r="AF201" s="107" t="e">
        <f>VLOOKUP($A201,'S47'!$C:$BQ,22,0)</f>
        <v>#N/A</v>
      </c>
      <c r="AG201" s="115" t="e">
        <f>VLOOKUP($A201,'S47'!$C:$BQ,29,0)</f>
        <v>#N/A</v>
      </c>
      <c r="AH201" s="115" t="e">
        <f>VLOOKUP($A201,'S47'!$C:$BQ,30,0)</f>
        <v>#N/A</v>
      </c>
      <c r="AI201" s="115" t="e">
        <f>VLOOKUP($A201,'S47'!$C:$BQ,52,0)</f>
        <v>#N/A</v>
      </c>
      <c r="AJ201" s="115" t="e">
        <f>VLOOKUP($A201,'S47'!$C:$BQ,59,0)</f>
        <v>#N/A</v>
      </c>
      <c r="AK201" s="115" t="e">
        <f>VLOOKUP($A201,'S47'!$C:$BQ,60,0)</f>
        <v>#N/A</v>
      </c>
      <c r="AL201" s="107" t="e">
        <f>VLOOKUP($A201,'S48'!$C:$BQ,32,0)</f>
        <v>#N/A</v>
      </c>
      <c r="AM201" s="107" t="e">
        <f>VLOOKUP($A201,'S48'!$C:$BQ,39,0)</f>
        <v>#N/A</v>
      </c>
      <c r="AN201" s="107" t="e">
        <f>VLOOKUP($A201,'S48'!$C:$BQ,40,0)</f>
        <v>#N/A</v>
      </c>
      <c r="AO201" s="107" t="e">
        <f>VLOOKUP($A201,'S48'!$C:$BQ,22,0)</f>
        <v>#N/A</v>
      </c>
      <c r="AP201" s="115" t="e">
        <f>VLOOKUP($A201,'S48'!$C:$BQ,29,0)</f>
        <v>#N/A</v>
      </c>
      <c r="AQ201" s="115" t="e">
        <f>VLOOKUP($A201,'S48'!$C:$BQ,30,0)</f>
        <v>#N/A</v>
      </c>
      <c r="AR201" s="115" t="e">
        <f>VLOOKUP($A201,'S48'!$C:$BQ,52,0)</f>
        <v>#N/A</v>
      </c>
      <c r="AS201" s="115" t="e">
        <f>VLOOKUP($A201,'S48'!$C:$BQ,59,0)</f>
        <v>#N/A</v>
      </c>
      <c r="AT201" s="115" t="e">
        <f>VLOOKUP($A201,'S48'!$C:$BQ,60,0)</f>
        <v>#N/A</v>
      </c>
      <c r="AU201" s="107" t="e">
        <f>VLOOKUP($A201,'S49'!$C:$BQ,32,0)</f>
        <v>#N/A</v>
      </c>
      <c r="AV201" s="107" t="e">
        <f>VLOOKUP($A201,'S49'!$C:$BQ,39,0)</f>
        <v>#N/A</v>
      </c>
      <c r="AW201" s="107" t="e">
        <f>VLOOKUP($A201,'S49'!$C:$BQ,40,0)</f>
        <v>#N/A</v>
      </c>
      <c r="AX201" s="107" t="e">
        <f>VLOOKUP($A201,'S49'!$C:$BQ,22,0)</f>
        <v>#N/A</v>
      </c>
      <c r="AY201" s="115" t="e">
        <f>VLOOKUP($A201,'S49'!$C:$BQ,29,0)</f>
        <v>#N/A</v>
      </c>
      <c r="AZ201" s="115" t="e">
        <f>VLOOKUP($A201,'S49'!$C:$BQ,30,0)</f>
        <v>#N/A</v>
      </c>
      <c r="BA201" s="115" t="e">
        <f>VLOOKUP($A201,'S49'!$C:$BQ,52,0)</f>
        <v>#N/A</v>
      </c>
      <c r="BB201" s="115" t="e">
        <f>VLOOKUP($A201,'S49'!$C:$BQ,59,0)</f>
        <v>#N/A</v>
      </c>
      <c r="BC201" s="115" t="e">
        <f>VLOOKUP($A201,'S49'!$C:$BQ,60,0)</f>
        <v>#N/A</v>
      </c>
      <c r="BD201" s="107" t="e">
        <f>VLOOKUP($A201,'S50'!$C:$BQ,32,0)</f>
        <v>#N/A</v>
      </c>
      <c r="BE201" s="107" t="e">
        <f>VLOOKUP($A201,'S50'!$C:$BQ,39,0)</f>
        <v>#N/A</v>
      </c>
      <c r="BF201" s="107" t="e">
        <f>VLOOKUP($A201,'S50'!$C:$BQ,40,0)</f>
        <v>#N/A</v>
      </c>
      <c r="BG201" s="107" t="e">
        <f>VLOOKUP($A201,'S50'!$C:$BQ,22,0)</f>
        <v>#N/A</v>
      </c>
      <c r="BH201" s="115" t="e">
        <f>VLOOKUP($A201,'S50'!$C:$BQ,29,0)</f>
        <v>#N/A</v>
      </c>
      <c r="BI201" s="115" t="e">
        <f>VLOOKUP($A201,'S50'!$C:$BQ,30,0)</f>
        <v>#N/A</v>
      </c>
      <c r="BJ201" s="115" t="e">
        <f>VLOOKUP($A201,'S50'!$C:$BQ,52,0)</f>
        <v>#N/A</v>
      </c>
      <c r="BK201" s="115" t="e">
        <f>VLOOKUP($A201,'S50'!$C:$BQ,59,0)</f>
        <v>#N/A</v>
      </c>
      <c r="BL201" s="115" t="e">
        <f>VLOOKUP($A201,'S50'!$C:$BQ,60,0)</f>
        <v>#N/A</v>
      </c>
    </row>
    <row r="202" spans="1:64" x14ac:dyDescent="0.2">
      <c r="A202" s="106" t="s">
        <v>270</v>
      </c>
      <c r="B202" s="107">
        <f>VLOOKUP($A202,'S0 remplacer avec S44'!$C:$BQ,32,0)</f>
        <v>162.6</v>
      </c>
      <c r="C202" s="107">
        <f>VLOOKUP($A202,'S0 remplacer avec S44'!$C:$BQ,39,0)</f>
        <v>5</v>
      </c>
      <c r="D202" s="107">
        <f>VLOOKUP($A202,'S0 remplacer avec S44'!$C:$BQ,40,0)</f>
        <v>39</v>
      </c>
      <c r="E202" s="107">
        <f>VLOOKUP($A202,'S0 remplacer avec S44'!$C:$BQ,22,0)</f>
        <v>1839.3642850000001</v>
      </c>
      <c r="F202" s="115">
        <f>VLOOKUP($A202,'S0 remplacer avec S44'!$C:$BQ,29,0)</f>
        <v>0</v>
      </c>
      <c r="G202" s="115">
        <f>VLOOKUP($A202,'S0 remplacer avec S44'!$C:$BQ,30,0)</f>
        <v>0</v>
      </c>
      <c r="H202" s="115">
        <f>VLOOKUP($A202,'S0 remplacer avec S44'!$C:$BQ,52,0)</f>
        <v>127.4</v>
      </c>
      <c r="I202" s="115">
        <f>VLOOKUP($A202,'S0 remplacer avec S44'!$C:$BQ,59,0)</f>
        <v>0</v>
      </c>
      <c r="J202" s="115">
        <f>VLOOKUP($A202,'S0 remplacer avec S44'!$C:$BQ,60,0)</f>
        <v>0</v>
      </c>
      <c r="K202" s="107" t="e">
        <f>VLOOKUP($A202,'S45'!$C:$BQ,32,0)</f>
        <v>#N/A</v>
      </c>
      <c r="L202" s="107" t="e">
        <f>VLOOKUP($A202,'S45'!$C:$BQ,39,0)</f>
        <v>#N/A</v>
      </c>
      <c r="M202" s="107" t="e">
        <f>VLOOKUP($A202,'S45'!$C:$BQ,40,0)</f>
        <v>#N/A</v>
      </c>
      <c r="N202" s="107" t="e">
        <f>VLOOKUP($A202,'S45'!$C:$BQ,22,0)</f>
        <v>#N/A</v>
      </c>
      <c r="O202" s="115" t="e">
        <f>VLOOKUP($A202,'S45'!$C:$BQ,29,0)</f>
        <v>#N/A</v>
      </c>
      <c r="P202" s="115" t="e">
        <f>VLOOKUP($A202,'S45'!$C:$BQ,30,0)</f>
        <v>#N/A</v>
      </c>
      <c r="Q202" s="115" t="e">
        <f>VLOOKUP($A202,'S45'!$C:$BQ,52,0)</f>
        <v>#N/A</v>
      </c>
      <c r="R202" s="115" t="e">
        <f>VLOOKUP($A202,'S45'!$C:$BQ,59,0)</f>
        <v>#N/A</v>
      </c>
      <c r="S202" s="115" t="e">
        <f>VLOOKUP($A202,'S45'!$C:$BQ,60,0)</f>
        <v>#N/A</v>
      </c>
      <c r="T202" s="107" t="e">
        <f>VLOOKUP($A202,'S46'!$C:$BQ,32,0)</f>
        <v>#N/A</v>
      </c>
      <c r="U202" s="107" t="e">
        <f>VLOOKUP($A202,'S46'!$C:$BQ,39,0)</f>
        <v>#N/A</v>
      </c>
      <c r="V202" s="107" t="e">
        <f>VLOOKUP($A202,'S46'!$C:$BQ,40,0)</f>
        <v>#N/A</v>
      </c>
      <c r="W202" s="107" t="e">
        <f>VLOOKUP($A202,'S46'!$C:$BQ,22,0)</f>
        <v>#N/A</v>
      </c>
      <c r="X202" s="115" t="e">
        <f>VLOOKUP($A202,'S46'!$C:$BQ,29,0)</f>
        <v>#N/A</v>
      </c>
      <c r="Y202" s="115" t="e">
        <f>VLOOKUP($A202,'S46'!$C:$BQ,30,0)</f>
        <v>#N/A</v>
      </c>
      <c r="Z202" s="115" t="e">
        <f>VLOOKUP($A202,'S46'!$C:$BQ,52,0)</f>
        <v>#N/A</v>
      </c>
      <c r="AA202" s="115" t="e">
        <f>VLOOKUP($A202,'S46'!$C:$BQ,59,0)</f>
        <v>#N/A</v>
      </c>
      <c r="AB202" s="115" t="e">
        <f>VLOOKUP($A202,'S46'!$C:$BQ,60,0)</f>
        <v>#N/A</v>
      </c>
      <c r="AC202" s="107" t="e">
        <f>VLOOKUP($A202,'S47'!$C:$BQ,32,0)</f>
        <v>#N/A</v>
      </c>
      <c r="AD202" s="107" t="e">
        <f>VLOOKUP($A202,'S47'!$C:$BQ,39,0)</f>
        <v>#N/A</v>
      </c>
      <c r="AE202" s="107" t="e">
        <f>VLOOKUP($A202,'S47'!$C:$BQ,40,0)</f>
        <v>#N/A</v>
      </c>
      <c r="AF202" s="107" t="e">
        <f>VLOOKUP($A202,'S47'!$C:$BQ,22,0)</f>
        <v>#N/A</v>
      </c>
      <c r="AG202" s="115" t="e">
        <f>VLOOKUP($A202,'S47'!$C:$BQ,29,0)</f>
        <v>#N/A</v>
      </c>
      <c r="AH202" s="115" t="e">
        <f>VLOOKUP($A202,'S47'!$C:$BQ,30,0)</f>
        <v>#N/A</v>
      </c>
      <c r="AI202" s="115" t="e">
        <f>VLOOKUP($A202,'S47'!$C:$BQ,52,0)</f>
        <v>#N/A</v>
      </c>
      <c r="AJ202" s="115" t="e">
        <f>VLOOKUP($A202,'S47'!$C:$BQ,59,0)</f>
        <v>#N/A</v>
      </c>
      <c r="AK202" s="115" t="e">
        <f>VLOOKUP($A202,'S47'!$C:$BQ,60,0)</f>
        <v>#N/A</v>
      </c>
      <c r="AL202" s="107" t="e">
        <f>VLOOKUP($A202,'S48'!$C:$BQ,32,0)</f>
        <v>#N/A</v>
      </c>
      <c r="AM202" s="107" t="e">
        <f>VLOOKUP($A202,'S48'!$C:$BQ,39,0)</f>
        <v>#N/A</v>
      </c>
      <c r="AN202" s="107" t="e">
        <f>VLOOKUP($A202,'S48'!$C:$BQ,40,0)</f>
        <v>#N/A</v>
      </c>
      <c r="AO202" s="107" t="e">
        <f>VLOOKUP($A202,'S48'!$C:$BQ,22,0)</f>
        <v>#N/A</v>
      </c>
      <c r="AP202" s="115" t="e">
        <f>VLOOKUP($A202,'S48'!$C:$BQ,29,0)</f>
        <v>#N/A</v>
      </c>
      <c r="AQ202" s="115" t="e">
        <f>VLOOKUP($A202,'S48'!$C:$BQ,30,0)</f>
        <v>#N/A</v>
      </c>
      <c r="AR202" s="115" t="e">
        <f>VLOOKUP($A202,'S48'!$C:$BQ,52,0)</f>
        <v>#N/A</v>
      </c>
      <c r="AS202" s="115" t="e">
        <f>VLOOKUP($A202,'S48'!$C:$BQ,59,0)</f>
        <v>#N/A</v>
      </c>
      <c r="AT202" s="115" t="e">
        <f>VLOOKUP($A202,'S48'!$C:$BQ,60,0)</f>
        <v>#N/A</v>
      </c>
      <c r="AU202" s="107" t="e">
        <f>VLOOKUP($A202,'S49'!$C:$BQ,32,0)</f>
        <v>#N/A</v>
      </c>
      <c r="AV202" s="107" t="e">
        <f>VLOOKUP($A202,'S49'!$C:$BQ,39,0)</f>
        <v>#N/A</v>
      </c>
      <c r="AW202" s="107" t="e">
        <f>VLOOKUP($A202,'S49'!$C:$BQ,40,0)</f>
        <v>#N/A</v>
      </c>
      <c r="AX202" s="107" t="e">
        <f>VLOOKUP($A202,'S49'!$C:$BQ,22,0)</f>
        <v>#N/A</v>
      </c>
      <c r="AY202" s="115" t="e">
        <f>VLOOKUP($A202,'S49'!$C:$BQ,29,0)</f>
        <v>#N/A</v>
      </c>
      <c r="AZ202" s="115" t="e">
        <f>VLOOKUP($A202,'S49'!$C:$BQ,30,0)</f>
        <v>#N/A</v>
      </c>
      <c r="BA202" s="115" t="e">
        <f>VLOOKUP($A202,'S49'!$C:$BQ,52,0)</f>
        <v>#N/A</v>
      </c>
      <c r="BB202" s="115" t="e">
        <f>VLOOKUP($A202,'S49'!$C:$BQ,59,0)</f>
        <v>#N/A</v>
      </c>
      <c r="BC202" s="115" t="e">
        <f>VLOOKUP($A202,'S49'!$C:$BQ,60,0)</f>
        <v>#N/A</v>
      </c>
      <c r="BD202" s="107" t="e">
        <f>VLOOKUP($A202,'S50'!$C:$BQ,32,0)</f>
        <v>#N/A</v>
      </c>
      <c r="BE202" s="107" t="e">
        <f>VLOOKUP($A202,'S50'!$C:$BQ,39,0)</f>
        <v>#N/A</v>
      </c>
      <c r="BF202" s="107" t="e">
        <f>VLOOKUP($A202,'S50'!$C:$BQ,40,0)</f>
        <v>#N/A</v>
      </c>
      <c r="BG202" s="107" t="e">
        <f>VLOOKUP($A202,'S50'!$C:$BQ,22,0)</f>
        <v>#N/A</v>
      </c>
      <c r="BH202" s="115" t="e">
        <f>VLOOKUP($A202,'S50'!$C:$BQ,29,0)</f>
        <v>#N/A</v>
      </c>
      <c r="BI202" s="115" t="e">
        <f>VLOOKUP($A202,'S50'!$C:$BQ,30,0)</f>
        <v>#N/A</v>
      </c>
      <c r="BJ202" s="115" t="e">
        <f>VLOOKUP($A202,'S50'!$C:$BQ,52,0)</f>
        <v>#N/A</v>
      </c>
      <c r="BK202" s="115" t="e">
        <f>VLOOKUP($A202,'S50'!$C:$BQ,59,0)</f>
        <v>#N/A</v>
      </c>
      <c r="BL202" s="115" t="e">
        <f>VLOOKUP($A202,'S50'!$C:$BQ,60,0)</f>
        <v>#N/A</v>
      </c>
    </row>
    <row r="203" spans="1:64" x14ac:dyDescent="0.2">
      <c r="A203" s="106" t="s">
        <v>271</v>
      </c>
      <c r="B203" s="107">
        <f>VLOOKUP($A203,'S0 remplacer avec S44'!$C:$BQ,32,0)</f>
        <v>57</v>
      </c>
      <c r="C203" s="107">
        <f>VLOOKUP($A203,'S0 remplacer avec S44'!$C:$BQ,39,0)</f>
        <v>66</v>
      </c>
      <c r="D203" s="107">
        <f>VLOOKUP($A203,'S0 remplacer avec S44'!$C:$BQ,40,0)</f>
        <v>91</v>
      </c>
      <c r="E203" s="107">
        <f>VLOOKUP($A203,'S0 remplacer avec S44'!$C:$BQ,22,0)</f>
        <v>630.02453500000001</v>
      </c>
      <c r="F203" s="115">
        <f>VLOOKUP($A203,'S0 remplacer avec S44'!$C:$BQ,29,0)</f>
        <v>489</v>
      </c>
      <c r="G203" s="115">
        <f>VLOOKUP($A203,'S0 remplacer avec S44'!$C:$BQ,30,0)</f>
        <v>713</v>
      </c>
      <c r="H203" s="115">
        <f>VLOOKUP($A203,'S0 remplacer avec S44'!$C:$BQ,52,0)</f>
        <v>37.6</v>
      </c>
      <c r="I203" s="115">
        <f>VLOOKUP($A203,'S0 remplacer avec S44'!$C:$BQ,59,0)</f>
        <v>25</v>
      </c>
      <c r="J203" s="115">
        <f>VLOOKUP($A203,'S0 remplacer avec S44'!$C:$BQ,60,0)</f>
        <v>38</v>
      </c>
      <c r="K203" s="107" t="e">
        <f>VLOOKUP($A203,'S45'!$C:$BQ,32,0)</f>
        <v>#N/A</v>
      </c>
      <c r="L203" s="107" t="e">
        <f>VLOOKUP($A203,'S45'!$C:$BQ,39,0)</f>
        <v>#N/A</v>
      </c>
      <c r="M203" s="107" t="e">
        <f>VLOOKUP($A203,'S45'!$C:$BQ,40,0)</f>
        <v>#N/A</v>
      </c>
      <c r="N203" s="107" t="e">
        <f>VLOOKUP($A203,'S45'!$C:$BQ,22,0)</f>
        <v>#N/A</v>
      </c>
      <c r="O203" s="115" t="e">
        <f>VLOOKUP($A203,'S45'!$C:$BQ,29,0)</f>
        <v>#N/A</v>
      </c>
      <c r="P203" s="115" t="e">
        <f>VLOOKUP($A203,'S45'!$C:$BQ,30,0)</f>
        <v>#N/A</v>
      </c>
      <c r="Q203" s="115" t="e">
        <f>VLOOKUP($A203,'S45'!$C:$BQ,52,0)</f>
        <v>#N/A</v>
      </c>
      <c r="R203" s="115" t="e">
        <f>VLOOKUP($A203,'S45'!$C:$BQ,59,0)</f>
        <v>#N/A</v>
      </c>
      <c r="S203" s="115" t="e">
        <f>VLOOKUP($A203,'S45'!$C:$BQ,60,0)</f>
        <v>#N/A</v>
      </c>
      <c r="T203" s="107" t="e">
        <f>VLOOKUP($A203,'S46'!$C:$BQ,32,0)</f>
        <v>#N/A</v>
      </c>
      <c r="U203" s="107" t="e">
        <f>VLOOKUP($A203,'S46'!$C:$BQ,39,0)</f>
        <v>#N/A</v>
      </c>
      <c r="V203" s="107" t="e">
        <f>VLOOKUP($A203,'S46'!$C:$BQ,40,0)</f>
        <v>#N/A</v>
      </c>
      <c r="W203" s="107" t="e">
        <f>VLOOKUP($A203,'S46'!$C:$BQ,22,0)</f>
        <v>#N/A</v>
      </c>
      <c r="X203" s="115" t="e">
        <f>VLOOKUP($A203,'S46'!$C:$BQ,29,0)</f>
        <v>#N/A</v>
      </c>
      <c r="Y203" s="115" t="e">
        <f>VLOOKUP($A203,'S46'!$C:$BQ,30,0)</f>
        <v>#N/A</v>
      </c>
      <c r="Z203" s="115" t="e">
        <f>VLOOKUP($A203,'S46'!$C:$BQ,52,0)</f>
        <v>#N/A</v>
      </c>
      <c r="AA203" s="115" t="e">
        <f>VLOOKUP($A203,'S46'!$C:$BQ,59,0)</f>
        <v>#N/A</v>
      </c>
      <c r="AB203" s="115" t="e">
        <f>VLOOKUP($A203,'S46'!$C:$BQ,60,0)</f>
        <v>#N/A</v>
      </c>
      <c r="AC203" s="107" t="e">
        <f>VLOOKUP($A203,'S47'!$C:$BQ,32,0)</f>
        <v>#N/A</v>
      </c>
      <c r="AD203" s="107" t="e">
        <f>VLOOKUP($A203,'S47'!$C:$BQ,39,0)</f>
        <v>#N/A</v>
      </c>
      <c r="AE203" s="107" t="e">
        <f>VLOOKUP($A203,'S47'!$C:$BQ,40,0)</f>
        <v>#N/A</v>
      </c>
      <c r="AF203" s="107" t="e">
        <f>VLOOKUP($A203,'S47'!$C:$BQ,22,0)</f>
        <v>#N/A</v>
      </c>
      <c r="AG203" s="115" t="e">
        <f>VLOOKUP($A203,'S47'!$C:$BQ,29,0)</f>
        <v>#N/A</v>
      </c>
      <c r="AH203" s="115" t="e">
        <f>VLOOKUP($A203,'S47'!$C:$BQ,30,0)</f>
        <v>#N/A</v>
      </c>
      <c r="AI203" s="115" t="e">
        <f>VLOOKUP($A203,'S47'!$C:$BQ,52,0)</f>
        <v>#N/A</v>
      </c>
      <c r="AJ203" s="115" t="e">
        <f>VLOOKUP($A203,'S47'!$C:$BQ,59,0)</f>
        <v>#N/A</v>
      </c>
      <c r="AK203" s="115" t="e">
        <f>VLOOKUP($A203,'S47'!$C:$BQ,60,0)</f>
        <v>#N/A</v>
      </c>
      <c r="AL203" s="107" t="e">
        <f>VLOOKUP($A203,'S48'!$C:$BQ,32,0)</f>
        <v>#N/A</v>
      </c>
      <c r="AM203" s="107" t="e">
        <f>VLOOKUP($A203,'S48'!$C:$BQ,39,0)</f>
        <v>#N/A</v>
      </c>
      <c r="AN203" s="107" t="e">
        <f>VLOOKUP($A203,'S48'!$C:$BQ,40,0)</f>
        <v>#N/A</v>
      </c>
      <c r="AO203" s="107" t="e">
        <f>VLOOKUP($A203,'S48'!$C:$BQ,22,0)</f>
        <v>#N/A</v>
      </c>
      <c r="AP203" s="115" t="e">
        <f>VLOOKUP($A203,'S48'!$C:$BQ,29,0)</f>
        <v>#N/A</v>
      </c>
      <c r="AQ203" s="115" t="e">
        <f>VLOOKUP($A203,'S48'!$C:$BQ,30,0)</f>
        <v>#N/A</v>
      </c>
      <c r="AR203" s="115" t="e">
        <f>VLOOKUP($A203,'S48'!$C:$BQ,52,0)</f>
        <v>#N/A</v>
      </c>
      <c r="AS203" s="115" t="e">
        <f>VLOOKUP($A203,'S48'!$C:$BQ,59,0)</f>
        <v>#N/A</v>
      </c>
      <c r="AT203" s="115" t="e">
        <f>VLOOKUP($A203,'S48'!$C:$BQ,60,0)</f>
        <v>#N/A</v>
      </c>
      <c r="AU203" s="107" t="e">
        <f>VLOOKUP($A203,'S49'!$C:$BQ,32,0)</f>
        <v>#N/A</v>
      </c>
      <c r="AV203" s="107" t="e">
        <f>VLOOKUP($A203,'S49'!$C:$BQ,39,0)</f>
        <v>#N/A</v>
      </c>
      <c r="AW203" s="107" t="e">
        <f>VLOOKUP($A203,'S49'!$C:$BQ,40,0)</f>
        <v>#N/A</v>
      </c>
      <c r="AX203" s="107" t="e">
        <f>VLOOKUP($A203,'S49'!$C:$BQ,22,0)</f>
        <v>#N/A</v>
      </c>
      <c r="AY203" s="115" t="e">
        <f>VLOOKUP($A203,'S49'!$C:$BQ,29,0)</f>
        <v>#N/A</v>
      </c>
      <c r="AZ203" s="115" t="e">
        <f>VLOOKUP($A203,'S49'!$C:$BQ,30,0)</f>
        <v>#N/A</v>
      </c>
      <c r="BA203" s="115" t="e">
        <f>VLOOKUP($A203,'S49'!$C:$BQ,52,0)</f>
        <v>#N/A</v>
      </c>
      <c r="BB203" s="115" t="e">
        <f>VLOOKUP($A203,'S49'!$C:$BQ,59,0)</f>
        <v>#N/A</v>
      </c>
      <c r="BC203" s="115" t="e">
        <f>VLOOKUP($A203,'S49'!$C:$BQ,60,0)</f>
        <v>#N/A</v>
      </c>
      <c r="BD203" s="107" t="e">
        <f>VLOOKUP($A203,'S50'!$C:$BQ,32,0)</f>
        <v>#N/A</v>
      </c>
      <c r="BE203" s="107" t="e">
        <f>VLOOKUP($A203,'S50'!$C:$BQ,39,0)</f>
        <v>#N/A</v>
      </c>
      <c r="BF203" s="107" t="e">
        <f>VLOOKUP($A203,'S50'!$C:$BQ,40,0)</f>
        <v>#N/A</v>
      </c>
      <c r="BG203" s="107" t="e">
        <f>VLOOKUP($A203,'S50'!$C:$BQ,22,0)</f>
        <v>#N/A</v>
      </c>
      <c r="BH203" s="115" t="e">
        <f>VLOOKUP($A203,'S50'!$C:$BQ,29,0)</f>
        <v>#N/A</v>
      </c>
      <c r="BI203" s="115" t="e">
        <f>VLOOKUP($A203,'S50'!$C:$BQ,30,0)</f>
        <v>#N/A</v>
      </c>
      <c r="BJ203" s="115" t="e">
        <f>VLOOKUP($A203,'S50'!$C:$BQ,52,0)</f>
        <v>#N/A</v>
      </c>
      <c r="BK203" s="115" t="e">
        <f>VLOOKUP($A203,'S50'!$C:$BQ,59,0)</f>
        <v>#N/A</v>
      </c>
      <c r="BL203" s="115" t="e">
        <f>VLOOKUP($A203,'S50'!$C:$BQ,60,0)</f>
        <v>#N/A</v>
      </c>
    </row>
    <row r="204" spans="1:64" x14ac:dyDescent="0.2">
      <c r="A204" s="106" t="s">
        <v>272</v>
      </c>
      <c r="B204" s="107">
        <f>VLOOKUP($A204,'S0 remplacer avec S44'!$C:$BQ,32,0)</f>
        <v>548.6</v>
      </c>
      <c r="C204" s="107">
        <f>VLOOKUP($A204,'S0 remplacer avec S44'!$C:$BQ,39,0)</f>
        <v>23</v>
      </c>
      <c r="D204" s="107">
        <f>VLOOKUP($A204,'S0 remplacer avec S44'!$C:$BQ,40,0)</f>
        <v>137</v>
      </c>
      <c r="E204" s="107">
        <f>VLOOKUP($A204,'S0 remplacer avec S44'!$C:$BQ,22,0)</f>
        <v>5792.0798850000001</v>
      </c>
      <c r="F204" s="115">
        <f>VLOOKUP($A204,'S0 remplacer avec S44'!$C:$BQ,29,0)</f>
        <v>0</v>
      </c>
      <c r="G204" s="115">
        <f>VLOOKUP($A204,'S0 remplacer avec S44'!$C:$BQ,30,0)</f>
        <v>440</v>
      </c>
      <c r="H204" s="115">
        <f>VLOOKUP($A204,'S0 remplacer avec S44'!$C:$BQ,52,0)</f>
        <v>387.8</v>
      </c>
      <c r="I204" s="115">
        <f>VLOOKUP($A204,'S0 remplacer avec S44'!$C:$BQ,59,0)</f>
        <v>0</v>
      </c>
      <c r="J204" s="115">
        <f>VLOOKUP($A204,'S0 remplacer avec S44'!$C:$BQ,60,0)</f>
        <v>0</v>
      </c>
      <c r="K204" s="107" t="e">
        <f>VLOOKUP($A204,'S45'!$C:$BQ,32,0)</f>
        <v>#N/A</v>
      </c>
      <c r="L204" s="107" t="e">
        <f>VLOOKUP($A204,'S45'!$C:$BQ,39,0)</f>
        <v>#N/A</v>
      </c>
      <c r="M204" s="107" t="e">
        <f>VLOOKUP($A204,'S45'!$C:$BQ,40,0)</f>
        <v>#N/A</v>
      </c>
      <c r="N204" s="107" t="e">
        <f>VLOOKUP($A204,'S45'!$C:$BQ,22,0)</f>
        <v>#N/A</v>
      </c>
      <c r="O204" s="115" t="e">
        <f>VLOOKUP($A204,'S45'!$C:$BQ,29,0)</f>
        <v>#N/A</v>
      </c>
      <c r="P204" s="115" t="e">
        <f>VLOOKUP($A204,'S45'!$C:$BQ,30,0)</f>
        <v>#N/A</v>
      </c>
      <c r="Q204" s="115" t="e">
        <f>VLOOKUP($A204,'S45'!$C:$BQ,52,0)</f>
        <v>#N/A</v>
      </c>
      <c r="R204" s="115" t="e">
        <f>VLOOKUP($A204,'S45'!$C:$BQ,59,0)</f>
        <v>#N/A</v>
      </c>
      <c r="S204" s="115" t="e">
        <f>VLOOKUP($A204,'S45'!$C:$BQ,60,0)</f>
        <v>#N/A</v>
      </c>
      <c r="T204" s="107" t="e">
        <f>VLOOKUP($A204,'S46'!$C:$BQ,32,0)</f>
        <v>#N/A</v>
      </c>
      <c r="U204" s="107" t="e">
        <f>VLOOKUP($A204,'S46'!$C:$BQ,39,0)</f>
        <v>#N/A</v>
      </c>
      <c r="V204" s="107" t="e">
        <f>VLOOKUP($A204,'S46'!$C:$BQ,40,0)</f>
        <v>#N/A</v>
      </c>
      <c r="W204" s="107" t="e">
        <f>VLOOKUP($A204,'S46'!$C:$BQ,22,0)</f>
        <v>#N/A</v>
      </c>
      <c r="X204" s="115" t="e">
        <f>VLOOKUP($A204,'S46'!$C:$BQ,29,0)</f>
        <v>#N/A</v>
      </c>
      <c r="Y204" s="115" t="e">
        <f>VLOOKUP($A204,'S46'!$C:$BQ,30,0)</f>
        <v>#N/A</v>
      </c>
      <c r="Z204" s="115" t="e">
        <f>VLOOKUP($A204,'S46'!$C:$BQ,52,0)</f>
        <v>#N/A</v>
      </c>
      <c r="AA204" s="115" t="e">
        <f>VLOOKUP($A204,'S46'!$C:$BQ,59,0)</f>
        <v>#N/A</v>
      </c>
      <c r="AB204" s="115" t="e">
        <f>VLOOKUP($A204,'S46'!$C:$BQ,60,0)</f>
        <v>#N/A</v>
      </c>
      <c r="AC204" s="107" t="e">
        <f>VLOOKUP($A204,'S47'!$C:$BQ,32,0)</f>
        <v>#N/A</v>
      </c>
      <c r="AD204" s="107" t="e">
        <f>VLOOKUP($A204,'S47'!$C:$BQ,39,0)</f>
        <v>#N/A</v>
      </c>
      <c r="AE204" s="107" t="e">
        <f>VLOOKUP($A204,'S47'!$C:$BQ,40,0)</f>
        <v>#N/A</v>
      </c>
      <c r="AF204" s="107" t="e">
        <f>VLOOKUP($A204,'S47'!$C:$BQ,22,0)</f>
        <v>#N/A</v>
      </c>
      <c r="AG204" s="115" t="e">
        <f>VLOOKUP($A204,'S47'!$C:$BQ,29,0)</f>
        <v>#N/A</v>
      </c>
      <c r="AH204" s="115" t="e">
        <f>VLOOKUP($A204,'S47'!$C:$BQ,30,0)</f>
        <v>#N/A</v>
      </c>
      <c r="AI204" s="115" t="e">
        <f>VLOOKUP($A204,'S47'!$C:$BQ,52,0)</f>
        <v>#N/A</v>
      </c>
      <c r="AJ204" s="115" t="e">
        <f>VLOOKUP($A204,'S47'!$C:$BQ,59,0)</f>
        <v>#N/A</v>
      </c>
      <c r="AK204" s="115" t="e">
        <f>VLOOKUP($A204,'S47'!$C:$BQ,60,0)</f>
        <v>#N/A</v>
      </c>
      <c r="AL204" s="107" t="e">
        <f>VLOOKUP($A204,'S48'!$C:$BQ,32,0)</f>
        <v>#N/A</v>
      </c>
      <c r="AM204" s="107" t="e">
        <f>VLOOKUP($A204,'S48'!$C:$BQ,39,0)</f>
        <v>#N/A</v>
      </c>
      <c r="AN204" s="107" t="e">
        <f>VLOOKUP($A204,'S48'!$C:$BQ,40,0)</f>
        <v>#N/A</v>
      </c>
      <c r="AO204" s="107" t="e">
        <f>VLOOKUP($A204,'S48'!$C:$BQ,22,0)</f>
        <v>#N/A</v>
      </c>
      <c r="AP204" s="115" t="e">
        <f>VLOOKUP($A204,'S48'!$C:$BQ,29,0)</f>
        <v>#N/A</v>
      </c>
      <c r="AQ204" s="115" t="e">
        <f>VLOOKUP($A204,'S48'!$C:$BQ,30,0)</f>
        <v>#N/A</v>
      </c>
      <c r="AR204" s="115" t="e">
        <f>VLOOKUP($A204,'S48'!$C:$BQ,52,0)</f>
        <v>#N/A</v>
      </c>
      <c r="AS204" s="115" t="e">
        <f>VLOOKUP($A204,'S48'!$C:$BQ,59,0)</f>
        <v>#N/A</v>
      </c>
      <c r="AT204" s="115" t="e">
        <f>VLOOKUP($A204,'S48'!$C:$BQ,60,0)</f>
        <v>#N/A</v>
      </c>
      <c r="AU204" s="107" t="e">
        <f>VLOOKUP($A204,'S49'!$C:$BQ,32,0)</f>
        <v>#N/A</v>
      </c>
      <c r="AV204" s="107" t="e">
        <f>VLOOKUP($A204,'S49'!$C:$BQ,39,0)</f>
        <v>#N/A</v>
      </c>
      <c r="AW204" s="107" t="e">
        <f>VLOOKUP($A204,'S49'!$C:$BQ,40,0)</f>
        <v>#N/A</v>
      </c>
      <c r="AX204" s="107" t="e">
        <f>VLOOKUP($A204,'S49'!$C:$BQ,22,0)</f>
        <v>#N/A</v>
      </c>
      <c r="AY204" s="115" t="e">
        <f>VLOOKUP($A204,'S49'!$C:$BQ,29,0)</f>
        <v>#N/A</v>
      </c>
      <c r="AZ204" s="115" t="e">
        <f>VLOOKUP($A204,'S49'!$C:$BQ,30,0)</f>
        <v>#N/A</v>
      </c>
      <c r="BA204" s="115" t="e">
        <f>VLOOKUP($A204,'S49'!$C:$BQ,52,0)</f>
        <v>#N/A</v>
      </c>
      <c r="BB204" s="115" t="e">
        <f>VLOOKUP($A204,'S49'!$C:$BQ,59,0)</f>
        <v>#N/A</v>
      </c>
      <c r="BC204" s="115" t="e">
        <f>VLOOKUP($A204,'S49'!$C:$BQ,60,0)</f>
        <v>#N/A</v>
      </c>
      <c r="BD204" s="107" t="e">
        <f>VLOOKUP($A204,'S50'!$C:$BQ,32,0)</f>
        <v>#N/A</v>
      </c>
      <c r="BE204" s="107" t="e">
        <f>VLOOKUP($A204,'S50'!$C:$BQ,39,0)</f>
        <v>#N/A</v>
      </c>
      <c r="BF204" s="107" t="e">
        <f>VLOOKUP($A204,'S50'!$C:$BQ,40,0)</f>
        <v>#N/A</v>
      </c>
      <c r="BG204" s="107" t="e">
        <f>VLOOKUP($A204,'S50'!$C:$BQ,22,0)</f>
        <v>#N/A</v>
      </c>
      <c r="BH204" s="115" t="e">
        <f>VLOOKUP($A204,'S50'!$C:$BQ,29,0)</f>
        <v>#N/A</v>
      </c>
      <c r="BI204" s="115" t="e">
        <f>VLOOKUP($A204,'S50'!$C:$BQ,30,0)</f>
        <v>#N/A</v>
      </c>
      <c r="BJ204" s="115" t="e">
        <f>VLOOKUP($A204,'S50'!$C:$BQ,52,0)</f>
        <v>#N/A</v>
      </c>
      <c r="BK204" s="115" t="e">
        <f>VLOOKUP($A204,'S50'!$C:$BQ,59,0)</f>
        <v>#N/A</v>
      </c>
      <c r="BL204" s="115" t="e">
        <f>VLOOKUP($A204,'S50'!$C:$BQ,60,0)</f>
        <v>#N/A</v>
      </c>
    </row>
    <row r="205" spans="1:64" x14ac:dyDescent="0.2">
      <c r="A205" s="106" t="s">
        <v>273</v>
      </c>
      <c r="B205" s="107">
        <f>VLOOKUP($A205,'S0 remplacer avec S44'!$C:$BQ,32,0)</f>
        <v>189.9</v>
      </c>
      <c r="C205" s="107">
        <f>VLOOKUP($A205,'S0 remplacer avec S44'!$C:$BQ,39,0)</f>
        <v>47</v>
      </c>
      <c r="D205" s="107">
        <f>VLOOKUP($A205,'S0 remplacer avec S44'!$C:$BQ,40,0)</f>
        <v>95</v>
      </c>
      <c r="E205" s="107">
        <f>VLOOKUP($A205,'S0 remplacer avec S44'!$C:$BQ,22,0)</f>
        <v>2896.0673550000001</v>
      </c>
      <c r="F205" s="115">
        <f>VLOOKUP($A205,'S0 remplacer avec S44'!$C:$BQ,29,0)</f>
        <v>0</v>
      </c>
      <c r="G205" s="115">
        <f>VLOOKUP($A205,'S0 remplacer avec S44'!$C:$BQ,30,0)</f>
        <v>0</v>
      </c>
      <c r="H205" s="115">
        <f>VLOOKUP($A205,'S0 remplacer avec S44'!$C:$BQ,52,0)</f>
        <v>127.4</v>
      </c>
      <c r="I205" s="115">
        <f>VLOOKUP($A205,'S0 remplacer avec S44'!$C:$BQ,59,0)</f>
        <v>0</v>
      </c>
      <c r="J205" s="115">
        <f>VLOOKUP($A205,'S0 remplacer avec S44'!$C:$BQ,60,0)</f>
        <v>17</v>
      </c>
      <c r="K205" s="107" t="e">
        <f>VLOOKUP($A205,'S45'!$C:$BQ,32,0)</f>
        <v>#N/A</v>
      </c>
      <c r="L205" s="107" t="e">
        <f>VLOOKUP($A205,'S45'!$C:$BQ,39,0)</f>
        <v>#N/A</v>
      </c>
      <c r="M205" s="107" t="e">
        <f>VLOOKUP($A205,'S45'!$C:$BQ,40,0)</f>
        <v>#N/A</v>
      </c>
      <c r="N205" s="107" t="e">
        <f>VLOOKUP($A205,'S45'!$C:$BQ,22,0)</f>
        <v>#N/A</v>
      </c>
      <c r="O205" s="115" t="e">
        <f>VLOOKUP($A205,'S45'!$C:$BQ,29,0)</f>
        <v>#N/A</v>
      </c>
      <c r="P205" s="115" t="e">
        <f>VLOOKUP($A205,'S45'!$C:$BQ,30,0)</f>
        <v>#N/A</v>
      </c>
      <c r="Q205" s="115" t="e">
        <f>VLOOKUP($A205,'S45'!$C:$BQ,52,0)</f>
        <v>#N/A</v>
      </c>
      <c r="R205" s="115" t="e">
        <f>VLOOKUP($A205,'S45'!$C:$BQ,59,0)</f>
        <v>#N/A</v>
      </c>
      <c r="S205" s="115" t="e">
        <f>VLOOKUP($A205,'S45'!$C:$BQ,60,0)</f>
        <v>#N/A</v>
      </c>
      <c r="T205" s="107" t="e">
        <f>VLOOKUP($A205,'S46'!$C:$BQ,32,0)</f>
        <v>#N/A</v>
      </c>
      <c r="U205" s="107" t="e">
        <f>VLOOKUP($A205,'S46'!$C:$BQ,39,0)</f>
        <v>#N/A</v>
      </c>
      <c r="V205" s="107" t="e">
        <f>VLOOKUP($A205,'S46'!$C:$BQ,40,0)</f>
        <v>#N/A</v>
      </c>
      <c r="W205" s="107" t="e">
        <f>VLOOKUP($A205,'S46'!$C:$BQ,22,0)</f>
        <v>#N/A</v>
      </c>
      <c r="X205" s="115" t="e">
        <f>VLOOKUP($A205,'S46'!$C:$BQ,29,0)</f>
        <v>#N/A</v>
      </c>
      <c r="Y205" s="115" t="e">
        <f>VLOOKUP($A205,'S46'!$C:$BQ,30,0)</f>
        <v>#N/A</v>
      </c>
      <c r="Z205" s="115" t="e">
        <f>VLOOKUP($A205,'S46'!$C:$BQ,52,0)</f>
        <v>#N/A</v>
      </c>
      <c r="AA205" s="115" t="e">
        <f>VLOOKUP($A205,'S46'!$C:$BQ,59,0)</f>
        <v>#N/A</v>
      </c>
      <c r="AB205" s="115" t="e">
        <f>VLOOKUP($A205,'S46'!$C:$BQ,60,0)</f>
        <v>#N/A</v>
      </c>
      <c r="AC205" s="107" t="e">
        <f>VLOOKUP($A205,'S47'!$C:$BQ,32,0)</f>
        <v>#N/A</v>
      </c>
      <c r="AD205" s="107" t="e">
        <f>VLOOKUP($A205,'S47'!$C:$BQ,39,0)</f>
        <v>#N/A</v>
      </c>
      <c r="AE205" s="107" t="e">
        <f>VLOOKUP($A205,'S47'!$C:$BQ,40,0)</f>
        <v>#N/A</v>
      </c>
      <c r="AF205" s="107" t="e">
        <f>VLOOKUP($A205,'S47'!$C:$BQ,22,0)</f>
        <v>#N/A</v>
      </c>
      <c r="AG205" s="115" t="e">
        <f>VLOOKUP($A205,'S47'!$C:$BQ,29,0)</f>
        <v>#N/A</v>
      </c>
      <c r="AH205" s="115" t="e">
        <f>VLOOKUP($A205,'S47'!$C:$BQ,30,0)</f>
        <v>#N/A</v>
      </c>
      <c r="AI205" s="115" t="e">
        <f>VLOOKUP($A205,'S47'!$C:$BQ,52,0)</f>
        <v>#N/A</v>
      </c>
      <c r="AJ205" s="115" t="e">
        <f>VLOOKUP($A205,'S47'!$C:$BQ,59,0)</f>
        <v>#N/A</v>
      </c>
      <c r="AK205" s="115" t="e">
        <f>VLOOKUP($A205,'S47'!$C:$BQ,60,0)</f>
        <v>#N/A</v>
      </c>
      <c r="AL205" s="107" t="e">
        <f>VLOOKUP($A205,'S48'!$C:$BQ,32,0)</f>
        <v>#N/A</v>
      </c>
      <c r="AM205" s="107" t="e">
        <f>VLOOKUP($A205,'S48'!$C:$BQ,39,0)</f>
        <v>#N/A</v>
      </c>
      <c r="AN205" s="107" t="e">
        <f>VLOOKUP($A205,'S48'!$C:$BQ,40,0)</f>
        <v>#N/A</v>
      </c>
      <c r="AO205" s="107" t="e">
        <f>VLOOKUP($A205,'S48'!$C:$BQ,22,0)</f>
        <v>#N/A</v>
      </c>
      <c r="AP205" s="115" t="e">
        <f>VLOOKUP($A205,'S48'!$C:$BQ,29,0)</f>
        <v>#N/A</v>
      </c>
      <c r="AQ205" s="115" t="e">
        <f>VLOOKUP($A205,'S48'!$C:$BQ,30,0)</f>
        <v>#N/A</v>
      </c>
      <c r="AR205" s="115" t="e">
        <f>VLOOKUP($A205,'S48'!$C:$BQ,52,0)</f>
        <v>#N/A</v>
      </c>
      <c r="AS205" s="115" t="e">
        <f>VLOOKUP($A205,'S48'!$C:$BQ,59,0)</f>
        <v>#N/A</v>
      </c>
      <c r="AT205" s="115" t="e">
        <f>VLOOKUP($A205,'S48'!$C:$BQ,60,0)</f>
        <v>#N/A</v>
      </c>
      <c r="AU205" s="107" t="e">
        <f>VLOOKUP($A205,'S49'!$C:$BQ,32,0)</f>
        <v>#N/A</v>
      </c>
      <c r="AV205" s="107" t="e">
        <f>VLOOKUP($A205,'S49'!$C:$BQ,39,0)</f>
        <v>#N/A</v>
      </c>
      <c r="AW205" s="107" t="e">
        <f>VLOOKUP($A205,'S49'!$C:$BQ,40,0)</f>
        <v>#N/A</v>
      </c>
      <c r="AX205" s="107" t="e">
        <f>VLOOKUP($A205,'S49'!$C:$BQ,22,0)</f>
        <v>#N/A</v>
      </c>
      <c r="AY205" s="115" t="e">
        <f>VLOOKUP($A205,'S49'!$C:$BQ,29,0)</f>
        <v>#N/A</v>
      </c>
      <c r="AZ205" s="115" t="e">
        <f>VLOOKUP($A205,'S49'!$C:$BQ,30,0)</f>
        <v>#N/A</v>
      </c>
      <c r="BA205" s="115" t="e">
        <f>VLOOKUP($A205,'S49'!$C:$BQ,52,0)</f>
        <v>#N/A</v>
      </c>
      <c r="BB205" s="115" t="e">
        <f>VLOOKUP($A205,'S49'!$C:$BQ,59,0)</f>
        <v>#N/A</v>
      </c>
      <c r="BC205" s="115" t="e">
        <f>VLOOKUP($A205,'S49'!$C:$BQ,60,0)</f>
        <v>#N/A</v>
      </c>
      <c r="BD205" s="107" t="e">
        <f>VLOOKUP($A205,'S50'!$C:$BQ,32,0)</f>
        <v>#N/A</v>
      </c>
      <c r="BE205" s="107" t="e">
        <f>VLOOKUP($A205,'S50'!$C:$BQ,39,0)</f>
        <v>#N/A</v>
      </c>
      <c r="BF205" s="107" t="e">
        <f>VLOOKUP($A205,'S50'!$C:$BQ,40,0)</f>
        <v>#N/A</v>
      </c>
      <c r="BG205" s="107" t="e">
        <f>VLOOKUP($A205,'S50'!$C:$BQ,22,0)</f>
        <v>#N/A</v>
      </c>
      <c r="BH205" s="115" t="e">
        <f>VLOOKUP($A205,'S50'!$C:$BQ,29,0)</f>
        <v>#N/A</v>
      </c>
      <c r="BI205" s="115" t="e">
        <f>VLOOKUP($A205,'S50'!$C:$BQ,30,0)</f>
        <v>#N/A</v>
      </c>
      <c r="BJ205" s="115" t="e">
        <f>VLOOKUP($A205,'S50'!$C:$BQ,52,0)</f>
        <v>#N/A</v>
      </c>
      <c r="BK205" s="115" t="e">
        <f>VLOOKUP($A205,'S50'!$C:$BQ,59,0)</f>
        <v>#N/A</v>
      </c>
      <c r="BL205" s="115" t="e">
        <f>VLOOKUP($A205,'S50'!$C:$BQ,60,0)</f>
        <v>#N/A</v>
      </c>
    </row>
    <row r="206" spans="1:64" x14ac:dyDescent="0.2">
      <c r="A206" s="106" t="s">
        <v>274</v>
      </c>
      <c r="B206" s="107">
        <f>VLOOKUP($A206,'S0 remplacer avec S44'!$C:$BQ,32,0)</f>
        <v>174.85</v>
      </c>
      <c r="C206" s="107">
        <f>VLOOKUP($A206,'S0 remplacer avec S44'!$C:$BQ,39,0)</f>
        <v>0</v>
      </c>
      <c r="D206" s="107">
        <f>VLOOKUP($A206,'S0 remplacer avec S44'!$C:$BQ,40,0)</f>
        <v>24</v>
      </c>
      <c r="E206" s="107">
        <f>VLOOKUP($A206,'S0 remplacer avec S44'!$C:$BQ,22,0)</f>
        <v>1477.14858</v>
      </c>
      <c r="F206" s="115">
        <f>VLOOKUP($A206,'S0 remplacer avec S44'!$C:$BQ,29,0)</f>
        <v>27</v>
      </c>
      <c r="G206" s="115">
        <f>VLOOKUP($A206,'S0 remplacer avec S44'!$C:$BQ,30,0)</f>
        <v>328</v>
      </c>
      <c r="H206" s="115">
        <f>VLOOKUP($A206,'S0 remplacer avec S44'!$C:$BQ,52,0)</f>
        <v>107</v>
      </c>
      <c r="I206" s="115">
        <f>VLOOKUP($A206,'S0 remplacer avec S44'!$C:$BQ,59,0)</f>
        <v>0</v>
      </c>
      <c r="J206" s="115">
        <f>VLOOKUP($A206,'S0 remplacer avec S44'!$C:$BQ,60,0)</f>
        <v>0</v>
      </c>
      <c r="K206" s="107" t="e">
        <f>VLOOKUP($A206,'S45'!$C:$BQ,32,0)</f>
        <v>#N/A</v>
      </c>
      <c r="L206" s="107" t="e">
        <f>VLOOKUP($A206,'S45'!$C:$BQ,39,0)</f>
        <v>#N/A</v>
      </c>
      <c r="M206" s="107" t="e">
        <f>VLOOKUP($A206,'S45'!$C:$BQ,40,0)</f>
        <v>#N/A</v>
      </c>
      <c r="N206" s="107" t="e">
        <f>VLOOKUP($A206,'S45'!$C:$BQ,22,0)</f>
        <v>#N/A</v>
      </c>
      <c r="O206" s="115" t="e">
        <f>VLOOKUP($A206,'S45'!$C:$BQ,29,0)</f>
        <v>#N/A</v>
      </c>
      <c r="P206" s="115" t="e">
        <f>VLOOKUP($A206,'S45'!$C:$BQ,30,0)</f>
        <v>#N/A</v>
      </c>
      <c r="Q206" s="115" t="e">
        <f>VLOOKUP($A206,'S45'!$C:$BQ,52,0)</f>
        <v>#N/A</v>
      </c>
      <c r="R206" s="115" t="e">
        <f>VLOOKUP($A206,'S45'!$C:$BQ,59,0)</f>
        <v>#N/A</v>
      </c>
      <c r="S206" s="115" t="e">
        <f>VLOOKUP($A206,'S45'!$C:$BQ,60,0)</f>
        <v>#N/A</v>
      </c>
      <c r="T206" s="107" t="e">
        <f>VLOOKUP($A206,'S46'!$C:$BQ,32,0)</f>
        <v>#N/A</v>
      </c>
      <c r="U206" s="107" t="e">
        <f>VLOOKUP($A206,'S46'!$C:$BQ,39,0)</f>
        <v>#N/A</v>
      </c>
      <c r="V206" s="107" t="e">
        <f>VLOOKUP($A206,'S46'!$C:$BQ,40,0)</f>
        <v>#N/A</v>
      </c>
      <c r="W206" s="107" t="e">
        <f>VLOOKUP($A206,'S46'!$C:$BQ,22,0)</f>
        <v>#N/A</v>
      </c>
      <c r="X206" s="115" t="e">
        <f>VLOOKUP($A206,'S46'!$C:$BQ,29,0)</f>
        <v>#N/A</v>
      </c>
      <c r="Y206" s="115" t="e">
        <f>VLOOKUP($A206,'S46'!$C:$BQ,30,0)</f>
        <v>#N/A</v>
      </c>
      <c r="Z206" s="115" t="e">
        <f>VLOOKUP($A206,'S46'!$C:$BQ,52,0)</f>
        <v>#N/A</v>
      </c>
      <c r="AA206" s="115" t="e">
        <f>VLOOKUP($A206,'S46'!$C:$BQ,59,0)</f>
        <v>#N/A</v>
      </c>
      <c r="AB206" s="115" t="e">
        <f>VLOOKUP($A206,'S46'!$C:$BQ,60,0)</f>
        <v>#N/A</v>
      </c>
      <c r="AC206" s="107" t="e">
        <f>VLOOKUP($A206,'S47'!$C:$BQ,32,0)</f>
        <v>#N/A</v>
      </c>
      <c r="AD206" s="107" t="e">
        <f>VLOOKUP($A206,'S47'!$C:$BQ,39,0)</f>
        <v>#N/A</v>
      </c>
      <c r="AE206" s="107" t="e">
        <f>VLOOKUP($A206,'S47'!$C:$BQ,40,0)</f>
        <v>#N/A</v>
      </c>
      <c r="AF206" s="107" t="e">
        <f>VLOOKUP($A206,'S47'!$C:$BQ,22,0)</f>
        <v>#N/A</v>
      </c>
      <c r="AG206" s="115" t="e">
        <f>VLOOKUP($A206,'S47'!$C:$BQ,29,0)</f>
        <v>#N/A</v>
      </c>
      <c r="AH206" s="115" t="e">
        <f>VLOOKUP($A206,'S47'!$C:$BQ,30,0)</f>
        <v>#N/A</v>
      </c>
      <c r="AI206" s="115" t="e">
        <f>VLOOKUP($A206,'S47'!$C:$BQ,52,0)</f>
        <v>#N/A</v>
      </c>
      <c r="AJ206" s="115" t="e">
        <f>VLOOKUP($A206,'S47'!$C:$BQ,59,0)</f>
        <v>#N/A</v>
      </c>
      <c r="AK206" s="115" t="e">
        <f>VLOOKUP($A206,'S47'!$C:$BQ,60,0)</f>
        <v>#N/A</v>
      </c>
      <c r="AL206" s="107" t="e">
        <f>VLOOKUP($A206,'S48'!$C:$BQ,32,0)</f>
        <v>#N/A</v>
      </c>
      <c r="AM206" s="107" t="e">
        <f>VLOOKUP($A206,'S48'!$C:$BQ,39,0)</f>
        <v>#N/A</v>
      </c>
      <c r="AN206" s="107" t="e">
        <f>VLOOKUP($A206,'S48'!$C:$BQ,40,0)</f>
        <v>#N/A</v>
      </c>
      <c r="AO206" s="107" t="e">
        <f>VLOOKUP($A206,'S48'!$C:$BQ,22,0)</f>
        <v>#N/A</v>
      </c>
      <c r="AP206" s="115" t="e">
        <f>VLOOKUP($A206,'S48'!$C:$BQ,29,0)</f>
        <v>#N/A</v>
      </c>
      <c r="AQ206" s="115" t="e">
        <f>VLOOKUP($A206,'S48'!$C:$BQ,30,0)</f>
        <v>#N/A</v>
      </c>
      <c r="AR206" s="115" t="e">
        <f>VLOOKUP($A206,'S48'!$C:$BQ,52,0)</f>
        <v>#N/A</v>
      </c>
      <c r="AS206" s="115" t="e">
        <f>VLOOKUP($A206,'S48'!$C:$BQ,59,0)</f>
        <v>#N/A</v>
      </c>
      <c r="AT206" s="115" t="e">
        <f>VLOOKUP($A206,'S48'!$C:$BQ,60,0)</f>
        <v>#N/A</v>
      </c>
      <c r="AU206" s="107" t="e">
        <f>VLOOKUP($A206,'S49'!$C:$BQ,32,0)</f>
        <v>#N/A</v>
      </c>
      <c r="AV206" s="107" t="e">
        <f>VLOOKUP($A206,'S49'!$C:$BQ,39,0)</f>
        <v>#N/A</v>
      </c>
      <c r="AW206" s="107" t="e">
        <f>VLOOKUP($A206,'S49'!$C:$BQ,40,0)</f>
        <v>#N/A</v>
      </c>
      <c r="AX206" s="107" t="e">
        <f>VLOOKUP($A206,'S49'!$C:$BQ,22,0)</f>
        <v>#N/A</v>
      </c>
      <c r="AY206" s="115" t="e">
        <f>VLOOKUP($A206,'S49'!$C:$BQ,29,0)</f>
        <v>#N/A</v>
      </c>
      <c r="AZ206" s="115" t="e">
        <f>VLOOKUP($A206,'S49'!$C:$BQ,30,0)</f>
        <v>#N/A</v>
      </c>
      <c r="BA206" s="115" t="e">
        <f>VLOOKUP($A206,'S49'!$C:$BQ,52,0)</f>
        <v>#N/A</v>
      </c>
      <c r="BB206" s="115" t="e">
        <f>VLOOKUP($A206,'S49'!$C:$BQ,59,0)</f>
        <v>#N/A</v>
      </c>
      <c r="BC206" s="115" t="e">
        <f>VLOOKUP($A206,'S49'!$C:$BQ,60,0)</f>
        <v>#N/A</v>
      </c>
      <c r="BD206" s="107" t="e">
        <f>VLOOKUP($A206,'S50'!$C:$BQ,32,0)</f>
        <v>#N/A</v>
      </c>
      <c r="BE206" s="107" t="e">
        <f>VLOOKUP($A206,'S50'!$C:$BQ,39,0)</f>
        <v>#N/A</v>
      </c>
      <c r="BF206" s="107" t="e">
        <f>VLOOKUP($A206,'S50'!$C:$BQ,40,0)</f>
        <v>#N/A</v>
      </c>
      <c r="BG206" s="107" t="e">
        <f>VLOOKUP($A206,'S50'!$C:$BQ,22,0)</f>
        <v>#N/A</v>
      </c>
      <c r="BH206" s="115" t="e">
        <f>VLOOKUP($A206,'S50'!$C:$BQ,29,0)</f>
        <v>#N/A</v>
      </c>
      <c r="BI206" s="115" t="e">
        <f>VLOOKUP($A206,'S50'!$C:$BQ,30,0)</f>
        <v>#N/A</v>
      </c>
      <c r="BJ206" s="115" t="e">
        <f>VLOOKUP($A206,'S50'!$C:$BQ,52,0)</f>
        <v>#N/A</v>
      </c>
      <c r="BK206" s="115" t="e">
        <f>VLOOKUP($A206,'S50'!$C:$BQ,59,0)</f>
        <v>#N/A</v>
      </c>
      <c r="BL206" s="115" t="e">
        <f>VLOOKUP($A206,'S50'!$C:$BQ,60,0)</f>
        <v>#N/A</v>
      </c>
    </row>
    <row r="207" spans="1:64" x14ac:dyDescent="0.2">
      <c r="A207" s="106" t="s">
        <v>277</v>
      </c>
      <c r="B207" s="107">
        <f>VLOOKUP($A207,'S0 remplacer avec S44'!$C:$BQ,32,0)</f>
        <v>233.25</v>
      </c>
      <c r="C207" s="107">
        <f>VLOOKUP($A207,'S0 remplacer avec S44'!$C:$BQ,39,0)</f>
        <v>10</v>
      </c>
      <c r="D207" s="107">
        <f>VLOOKUP($A207,'S0 remplacer avec S44'!$C:$BQ,40,0)</f>
        <v>58</v>
      </c>
      <c r="E207" s="107">
        <f>VLOOKUP($A207,'S0 remplacer avec S44'!$C:$BQ,22,0)</f>
        <v>3554.1077300000002</v>
      </c>
      <c r="F207" s="115">
        <f>VLOOKUP($A207,'S0 remplacer avec S44'!$C:$BQ,29,0)</f>
        <v>0</v>
      </c>
      <c r="G207" s="115">
        <f>VLOOKUP($A207,'S0 remplacer avec S44'!$C:$BQ,30,0)</f>
        <v>0</v>
      </c>
      <c r="H207" s="115">
        <f>VLOOKUP($A207,'S0 remplacer avec S44'!$C:$BQ,52,0)</f>
        <v>185.6</v>
      </c>
      <c r="I207" s="115">
        <f>VLOOKUP($A207,'S0 remplacer avec S44'!$C:$BQ,59,0)</f>
        <v>0</v>
      </c>
      <c r="J207" s="115">
        <f>VLOOKUP($A207,'S0 remplacer avec S44'!$C:$BQ,60,0)</f>
        <v>0</v>
      </c>
      <c r="K207" s="107" t="e">
        <f>VLOOKUP($A207,'S45'!$C:$BQ,32,0)</f>
        <v>#N/A</v>
      </c>
      <c r="L207" s="107" t="e">
        <f>VLOOKUP($A207,'S45'!$C:$BQ,39,0)</f>
        <v>#N/A</v>
      </c>
      <c r="M207" s="107" t="e">
        <f>VLOOKUP($A207,'S45'!$C:$BQ,40,0)</f>
        <v>#N/A</v>
      </c>
      <c r="N207" s="107" t="e">
        <f>VLOOKUP($A207,'S45'!$C:$BQ,22,0)</f>
        <v>#N/A</v>
      </c>
      <c r="O207" s="115" t="e">
        <f>VLOOKUP($A207,'S45'!$C:$BQ,29,0)</f>
        <v>#N/A</v>
      </c>
      <c r="P207" s="115" t="e">
        <f>VLOOKUP($A207,'S45'!$C:$BQ,30,0)</f>
        <v>#N/A</v>
      </c>
      <c r="Q207" s="115" t="e">
        <f>VLOOKUP($A207,'S45'!$C:$BQ,52,0)</f>
        <v>#N/A</v>
      </c>
      <c r="R207" s="115" t="e">
        <f>VLOOKUP($A207,'S45'!$C:$BQ,59,0)</f>
        <v>#N/A</v>
      </c>
      <c r="S207" s="115" t="e">
        <f>VLOOKUP($A207,'S45'!$C:$BQ,60,0)</f>
        <v>#N/A</v>
      </c>
      <c r="T207" s="107" t="e">
        <f>VLOOKUP($A207,'S46'!$C:$BQ,32,0)</f>
        <v>#N/A</v>
      </c>
      <c r="U207" s="107" t="e">
        <f>VLOOKUP($A207,'S46'!$C:$BQ,39,0)</f>
        <v>#N/A</v>
      </c>
      <c r="V207" s="107" t="e">
        <f>VLOOKUP($A207,'S46'!$C:$BQ,40,0)</f>
        <v>#N/A</v>
      </c>
      <c r="W207" s="107" t="e">
        <f>VLOOKUP($A207,'S46'!$C:$BQ,22,0)</f>
        <v>#N/A</v>
      </c>
      <c r="X207" s="115" t="e">
        <f>VLOOKUP($A207,'S46'!$C:$BQ,29,0)</f>
        <v>#N/A</v>
      </c>
      <c r="Y207" s="115" t="e">
        <f>VLOOKUP($A207,'S46'!$C:$BQ,30,0)</f>
        <v>#N/A</v>
      </c>
      <c r="Z207" s="115" t="e">
        <f>VLOOKUP($A207,'S46'!$C:$BQ,52,0)</f>
        <v>#N/A</v>
      </c>
      <c r="AA207" s="115" t="e">
        <f>VLOOKUP($A207,'S46'!$C:$BQ,59,0)</f>
        <v>#N/A</v>
      </c>
      <c r="AB207" s="115" t="e">
        <f>VLOOKUP($A207,'S46'!$C:$BQ,60,0)</f>
        <v>#N/A</v>
      </c>
      <c r="AC207" s="107" t="e">
        <f>VLOOKUP($A207,'S47'!$C:$BQ,32,0)</f>
        <v>#N/A</v>
      </c>
      <c r="AD207" s="107" t="e">
        <f>VLOOKUP($A207,'S47'!$C:$BQ,39,0)</f>
        <v>#N/A</v>
      </c>
      <c r="AE207" s="107" t="e">
        <f>VLOOKUP($A207,'S47'!$C:$BQ,40,0)</f>
        <v>#N/A</v>
      </c>
      <c r="AF207" s="107" t="e">
        <f>VLOOKUP($A207,'S47'!$C:$BQ,22,0)</f>
        <v>#N/A</v>
      </c>
      <c r="AG207" s="115" t="e">
        <f>VLOOKUP($A207,'S47'!$C:$BQ,29,0)</f>
        <v>#N/A</v>
      </c>
      <c r="AH207" s="115" t="e">
        <f>VLOOKUP($A207,'S47'!$C:$BQ,30,0)</f>
        <v>#N/A</v>
      </c>
      <c r="AI207" s="115" t="e">
        <f>VLOOKUP($A207,'S47'!$C:$BQ,52,0)</f>
        <v>#N/A</v>
      </c>
      <c r="AJ207" s="115" t="e">
        <f>VLOOKUP($A207,'S47'!$C:$BQ,59,0)</f>
        <v>#N/A</v>
      </c>
      <c r="AK207" s="115" t="e">
        <f>VLOOKUP($A207,'S47'!$C:$BQ,60,0)</f>
        <v>#N/A</v>
      </c>
      <c r="AL207" s="107" t="e">
        <f>VLOOKUP($A207,'S48'!$C:$BQ,32,0)</f>
        <v>#N/A</v>
      </c>
      <c r="AM207" s="107" t="e">
        <f>VLOOKUP($A207,'S48'!$C:$BQ,39,0)</f>
        <v>#N/A</v>
      </c>
      <c r="AN207" s="107" t="e">
        <f>VLOOKUP($A207,'S48'!$C:$BQ,40,0)</f>
        <v>#N/A</v>
      </c>
      <c r="AO207" s="107" t="e">
        <f>VLOOKUP($A207,'S48'!$C:$BQ,22,0)</f>
        <v>#N/A</v>
      </c>
      <c r="AP207" s="115" t="e">
        <f>VLOOKUP($A207,'S48'!$C:$BQ,29,0)</f>
        <v>#N/A</v>
      </c>
      <c r="AQ207" s="115" t="e">
        <f>VLOOKUP($A207,'S48'!$C:$BQ,30,0)</f>
        <v>#N/A</v>
      </c>
      <c r="AR207" s="115" t="e">
        <f>VLOOKUP($A207,'S48'!$C:$BQ,52,0)</f>
        <v>#N/A</v>
      </c>
      <c r="AS207" s="115" t="e">
        <f>VLOOKUP($A207,'S48'!$C:$BQ,59,0)</f>
        <v>#N/A</v>
      </c>
      <c r="AT207" s="115" t="e">
        <f>VLOOKUP($A207,'S48'!$C:$BQ,60,0)</f>
        <v>#N/A</v>
      </c>
      <c r="AU207" s="107" t="e">
        <f>VLOOKUP($A207,'S49'!$C:$BQ,32,0)</f>
        <v>#N/A</v>
      </c>
      <c r="AV207" s="107" t="e">
        <f>VLOOKUP($A207,'S49'!$C:$BQ,39,0)</f>
        <v>#N/A</v>
      </c>
      <c r="AW207" s="107" t="e">
        <f>VLOOKUP($A207,'S49'!$C:$BQ,40,0)</f>
        <v>#N/A</v>
      </c>
      <c r="AX207" s="107" t="e">
        <f>VLOOKUP($A207,'S49'!$C:$BQ,22,0)</f>
        <v>#N/A</v>
      </c>
      <c r="AY207" s="115" t="e">
        <f>VLOOKUP($A207,'S49'!$C:$BQ,29,0)</f>
        <v>#N/A</v>
      </c>
      <c r="AZ207" s="115" t="e">
        <f>VLOOKUP($A207,'S49'!$C:$BQ,30,0)</f>
        <v>#N/A</v>
      </c>
      <c r="BA207" s="115" t="e">
        <f>VLOOKUP($A207,'S49'!$C:$BQ,52,0)</f>
        <v>#N/A</v>
      </c>
      <c r="BB207" s="115" t="e">
        <f>VLOOKUP($A207,'S49'!$C:$BQ,59,0)</f>
        <v>#N/A</v>
      </c>
      <c r="BC207" s="115" t="e">
        <f>VLOOKUP($A207,'S49'!$C:$BQ,60,0)</f>
        <v>#N/A</v>
      </c>
      <c r="BD207" s="107" t="e">
        <f>VLOOKUP($A207,'S50'!$C:$BQ,32,0)</f>
        <v>#N/A</v>
      </c>
      <c r="BE207" s="107" t="e">
        <f>VLOOKUP($A207,'S50'!$C:$BQ,39,0)</f>
        <v>#N/A</v>
      </c>
      <c r="BF207" s="107" t="e">
        <f>VLOOKUP($A207,'S50'!$C:$BQ,40,0)</f>
        <v>#N/A</v>
      </c>
      <c r="BG207" s="107" t="e">
        <f>VLOOKUP($A207,'S50'!$C:$BQ,22,0)</f>
        <v>#N/A</v>
      </c>
      <c r="BH207" s="115" t="e">
        <f>VLOOKUP($A207,'S50'!$C:$BQ,29,0)</f>
        <v>#N/A</v>
      </c>
      <c r="BI207" s="115" t="e">
        <f>VLOOKUP($A207,'S50'!$C:$BQ,30,0)</f>
        <v>#N/A</v>
      </c>
      <c r="BJ207" s="115" t="e">
        <f>VLOOKUP($A207,'S50'!$C:$BQ,52,0)</f>
        <v>#N/A</v>
      </c>
      <c r="BK207" s="115" t="e">
        <f>VLOOKUP($A207,'S50'!$C:$BQ,59,0)</f>
        <v>#N/A</v>
      </c>
      <c r="BL207" s="115" t="e">
        <f>VLOOKUP($A207,'S50'!$C:$BQ,60,0)</f>
        <v>#N/A</v>
      </c>
    </row>
    <row r="208" spans="1:64" x14ac:dyDescent="0.2">
      <c r="A208" s="106" t="s">
        <v>278</v>
      </c>
      <c r="B208" s="107">
        <f>VLOOKUP($A208,'S0 remplacer avec S44'!$C:$BQ,32,0)</f>
        <v>126.55</v>
      </c>
      <c r="C208" s="107">
        <f>VLOOKUP($A208,'S0 remplacer avec S44'!$C:$BQ,39,0)</f>
        <v>62</v>
      </c>
      <c r="D208" s="107">
        <f>VLOOKUP($A208,'S0 remplacer avec S44'!$C:$BQ,40,0)</f>
        <v>100</v>
      </c>
      <c r="E208" s="107">
        <f>VLOOKUP($A208,'S0 remplacer avec S44'!$C:$BQ,22,0)</f>
        <v>1746.823625</v>
      </c>
      <c r="F208" s="115">
        <f>VLOOKUP($A208,'S0 remplacer avec S44'!$C:$BQ,29,0)</f>
        <v>0</v>
      </c>
      <c r="G208" s="115">
        <f>VLOOKUP($A208,'S0 remplacer avec S44'!$C:$BQ,30,0)</f>
        <v>309</v>
      </c>
      <c r="H208" s="115">
        <f>VLOOKUP($A208,'S0 remplacer avec S44'!$C:$BQ,52,0)</f>
        <v>91.8</v>
      </c>
      <c r="I208" s="115">
        <f>VLOOKUP($A208,'S0 remplacer avec S44'!$C:$BQ,59,0)</f>
        <v>4</v>
      </c>
      <c r="J208" s="115">
        <f>VLOOKUP($A208,'S0 remplacer avec S44'!$C:$BQ,60,0)</f>
        <v>23</v>
      </c>
      <c r="K208" s="107" t="e">
        <f>VLOOKUP($A208,'S45'!$C:$BQ,32,0)</f>
        <v>#N/A</v>
      </c>
      <c r="L208" s="107" t="e">
        <f>VLOOKUP($A208,'S45'!$C:$BQ,39,0)</f>
        <v>#N/A</v>
      </c>
      <c r="M208" s="107" t="e">
        <f>VLOOKUP($A208,'S45'!$C:$BQ,40,0)</f>
        <v>#N/A</v>
      </c>
      <c r="N208" s="107" t="e">
        <f>VLOOKUP($A208,'S45'!$C:$BQ,22,0)</f>
        <v>#N/A</v>
      </c>
      <c r="O208" s="115" t="e">
        <f>VLOOKUP($A208,'S45'!$C:$BQ,29,0)</f>
        <v>#N/A</v>
      </c>
      <c r="P208" s="115" t="e">
        <f>VLOOKUP($A208,'S45'!$C:$BQ,30,0)</f>
        <v>#N/A</v>
      </c>
      <c r="Q208" s="115" t="e">
        <f>VLOOKUP($A208,'S45'!$C:$BQ,52,0)</f>
        <v>#N/A</v>
      </c>
      <c r="R208" s="115" t="e">
        <f>VLOOKUP($A208,'S45'!$C:$BQ,59,0)</f>
        <v>#N/A</v>
      </c>
      <c r="S208" s="115" t="e">
        <f>VLOOKUP($A208,'S45'!$C:$BQ,60,0)</f>
        <v>#N/A</v>
      </c>
      <c r="T208" s="107" t="e">
        <f>VLOOKUP($A208,'S46'!$C:$BQ,32,0)</f>
        <v>#N/A</v>
      </c>
      <c r="U208" s="107" t="e">
        <f>VLOOKUP($A208,'S46'!$C:$BQ,39,0)</f>
        <v>#N/A</v>
      </c>
      <c r="V208" s="107" t="e">
        <f>VLOOKUP($A208,'S46'!$C:$BQ,40,0)</f>
        <v>#N/A</v>
      </c>
      <c r="W208" s="107" t="e">
        <f>VLOOKUP($A208,'S46'!$C:$BQ,22,0)</f>
        <v>#N/A</v>
      </c>
      <c r="X208" s="115" t="e">
        <f>VLOOKUP($A208,'S46'!$C:$BQ,29,0)</f>
        <v>#N/A</v>
      </c>
      <c r="Y208" s="115" t="e">
        <f>VLOOKUP($A208,'S46'!$C:$BQ,30,0)</f>
        <v>#N/A</v>
      </c>
      <c r="Z208" s="115" t="e">
        <f>VLOOKUP($A208,'S46'!$C:$BQ,52,0)</f>
        <v>#N/A</v>
      </c>
      <c r="AA208" s="115" t="e">
        <f>VLOOKUP($A208,'S46'!$C:$BQ,59,0)</f>
        <v>#N/A</v>
      </c>
      <c r="AB208" s="115" t="e">
        <f>VLOOKUP($A208,'S46'!$C:$BQ,60,0)</f>
        <v>#N/A</v>
      </c>
      <c r="AC208" s="107" t="e">
        <f>VLOOKUP($A208,'S47'!$C:$BQ,32,0)</f>
        <v>#N/A</v>
      </c>
      <c r="AD208" s="107" t="e">
        <f>VLOOKUP($A208,'S47'!$C:$BQ,39,0)</f>
        <v>#N/A</v>
      </c>
      <c r="AE208" s="107" t="e">
        <f>VLOOKUP($A208,'S47'!$C:$BQ,40,0)</f>
        <v>#N/A</v>
      </c>
      <c r="AF208" s="107" t="e">
        <f>VLOOKUP($A208,'S47'!$C:$BQ,22,0)</f>
        <v>#N/A</v>
      </c>
      <c r="AG208" s="115" t="e">
        <f>VLOOKUP($A208,'S47'!$C:$BQ,29,0)</f>
        <v>#N/A</v>
      </c>
      <c r="AH208" s="115" t="e">
        <f>VLOOKUP($A208,'S47'!$C:$BQ,30,0)</f>
        <v>#N/A</v>
      </c>
      <c r="AI208" s="115" t="e">
        <f>VLOOKUP($A208,'S47'!$C:$BQ,52,0)</f>
        <v>#N/A</v>
      </c>
      <c r="AJ208" s="115" t="e">
        <f>VLOOKUP($A208,'S47'!$C:$BQ,59,0)</f>
        <v>#N/A</v>
      </c>
      <c r="AK208" s="115" t="e">
        <f>VLOOKUP($A208,'S47'!$C:$BQ,60,0)</f>
        <v>#N/A</v>
      </c>
      <c r="AL208" s="107" t="e">
        <f>VLOOKUP($A208,'S48'!$C:$BQ,32,0)</f>
        <v>#N/A</v>
      </c>
      <c r="AM208" s="107" t="e">
        <f>VLOOKUP($A208,'S48'!$C:$BQ,39,0)</f>
        <v>#N/A</v>
      </c>
      <c r="AN208" s="107" t="e">
        <f>VLOOKUP($A208,'S48'!$C:$BQ,40,0)</f>
        <v>#N/A</v>
      </c>
      <c r="AO208" s="107" t="e">
        <f>VLOOKUP($A208,'S48'!$C:$BQ,22,0)</f>
        <v>#N/A</v>
      </c>
      <c r="AP208" s="115" t="e">
        <f>VLOOKUP($A208,'S48'!$C:$BQ,29,0)</f>
        <v>#N/A</v>
      </c>
      <c r="AQ208" s="115" t="e">
        <f>VLOOKUP($A208,'S48'!$C:$BQ,30,0)</f>
        <v>#N/A</v>
      </c>
      <c r="AR208" s="115" t="e">
        <f>VLOOKUP($A208,'S48'!$C:$BQ,52,0)</f>
        <v>#N/A</v>
      </c>
      <c r="AS208" s="115" t="e">
        <f>VLOOKUP($A208,'S48'!$C:$BQ,59,0)</f>
        <v>#N/A</v>
      </c>
      <c r="AT208" s="115" t="e">
        <f>VLOOKUP($A208,'S48'!$C:$BQ,60,0)</f>
        <v>#N/A</v>
      </c>
      <c r="AU208" s="107" t="e">
        <f>VLOOKUP($A208,'S49'!$C:$BQ,32,0)</f>
        <v>#N/A</v>
      </c>
      <c r="AV208" s="107" t="e">
        <f>VLOOKUP($A208,'S49'!$C:$BQ,39,0)</f>
        <v>#N/A</v>
      </c>
      <c r="AW208" s="107" t="e">
        <f>VLOOKUP($A208,'S49'!$C:$BQ,40,0)</f>
        <v>#N/A</v>
      </c>
      <c r="AX208" s="107" t="e">
        <f>VLOOKUP($A208,'S49'!$C:$BQ,22,0)</f>
        <v>#N/A</v>
      </c>
      <c r="AY208" s="115" t="e">
        <f>VLOOKUP($A208,'S49'!$C:$BQ,29,0)</f>
        <v>#N/A</v>
      </c>
      <c r="AZ208" s="115" t="e">
        <f>VLOOKUP($A208,'S49'!$C:$BQ,30,0)</f>
        <v>#N/A</v>
      </c>
      <c r="BA208" s="115" t="e">
        <f>VLOOKUP($A208,'S49'!$C:$BQ,52,0)</f>
        <v>#N/A</v>
      </c>
      <c r="BB208" s="115" t="e">
        <f>VLOOKUP($A208,'S49'!$C:$BQ,59,0)</f>
        <v>#N/A</v>
      </c>
      <c r="BC208" s="115" t="e">
        <f>VLOOKUP($A208,'S49'!$C:$BQ,60,0)</f>
        <v>#N/A</v>
      </c>
      <c r="BD208" s="107" t="e">
        <f>VLOOKUP($A208,'S50'!$C:$BQ,32,0)</f>
        <v>#N/A</v>
      </c>
      <c r="BE208" s="107" t="e">
        <f>VLOOKUP($A208,'S50'!$C:$BQ,39,0)</f>
        <v>#N/A</v>
      </c>
      <c r="BF208" s="107" t="e">
        <f>VLOOKUP($A208,'S50'!$C:$BQ,40,0)</f>
        <v>#N/A</v>
      </c>
      <c r="BG208" s="107" t="e">
        <f>VLOOKUP($A208,'S50'!$C:$BQ,22,0)</f>
        <v>#N/A</v>
      </c>
      <c r="BH208" s="115" t="e">
        <f>VLOOKUP($A208,'S50'!$C:$BQ,29,0)</f>
        <v>#N/A</v>
      </c>
      <c r="BI208" s="115" t="e">
        <f>VLOOKUP($A208,'S50'!$C:$BQ,30,0)</f>
        <v>#N/A</v>
      </c>
      <c r="BJ208" s="115" t="e">
        <f>VLOOKUP($A208,'S50'!$C:$BQ,52,0)</f>
        <v>#N/A</v>
      </c>
      <c r="BK208" s="115" t="e">
        <f>VLOOKUP($A208,'S50'!$C:$BQ,59,0)</f>
        <v>#N/A</v>
      </c>
      <c r="BL208" s="115" t="e">
        <f>VLOOKUP($A208,'S50'!$C:$BQ,60,0)</f>
        <v>#N/A</v>
      </c>
    </row>
    <row r="209" spans="1:64" x14ac:dyDescent="0.2">
      <c r="A209" s="106" t="s">
        <v>279</v>
      </c>
      <c r="B209" s="107">
        <f>VLOOKUP($A209,'S0 remplacer avec S44'!$C:$BQ,32,0)</f>
        <v>125.5</v>
      </c>
      <c r="C209" s="107">
        <f>VLOOKUP($A209,'S0 remplacer avec S44'!$C:$BQ,39,0)</f>
        <v>85</v>
      </c>
      <c r="D209" s="107">
        <f>VLOOKUP($A209,'S0 remplacer avec S44'!$C:$BQ,40,0)</f>
        <v>127</v>
      </c>
      <c r="E209" s="107">
        <f>VLOOKUP($A209,'S0 remplacer avec S44'!$C:$BQ,22,0)</f>
        <v>2727.9404199999999</v>
      </c>
      <c r="F209" s="115">
        <f>VLOOKUP($A209,'S0 remplacer avec S44'!$C:$BQ,29,0)</f>
        <v>0</v>
      </c>
      <c r="G209" s="115">
        <f>VLOOKUP($A209,'S0 remplacer avec S44'!$C:$BQ,30,0)</f>
        <v>0</v>
      </c>
      <c r="H209" s="115">
        <f>VLOOKUP($A209,'S0 remplacer avec S44'!$C:$BQ,52,0)</f>
        <v>93.2</v>
      </c>
      <c r="I209" s="115">
        <f>VLOOKUP($A209,'S0 remplacer avec S44'!$C:$BQ,59,0)</f>
        <v>14</v>
      </c>
      <c r="J209" s="115">
        <f>VLOOKUP($A209,'S0 remplacer avec S44'!$C:$BQ,60,0)</f>
        <v>35</v>
      </c>
      <c r="K209" s="107" t="e">
        <f>VLOOKUP($A209,'S45'!$C:$BQ,32,0)</f>
        <v>#N/A</v>
      </c>
      <c r="L209" s="107" t="e">
        <f>VLOOKUP($A209,'S45'!$C:$BQ,39,0)</f>
        <v>#N/A</v>
      </c>
      <c r="M209" s="107" t="e">
        <f>VLOOKUP($A209,'S45'!$C:$BQ,40,0)</f>
        <v>#N/A</v>
      </c>
      <c r="N209" s="107" t="e">
        <f>VLOOKUP($A209,'S45'!$C:$BQ,22,0)</f>
        <v>#N/A</v>
      </c>
      <c r="O209" s="115" t="e">
        <f>VLOOKUP($A209,'S45'!$C:$BQ,29,0)</f>
        <v>#N/A</v>
      </c>
      <c r="P209" s="115" t="e">
        <f>VLOOKUP($A209,'S45'!$C:$BQ,30,0)</f>
        <v>#N/A</v>
      </c>
      <c r="Q209" s="115" t="e">
        <f>VLOOKUP($A209,'S45'!$C:$BQ,52,0)</f>
        <v>#N/A</v>
      </c>
      <c r="R209" s="115" t="e">
        <f>VLOOKUP($A209,'S45'!$C:$BQ,59,0)</f>
        <v>#N/A</v>
      </c>
      <c r="S209" s="115" t="e">
        <f>VLOOKUP($A209,'S45'!$C:$BQ,60,0)</f>
        <v>#N/A</v>
      </c>
      <c r="T209" s="107" t="e">
        <f>VLOOKUP($A209,'S46'!$C:$BQ,32,0)</f>
        <v>#N/A</v>
      </c>
      <c r="U209" s="107" t="e">
        <f>VLOOKUP($A209,'S46'!$C:$BQ,39,0)</f>
        <v>#N/A</v>
      </c>
      <c r="V209" s="107" t="e">
        <f>VLOOKUP($A209,'S46'!$C:$BQ,40,0)</f>
        <v>#N/A</v>
      </c>
      <c r="W209" s="107" t="e">
        <f>VLOOKUP($A209,'S46'!$C:$BQ,22,0)</f>
        <v>#N/A</v>
      </c>
      <c r="X209" s="115" t="e">
        <f>VLOOKUP($A209,'S46'!$C:$BQ,29,0)</f>
        <v>#N/A</v>
      </c>
      <c r="Y209" s="115" t="e">
        <f>VLOOKUP($A209,'S46'!$C:$BQ,30,0)</f>
        <v>#N/A</v>
      </c>
      <c r="Z209" s="115" t="e">
        <f>VLOOKUP($A209,'S46'!$C:$BQ,52,0)</f>
        <v>#N/A</v>
      </c>
      <c r="AA209" s="115" t="e">
        <f>VLOOKUP($A209,'S46'!$C:$BQ,59,0)</f>
        <v>#N/A</v>
      </c>
      <c r="AB209" s="115" t="e">
        <f>VLOOKUP($A209,'S46'!$C:$BQ,60,0)</f>
        <v>#N/A</v>
      </c>
      <c r="AC209" s="107" t="e">
        <f>VLOOKUP($A209,'S47'!$C:$BQ,32,0)</f>
        <v>#N/A</v>
      </c>
      <c r="AD209" s="107" t="e">
        <f>VLOOKUP($A209,'S47'!$C:$BQ,39,0)</f>
        <v>#N/A</v>
      </c>
      <c r="AE209" s="107" t="e">
        <f>VLOOKUP($A209,'S47'!$C:$BQ,40,0)</f>
        <v>#N/A</v>
      </c>
      <c r="AF209" s="107" t="e">
        <f>VLOOKUP($A209,'S47'!$C:$BQ,22,0)</f>
        <v>#N/A</v>
      </c>
      <c r="AG209" s="115" t="e">
        <f>VLOOKUP($A209,'S47'!$C:$BQ,29,0)</f>
        <v>#N/A</v>
      </c>
      <c r="AH209" s="115" t="e">
        <f>VLOOKUP($A209,'S47'!$C:$BQ,30,0)</f>
        <v>#N/A</v>
      </c>
      <c r="AI209" s="115" t="e">
        <f>VLOOKUP($A209,'S47'!$C:$BQ,52,0)</f>
        <v>#N/A</v>
      </c>
      <c r="AJ209" s="115" t="e">
        <f>VLOOKUP($A209,'S47'!$C:$BQ,59,0)</f>
        <v>#N/A</v>
      </c>
      <c r="AK209" s="115" t="e">
        <f>VLOOKUP($A209,'S47'!$C:$BQ,60,0)</f>
        <v>#N/A</v>
      </c>
      <c r="AL209" s="107" t="e">
        <f>VLOOKUP($A209,'S48'!$C:$BQ,32,0)</f>
        <v>#N/A</v>
      </c>
      <c r="AM209" s="107" t="e">
        <f>VLOOKUP($A209,'S48'!$C:$BQ,39,0)</f>
        <v>#N/A</v>
      </c>
      <c r="AN209" s="107" t="e">
        <f>VLOOKUP($A209,'S48'!$C:$BQ,40,0)</f>
        <v>#N/A</v>
      </c>
      <c r="AO209" s="107" t="e">
        <f>VLOOKUP($A209,'S48'!$C:$BQ,22,0)</f>
        <v>#N/A</v>
      </c>
      <c r="AP209" s="115" t="e">
        <f>VLOOKUP($A209,'S48'!$C:$BQ,29,0)</f>
        <v>#N/A</v>
      </c>
      <c r="AQ209" s="115" t="e">
        <f>VLOOKUP($A209,'S48'!$C:$BQ,30,0)</f>
        <v>#N/A</v>
      </c>
      <c r="AR209" s="115" t="e">
        <f>VLOOKUP($A209,'S48'!$C:$BQ,52,0)</f>
        <v>#N/A</v>
      </c>
      <c r="AS209" s="115" t="e">
        <f>VLOOKUP($A209,'S48'!$C:$BQ,59,0)</f>
        <v>#N/A</v>
      </c>
      <c r="AT209" s="115" t="e">
        <f>VLOOKUP($A209,'S48'!$C:$BQ,60,0)</f>
        <v>#N/A</v>
      </c>
      <c r="AU209" s="107" t="e">
        <f>VLOOKUP($A209,'S49'!$C:$BQ,32,0)</f>
        <v>#N/A</v>
      </c>
      <c r="AV209" s="107" t="e">
        <f>VLOOKUP($A209,'S49'!$C:$BQ,39,0)</f>
        <v>#N/A</v>
      </c>
      <c r="AW209" s="107" t="e">
        <f>VLOOKUP($A209,'S49'!$C:$BQ,40,0)</f>
        <v>#N/A</v>
      </c>
      <c r="AX209" s="107" t="e">
        <f>VLOOKUP($A209,'S49'!$C:$BQ,22,0)</f>
        <v>#N/A</v>
      </c>
      <c r="AY209" s="115" t="e">
        <f>VLOOKUP($A209,'S49'!$C:$BQ,29,0)</f>
        <v>#N/A</v>
      </c>
      <c r="AZ209" s="115" t="e">
        <f>VLOOKUP($A209,'S49'!$C:$BQ,30,0)</f>
        <v>#N/A</v>
      </c>
      <c r="BA209" s="115" t="e">
        <f>VLOOKUP($A209,'S49'!$C:$BQ,52,0)</f>
        <v>#N/A</v>
      </c>
      <c r="BB209" s="115" t="e">
        <f>VLOOKUP($A209,'S49'!$C:$BQ,59,0)</f>
        <v>#N/A</v>
      </c>
      <c r="BC209" s="115" t="e">
        <f>VLOOKUP($A209,'S49'!$C:$BQ,60,0)</f>
        <v>#N/A</v>
      </c>
      <c r="BD209" s="107" t="e">
        <f>VLOOKUP($A209,'S50'!$C:$BQ,32,0)</f>
        <v>#N/A</v>
      </c>
      <c r="BE209" s="107" t="e">
        <f>VLOOKUP($A209,'S50'!$C:$BQ,39,0)</f>
        <v>#N/A</v>
      </c>
      <c r="BF209" s="107" t="e">
        <f>VLOOKUP($A209,'S50'!$C:$BQ,40,0)</f>
        <v>#N/A</v>
      </c>
      <c r="BG209" s="107" t="e">
        <f>VLOOKUP($A209,'S50'!$C:$BQ,22,0)</f>
        <v>#N/A</v>
      </c>
      <c r="BH209" s="115" t="e">
        <f>VLOOKUP($A209,'S50'!$C:$BQ,29,0)</f>
        <v>#N/A</v>
      </c>
      <c r="BI209" s="115" t="e">
        <f>VLOOKUP($A209,'S50'!$C:$BQ,30,0)</f>
        <v>#N/A</v>
      </c>
      <c r="BJ209" s="115" t="e">
        <f>VLOOKUP($A209,'S50'!$C:$BQ,52,0)</f>
        <v>#N/A</v>
      </c>
      <c r="BK209" s="115" t="e">
        <f>VLOOKUP($A209,'S50'!$C:$BQ,59,0)</f>
        <v>#N/A</v>
      </c>
      <c r="BL209" s="115" t="e">
        <f>VLOOKUP($A209,'S50'!$C:$BQ,60,0)</f>
        <v>#N/A</v>
      </c>
    </row>
    <row r="210" spans="1:64" x14ac:dyDescent="0.2">
      <c r="A210" s="106" t="s">
        <v>280</v>
      </c>
      <c r="B210" s="107">
        <f>VLOOKUP($A210,'S0 remplacer avec S44'!$C:$BQ,32,0)</f>
        <v>233.2</v>
      </c>
      <c r="C210" s="107">
        <f>VLOOKUP($A210,'S0 remplacer avec S44'!$C:$BQ,39,0)</f>
        <v>3</v>
      </c>
      <c r="D210" s="107">
        <f>VLOOKUP($A210,'S0 remplacer avec S44'!$C:$BQ,40,0)</f>
        <v>51</v>
      </c>
      <c r="E210" s="107">
        <f>VLOOKUP($A210,'S0 remplacer avec S44'!$C:$BQ,22,0)</f>
        <v>1895.7929549999999</v>
      </c>
      <c r="F210" s="115">
        <f>VLOOKUP($A210,'S0 remplacer avec S44'!$C:$BQ,29,0)</f>
        <v>253</v>
      </c>
      <c r="G210" s="115">
        <f>VLOOKUP($A210,'S0 remplacer avec S44'!$C:$BQ,30,0)</f>
        <v>682</v>
      </c>
      <c r="H210" s="115">
        <f>VLOOKUP($A210,'S0 remplacer avec S44'!$C:$BQ,52,0)</f>
        <v>132</v>
      </c>
      <c r="I210" s="115">
        <f>VLOOKUP($A210,'S0 remplacer avec S44'!$C:$BQ,59,0)</f>
        <v>0</v>
      </c>
      <c r="J210" s="115">
        <f>VLOOKUP($A210,'S0 remplacer avec S44'!$C:$BQ,60,0)</f>
        <v>12</v>
      </c>
      <c r="K210" s="107" t="e">
        <f>VLOOKUP($A210,'S45'!$C:$BQ,32,0)</f>
        <v>#N/A</v>
      </c>
      <c r="L210" s="107" t="e">
        <f>VLOOKUP($A210,'S45'!$C:$BQ,39,0)</f>
        <v>#N/A</v>
      </c>
      <c r="M210" s="107" t="e">
        <f>VLOOKUP($A210,'S45'!$C:$BQ,40,0)</f>
        <v>#N/A</v>
      </c>
      <c r="N210" s="107" t="e">
        <f>VLOOKUP($A210,'S45'!$C:$BQ,22,0)</f>
        <v>#N/A</v>
      </c>
      <c r="O210" s="115" t="e">
        <f>VLOOKUP($A210,'S45'!$C:$BQ,29,0)</f>
        <v>#N/A</v>
      </c>
      <c r="P210" s="115" t="e">
        <f>VLOOKUP($A210,'S45'!$C:$BQ,30,0)</f>
        <v>#N/A</v>
      </c>
      <c r="Q210" s="115" t="e">
        <f>VLOOKUP($A210,'S45'!$C:$BQ,52,0)</f>
        <v>#N/A</v>
      </c>
      <c r="R210" s="115" t="e">
        <f>VLOOKUP($A210,'S45'!$C:$BQ,59,0)</f>
        <v>#N/A</v>
      </c>
      <c r="S210" s="115" t="e">
        <f>VLOOKUP($A210,'S45'!$C:$BQ,60,0)</f>
        <v>#N/A</v>
      </c>
      <c r="T210" s="107" t="e">
        <f>VLOOKUP($A210,'S46'!$C:$BQ,32,0)</f>
        <v>#N/A</v>
      </c>
      <c r="U210" s="107" t="e">
        <f>VLOOKUP($A210,'S46'!$C:$BQ,39,0)</f>
        <v>#N/A</v>
      </c>
      <c r="V210" s="107" t="e">
        <f>VLOOKUP($A210,'S46'!$C:$BQ,40,0)</f>
        <v>#N/A</v>
      </c>
      <c r="W210" s="107" t="e">
        <f>VLOOKUP($A210,'S46'!$C:$BQ,22,0)</f>
        <v>#N/A</v>
      </c>
      <c r="X210" s="115" t="e">
        <f>VLOOKUP($A210,'S46'!$C:$BQ,29,0)</f>
        <v>#N/A</v>
      </c>
      <c r="Y210" s="115" t="e">
        <f>VLOOKUP($A210,'S46'!$C:$BQ,30,0)</f>
        <v>#N/A</v>
      </c>
      <c r="Z210" s="115" t="e">
        <f>VLOOKUP($A210,'S46'!$C:$BQ,52,0)</f>
        <v>#N/A</v>
      </c>
      <c r="AA210" s="115" t="e">
        <f>VLOOKUP($A210,'S46'!$C:$BQ,59,0)</f>
        <v>#N/A</v>
      </c>
      <c r="AB210" s="115" t="e">
        <f>VLOOKUP($A210,'S46'!$C:$BQ,60,0)</f>
        <v>#N/A</v>
      </c>
      <c r="AC210" s="107" t="e">
        <f>VLOOKUP($A210,'S47'!$C:$BQ,32,0)</f>
        <v>#N/A</v>
      </c>
      <c r="AD210" s="107" t="e">
        <f>VLOOKUP($A210,'S47'!$C:$BQ,39,0)</f>
        <v>#N/A</v>
      </c>
      <c r="AE210" s="107" t="e">
        <f>VLOOKUP($A210,'S47'!$C:$BQ,40,0)</f>
        <v>#N/A</v>
      </c>
      <c r="AF210" s="107" t="e">
        <f>VLOOKUP($A210,'S47'!$C:$BQ,22,0)</f>
        <v>#N/A</v>
      </c>
      <c r="AG210" s="115" t="e">
        <f>VLOOKUP($A210,'S47'!$C:$BQ,29,0)</f>
        <v>#N/A</v>
      </c>
      <c r="AH210" s="115" t="e">
        <f>VLOOKUP($A210,'S47'!$C:$BQ,30,0)</f>
        <v>#N/A</v>
      </c>
      <c r="AI210" s="115" t="e">
        <f>VLOOKUP($A210,'S47'!$C:$BQ,52,0)</f>
        <v>#N/A</v>
      </c>
      <c r="AJ210" s="115" t="e">
        <f>VLOOKUP($A210,'S47'!$C:$BQ,59,0)</f>
        <v>#N/A</v>
      </c>
      <c r="AK210" s="115" t="e">
        <f>VLOOKUP($A210,'S47'!$C:$BQ,60,0)</f>
        <v>#N/A</v>
      </c>
      <c r="AL210" s="107" t="e">
        <f>VLOOKUP($A210,'S48'!$C:$BQ,32,0)</f>
        <v>#N/A</v>
      </c>
      <c r="AM210" s="107" t="e">
        <f>VLOOKUP($A210,'S48'!$C:$BQ,39,0)</f>
        <v>#N/A</v>
      </c>
      <c r="AN210" s="107" t="e">
        <f>VLOOKUP($A210,'S48'!$C:$BQ,40,0)</f>
        <v>#N/A</v>
      </c>
      <c r="AO210" s="107" t="e">
        <f>VLOOKUP($A210,'S48'!$C:$BQ,22,0)</f>
        <v>#N/A</v>
      </c>
      <c r="AP210" s="115" t="e">
        <f>VLOOKUP($A210,'S48'!$C:$BQ,29,0)</f>
        <v>#N/A</v>
      </c>
      <c r="AQ210" s="115" t="e">
        <f>VLOOKUP($A210,'S48'!$C:$BQ,30,0)</f>
        <v>#N/A</v>
      </c>
      <c r="AR210" s="115" t="e">
        <f>VLOOKUP($A210,'S48'!$C:$BQ,52,0)</f>
        <v>#N/A</v>
      </c>
      <c r="AS210" s="115" t="e">
        <f>VLOOKUP($A210,'S48'!$C:$BQ,59,0)</f>
        <v>#N/A</v>
      </c>
      <c r="AT210" s="115" t="e">
        <f>VLOOKUP($A210,'S48'!$C:$BQ,60,0)</f>
        <v>#N/A</v>
      </c>
      <c r="AU210" s="107" t="e">
        <f>VLOOKUP($A210,'S49'!$C:$BQ,32,0)</f>
        <v>#N/A</v>
      </c>
      <c r="AV210" s="107" t="e">
        <f>VLOOKUP($A210,'S49'!$C:$BQ,39,0)</f>
        <v>#N/A</v>
      </c>
      <c r="AW210" s="107" t="e">
        <f>VLOOKUP($A210,'S49'!$C:$BQ,40,0)</f>
        <v>#N/A</v>
      </c>
      <c r="AX210" s="107" t="e">
        <f>VLOOKUP($A210,'S49'!$C:$BQ,22,0)</f>
        <v>#N/A</v>
      </c>
      <c r="AY210" s="115" t="e">
        <f>VLOOKUP($A210,'S49'!$C:$BQ,29,0)</f>
        <v>#N/A</v>
      </c>
      <c r="AZ210" s="115" t="e">
        <f>VLOOKUP($A210,'S49'!$C:$BQ,30,0)</f>
        <v>#N/A</v>
      </c>
      <c r="BA210" s="115" t="e">
        <f>VLOOKUP($A210,'S49'!$C:$BQ,52,0)</f>
        <v>#N/A</v>
      </c>
      <c r="BB210" s="115" t="e">
        <f>VLOOKUP($A210,'S49'!$C:$BQ,59,0)</f>
        <v>#N/A</v>
      </c>
      <c r="BC210" s="115" t="e">
        <f>VLOOKUP($A210,'S49'!$C:$BQ,60,0)</f>
        <v>#N/A</v>
      </c>
      <c r="BD210" s="107" t="e">
        <f>VLOOKUP($A210,'S50'!$C:$BQ,32,0)</f>
        <v>#N/A</v>
      </c>
      <c r="BE210" s="107" t="e">
        <f>VLOOKUP($A210,'S50'!$C:$BQ,39,0)</f>
        <v>#N/A</v>
      </c>
      <c r="BF210" s="107" t="e">
        <f>VLOOKUP($A210,'S50'!$C:$BQ,40,0)</f>
        <v>#N/A</v>
      </c>
      <c r="BG210" s="107" t="e">
        <f>VLOOKUP($A210,'S50'!$C:$BQ,22,0)</f>
        <v>#N/A</v>
      </c>
      <c r="BH210" s="115" t="e">
        <f>VLOOKUP($A210,'S50'!$C:$BQ,29,0)</f>
        <v>#N/A</v>
      </c>
      <c r="BI210" s="115" t="e">
        <f>VLOOKUP($A210,'S50'!$C:$BQ,30,0)</f>
        <v>#N/A</v>
      </c>
      <c r="BJ210" s="115" t="e">
        <f>VLOOKUP($A210,'S50'!$C:$BQ,52,0)</f>
        <v>#N/A</v>
      </c>
      <c r="BK210" s="115" t="e">
        <f>VLOOKUP($A210,'S50'!$C:$BQ,59,0)</f>
        <v>#N/A</v>
      </c>
      <c r="BL210" s="115" t="e">
        <f>VLOOKUP($A210,'S50'!$C:$BQ,60,0)</f>
        <v>#N/A</v>
      </c>
    </row>
    <row r="211" spans="1:64" x14ac:dyDescent="0.2">
      <c r="A211" s="106" t="s">
        <v>281</v>
      </c>
      <c r="B211" s="107">
        <f>VLOOKUP($A211,'S0 remplacer avec S44'!$C:$BQ,32,0)</f>
        <v>82.5</v>
      </c>
      <c r="C211" s="107">
        <f>VLOOKUP($A211,'S0 remplacer avec S44'!$C:$BQ,39,0)</f>
        <v>114</v>
      </c>
      <c r="D211" s="107">
        <f>VLOOKUP($A211,'S0 remplacer avec S44'!$C:$BQ,40,0)</f>
        <v>153</v>
      </c>
      <c r="E211" s="107">
        <f>VLOOKUP($A211,'S0 remplacer avec S44'!$C:$BQ,22,0)</f>
        <v>1870.383435</v>
      </c>
      <c r="F211" s="115">
        <f>VLOOKUP($A211,'S0 remplacer avec S44'!$C:$BQ,29,0)</f>
        <v>0</v>
      </c>
      <c r="G211" s="115">
        <f>VLOOKUP($A211,'S0 remplacer avec S44'!$C:$BQ,30,0)</f>
        <v>268</v>
      </c>
      <c r="H211" s="115">
        <f>VLOOKUP($A211,'S0 remplacer avec S44'!$C:$BQ,52,0)</f>
        <v>62.6</v>
      </c>
      <c r="I211" s="115">
        <f>VLOOKUP($A211,'S0 remplacer avec S44'!$C:$BQ,59,0)</f>
        <v>37</v>
      </c>
      <c r="J211" s="115">
        <f>VLOOKUP($A211,'S0 remplacer avec S44'!$C:$BQ,60,0)</f>
        <v>57</v>
      </c>
      <c r="K211" s="107" t="e">
        <f>VLOOKUP($A211,'S45'!$C:$BQ,32,0)</f>
        <v>#N/A</v>
      </c>
      <c r="L211" s="107" t="e">
        <f>VLOOKUP($A211,'S45'!$C:$BQ,39,0)</f>
        <v>#N/A</v>
      </c>
      <c r="M211" s="107" t="e">
        <f>VLOOKUP($A211,'S45'!$C:$BQ,40,0)</f>
        <v>#N/A</v>
      </c>
      <c r="N211" s="107" t="e">
        <f>VLOOKUP($A211,'S45'!$C:$BQ,22,0)</f>
        <v>#N/A</v>
      </c>
      <c r="O211" s="115" t="e">
        <f>VLOOKUP($A211,'S45'!$C:$BQ,29,0)</f>
        <v>#N/A</v>
      </c>
      <c r="P211" s="115" t="e">
        <f>VLOOKUP($A211,'S45'!$C:$BQ,30,0)</f>
        <v>#N/A</v>
      </c>
      <c r="Q211" s="115" t="e">
        <f>VLOOKUP($A211,'S45'!$C:$BQ,52,0)</f>
        <v>#N/A</v>
      </c>
      <c r="R211" s="115" t="e">
        <f>VLOOKUP($A211,'S45'!$C:$BQ,59,0)</f>
        <v>#N/A</v>
      </c>
      <c r="S211" s="115" t="e">
        <f>VLOOKUP($A211,'S45'!$C:$BQ,60,0)</f>
        <v>#N/A</v>
      </c>
      <c r="T211" s="107" t="e">
        <f>VLOOKUP($A211,'S46'!$C:$BQ,32,0)</f>
        <v>#N/A</v>
      </c>
      <c r="U211" s="107" t="e">
        <f>VLOOKUP($A211,'S46'!$C:$BQ,39,0)</f>
        <v>#N/A</v>
      </c>
      <c r="V211" s="107" t="e">
        <f>VLOOKUP($A211,'S46'!$C:$BQ,40,0)</f>
        <v>#N/A</v>
      </c>
      <c r="W211" s="107" t="e">
        <f>VLOOKUP($A211,'S46'!$C:$BQ,22,0)</f>
        <v>#N/A</v>
      </c>
      <c r="X211" s="115" t="e">
        <f>VLOOKUP($A211,'S46'!$C:$BQ,29,0)</f>
        <v>#N/A</v>
      </c>
      <c r="Y211" s="115" t="e">
        <f>VLOOKUP($A211,'S46'!$C:$BQ,30,0)</f>
        <v>#N/A</v>
      </c>
      <c r="Z211" s="115" t="e">
        <f>VLOOKUP($A211,'S46'!$C:$BQ,52,0)</f>
        <v>#N/A</v>
      </c>
      <c r="AA211" s="115" t="e">
        <f>VLOOKUP($A211,'S46'!$C:$BQ,59,0)</f>
        <v>#N/A</v>
      </c>
      <c r="AB211" s="115" t="e">
        <f>VLOOKUP($A211,'S46'!$C:$BQ,60,0)</f>
        <v>#N/A</v>
      </c>
      <c r="AC211" s="107" t="e">
        <f>VLOOKUP($A211,'S47'!$C:$BQ,32,0)</f>
        <v>#N/A</v>
      </c>
      <c r="AD211" s="107" t="e">
        <f>VLOOKUP($A211,'S47'!$C:$BQ,39,0)</f>
        <v>#N/A</v>
      </c>
      <c r="AE211" s="107" t="e">
        <f>VLOOKUP($A211,'S47'!$C:$BQ,40,0)</f>
        <v>#N/A</v>
      </c>
      <c r="AF211" s="107" t="e">
        <f>VLOOKUP($A211,'S47'!$C:$BQ,22,0)</f>
        <v>#N/A</v>
      </c>
      <c r="AG211" s="115" t="e">
        <f>VLOOKUP($A211,'S47'!$C:$BQ,29,0)</f>
        <v>#N/A</v>
      </c>
      <c r="AH211" s="115" t="e">
        <f>VLOOKUP($A211,'S47'!$C:$BQ,30,0)</f>
        <v>#N/A</v>
      </c>
      <c r="AI211" s="115" t="e">
        <f>VLOOKUP($A211,'S47'!$C:$BQ,52,0)</f>
        <v>#N/A</v>
      </c>
      <c r="AJ211" s="115" t="e">
        <f>VLOOKUP($A211,'S47'!$C:$BQ,59,0)</f>
        <v>#N/A</v>
      </c>
      <c r="AK211" s="115" t="e">
        <f>VLOOKUP($A211,'S47'!$C:$BQ,60,0)</f>
        <v>#N/A</v>
      </c>
      <c r="AL211" s="107" t="e">
        <f>VLOOKUP($A211,'S48'!$C:$BQ,32,0)</f>
        <v>#N/A</v>
      </c>
      <c r="AM211" s="107" t="e">
        <f>VLOOKUP($A211,'S48'!$C:$BQ,39,0)</f>
        <v>#N/A</v>
      </c>
      <c r="AN211" s="107" t="e">
        <f>VLOOKUP($A211,'S48'!$C:$BQ,40,0)</f>
        <v>#N/A</v>
      </c>
      <c r="AO211" s="107" t="e">
        <f>VLOOKUP($A211,'S48'!$C:$BQ,22,0)</f>
        <v>#N/A</v>
      </c>
      <c r="AP211" s="115" t="e">
        <f>VLOOKUP($A211,'S48'!$C:$BQ,29,0)</f>
        <v>#N/A</v>
      </c>
      <c r="AQ211" s="115" t="e">
        <f>VLOOKUP($A211,'S48'!$C:$BQ,30,0)</f>
        <v>#N/A</v>
      </c>
      <c r="AR211" s="115" t="e">
        <f>VLOOKUP($A211,'S48'!$C:$BQ,52,0)</f>
        <v>#N/A</v>
      </c>
      <c r="AS211" s="115" t="e">
        <f>VLOOKUP($A211,'S48'!$C:$BQ,59,0)</f>
        <v>#N/A</v>
      </c>
      <c r="AT211" s="115" t="e">
        <f>VLOOKUP($A211,'S48'!$C:$BQ,60,0)</f>
        <v>#N/A</v>
      </c>
      <c r="AU211" s="107" t="e">
        <f>VLOOKUP($A211,'S49'!$C:$BQ,32,0)</f>
        <v>#N/A</v>
      </c>
      <c r="AV211" s="107" t="e">
        <f>VLOOKUP($A211,'S49'!$C:$BQ,39,0)</f>
        <v>#N/A</v>
      </c>
      <c r="AW211" s="107" t="e">
        <f>VLOOKUP($A211,'S49'!$C:$BQ,40,0)</f>
        <v>#N/A</v>
      </c>
      <c r="AX211" s="107" t="e">
        <f>VLOOKUP($A211,'S49'!$C:$BQ,22,0)</f>
        <v>#N/A</v>
      </c>
      <c r="AY211" s="115" t="e">
        <f>VLOOKUP($A211,'S49'!$C:$BQ,29,0)</f>
        <v>#N/A</v>
      </c>
      <c r="AZ211" s="115" t="e">
        <f>VLOOKUP($A211,'S49'!$C:$BQ,30,0)</f>
        <v>#N/A</v>
      </c>
      <c r="BA211" s="115" t="e">
        <f>VLOOKUP($A211,'S49'!$C:$BQ,52,0)</f>
        <v>#N/A</v>
      </c>
      <c r="BB211" s="115" t="e">
        <f>VLOOKUP($A211,'S49'!$C:$BQ,59,0)</f>
        <v>#N/A</v>
      </c>
      <c r="BC211" s="115" t="e">
        <f>VLOOKUP($A211,'S49'!$C:$BQ,60,0)</f>
        <v>#N/A</v>
      </c>
      <c r="BD211" s="107" t="e">
        <f>VLOOKUP($A211,'S50'!$C:$BQ,32,0)</f>
        <v>#N/A</v>
      </c>
      <c r="BE211" s="107" t="e">
        <f>VLOOKUP($A211,'S50'!$C:$BQ,39,0)</f>
        <v>#N/A</v>
      </c>
      <c r="BF211" s="107" t="e">
        <f>VLOOKUP($A211,'S50'!$C:$BQ,40,0)</f>
        <v>#N/A</v>
      </c>
      <c r="BG211" s="107" t="e">
        <f>VLOOKUP($A211,'S50'!$C:$BQ,22,0)</f>
        <v>#N/A</v>
      </c>
      <c r="BH211" s="115" t="e">
        <f>VLOOKUP($A211,'S50'!$C:$BQ,29,0)</f>
        <v>#N/A</v>
      </c>
      <c r="BI211" s="115" t="e">
        <f>VLOOKUP($A211,'S50'!$C:$BQ,30,0)</f>
        <v>#N/A</v>
      </c>
      <c r="BJ211" s="115" t="e">
        <f>VLOOKUP($A211,'S50'!$C:$BQ,52,0)</f>
        <v>#N/A</v>
      </c>
      <c r="BK211" s="115" t="e">
        <f>VLOOKUP($A211,'S50'!$C:$BQ,59,0)</f>
        <v>#N/A</v>
      </c>
      <c r="BL211" s="115" t="e">
        <f>VLOOKUP($A211,'S50'!$C:$BQ,60,0)</f>
        <v>#N/A</v>
      </c>
    </row>
    <row r="212" spans="1:64" x14ac:dyDescent="0.2">
      <c r="A212" s="106" t="s">
        <v>282</v>
      </c>
      <c r="B212" s="107">
        <f>VLOOKUP($A212,'S0 remplacer avec S44'!$C:$BQ,32,0)</f>
        <v>132.44999999999999</v>
      </c>
      <c r="C212" s="107">
        <f>VLOOKUP($A212,'S0 remplacer avec S44'!$C:$BQ,39,0)</f>
        <v>104</v>
      </c>
      <c r="D212" s="107">
        <f>VLOOKUP($A212,'S0 remplacer avec S44'!$C:$BQ,40,0)</f>
        <v>151</v>
      </c>
      <c r="E212" s="107">
        <f>VLOOKUP($A212,'S0 remplacer avec S44'!$C:$BQ,22,0)</f>
        <v>2035.99938</v>
      </c>
      <c r="F212" s="115">
        <f>VLOOKUP($A212,'S0 remplacer avec S44'!$C:$BQ,29,0)</f>
        <v>112</v>
      </c>
      <c r="G212" s="115">
        <f>VLOOKUP($A212,'S0 remplacer avec S44'!$C:$BQ,30,0)</f>
        <v>541</v>
      </c>
      <c r="H212" s="115">
        <f>VLOOKUP($A212,'S0 remplacer avec S44'!$C:$BQ,52,0)</f>
        <v>149</v>
      </c>
      <c r="I212" s="115">
        <f>VLOOKUP($A212,'S0 remplacer avec S44'!$C:$BQ,59,0)</f>
        <v>0</v>
      </c>
      <c r="J212" s="115">
        <f>VLOOKUP($A212,'S0 remplacer avec S44'!$C:$BQ,60,0)</f>
        <v>0</v>
      </c>
      <c r="K212" s="107" t="e">
        <f>VLOOKUP($A212,'S45'!$C:$BQ,32,0)</f>
        <v>#N/A</v>
      </c>
      <c r="L212" s="107" t="e">
        <f>VLOOKUP($A212,'S45'!$C:$BQ,39,0)</f>
        <v>#N/A</v>
      </c>
      <c r="M212" s="107" t="e">
        <f>VLOOKUP($A212,'S45'!$C:$BQ,40,0)</f>
        <v>#N/A</v>
      </c>
      <c r="N212" s="107" t="e">
        <f>VLOOKUP($A212,'S45'!$C:$BQ,22,0)</f>
        <v>#N/A</v>
      </c>
      <c r="O212" s="115" t="e">
        <f>VLOOKUP($A212,'S45'!$C:$BQ,29,0)</f>
        <v>#N/A</v>
      </c>
      <c r="P212" s="115" t="e">
        <f>VLOOKUP($A212,'S45'!$C:$BQ,30,0)</f>
        <v>#N/A</v>
      </c>
      <c r="Q212" s="115" t="e">
        <f>VLOOKUP($A212,'S45'!$C:$BQ,52,0)</f>
        <v>#N/A</v>
      </c>
      <c r="R212" s="115" t="e">
        <f>VLOOKUP($A212,'S45'!$C:$BQ,59,0)</f>
        <v>#N/A</v>
      </c>
      <c r="S212" s="115" t="e">
        <f>VLOOKUP($A212,'S45'!$C:$BQ,60,0)</f>
        <v>#N/A</v>
      </c>
      <c r="T212" s="107" t="e">
        <f>VLOOKUP($A212,'S46'!$C:$BQ,32,0)</f>
        <v>#N/A</v>
      </c>
      <c r="U212" s="107" t="e">
        <f>VLOOKUP($A212,'S46'!$C:$BQ,39,0)</f>
        <v>#N/A</v>
      </c>
      <c r="V212" s="107" t="e">
        <f>VLOOKUP($A212,'S46'!$C:$BQ,40,0)</f>
        <v>#N/A</v>
      </c>
      <c r="W212" s="107" t="e">
        <f>VLOOKUP($A212,'S46'!$C:$BQ,22,0)</f>
        <v>#N/A</v>
      </c>
      <c r="X212" s="115" t="e">
        <f>VLOOKUP($A212,'S46'!$C:$BQ,29,0)</f>
        <v>#N/A</v>
      </c>
      <c r="Y212" s="115" t="e">
        <f>VLOOKUP($A212,'S46'!$C:$BQ,30,0)</f>
        <v>#N/A</v>
      </c>
      <c r="Z212" s="115" t="e">
        <f>VLOOKUP($A212,'S46'!$C:$BQ,52,0)</f>
        <v>#N/A</v>
      </c>
      <c r="AA212" s="115" t="e">
        <f>VLOOKUP($A212,'S46'!$C:$BQ,59,0)</f>
        <v>#N/A</v>
      </c>
      <c r="AB212" s="115" t="e">
        <f>VLOOKUP($A212,'S46'!$C:$BQ,60,0)</f>
        <v>#N/A</v>
      </c>
      <c r="AC212" s="107" t="e">
        <f>VLOOKUP($A212,'S47'!$C:$BQ,32,0)</f>
        <v>#N/A</v>
      </c>
      <c r="AD212" s="107" t="e">
        <f>VLOOKUP($A212,'S47'!$C:$BQ,39,0)</f>
        <v>#N/A</v>
      </c>
      <c r="AE212" s="107" t="e">
        <f>VLOOKUP($A212,'S47'!$C:$BQ,40,0)</f>
        <v>#N/A</v>
      </c>
      <c r="AF212" s="107" t="e">
        <f>VLOOKUP($A212,'S47'!$C:$BQ,22,0)</f>
        <v>#N/A</v>
      </c>
      <c r="AG212" s="115" t="e">
        <f>VLOOKUP($A212,'S47'!$C:$BQ,29,0)</f>
        <v>#N/A</v>
      </c>
      <c r="AH212" s="115" t="e">
        <f>VLOOKUP($A212,'S47'!$C:$BQ,30,0)</f>
        <v>#N/A</v>
      </c>
      <c r="AI212" s="115" t="e">
        <f>VLOOKUP($A212,'S47'!$C:$BQ,52,0)</f>
        <v>#N/A</v>
      </c>
      <c r="AJ212" s="115" t="e">
        <f>VLOOKUP($A212,'S47'!$C:$BQ,59,0)</f>
        <v>#N/A</v>
      </c>
      <c r="AK212" s="115" t="e">
        <f>VLOOKUP($A212,'S47'!$C:$BQ,60,0)</f>
        <v>#N/A</v>
      </c>
      <c r="AL212" s="107" t="e">
        <f>VLOOKUP($A212,'S48'!$C:$BQ,32,0)</f>
        <v>#N/A</v>
      </c>
      <c r="AM212" s="107" t="e">
        <f>VLOOKUP($A212,'S48'!$C:$BQ,39,0)</f>
        <v>#N/A</v>
      </c>
      <c r="AN212" s="107" t="e">
        <f>VLOOKUP($A212,'S48'!$C:$BQ,40,0)</f>
        <v>#N/A</v>
      </c>
      <c r="AO212" s="107" t="e">
        <f>VLOOKUP($A212,'S48'!$C:$BQ,22,0)</f>
        <v>#N/A</v>
      </c>
      <c r="AP212" s="115" t="e">
        <f>VLOOKUP($A212,'S48'!$C:$BQ,29,0)</f>
        <v>#N/A</v>
      </c>
      <c r="AQ212" s="115" t="e">
        <f>VLOOKUP($A212,'S48'!$C:$BQ,30,0)</f>
        <v>#N/A</v>
      </c>
      <c r="AR212" s="115" t="e">
        <f>VLOOKUP($A212,'S48'!$C:$BQ,52,0)</f>
        <v>#N/A</v>
      </c>
      <c r="AS212" s="115" t="e">
        <f>VLOOKUP($A212,'S48'!$C:$BQ,59,0)</f>
        <v>#N/A</v>
      </c>
      <c r="AT212" s="115" t="e">
        <f>VLOOKUP($A212,'S48'!$C:$BQ,60,0)</f>
        <v>#N/A</v>
      </c>
      <c r="AU212" s="107" t="e">
        <f>VLOOKUP($A212,'S49'!$C:$BQ,32,0)</f>
        <v>#N/A</v>
      </c>
      <c r="AV212" s="107" t="e">
        <f>VLOOKUP($A212,'S49'!$C:$BQ,39,0)</f>
        <v>#N/A</v>
      </c>
      <c r="AW212" s="107" t="e">
        <f>VLOOKUP($A212,'S49'!$C:$BQ,40,0)</f>
        <v>#N/A</v>
      </c>
      <c r="AX212" s="107" t="e">
        <f>VLOOKUP($A212,'S49'!$C:$BQ,22,0)</f>
        <v>#N/A</v>
      </c>
      <c r="AY212" s="115" t="e">
        <f>VLOOKUP($A212,'S49'!$C:$BQ,29,0)</f>
        <v>#N/A</v>
      </c>
      <c r="AZ212" s="115" t="e">
        <f>VLOOKUP($A212,'S49'!$C:$BQ,30,0)</f>
        <v>#N/A</v>
      </c>
      <c r="BA212" s="115" t="e">
        <f>VLOOKUP($A212,'S49'!$C:$BQ,52,0)</f>
        <v>#N/A</v>
      </c>
      <c r="BB212" s="115" t="e">
        <f>VLOOKUP($A212,'S49'!$C:$BQ,59,0)</f>
        <v>#N/A</v>
      </c>
      <c r="BC212" s="115" t="e">
        <f>VLOOKUP($A212,'S49'!$C:$BQ,60,0)</f>
        <v>#N/A</v>
      </c>
      <c r="BD212" s="107" t="e">
        <f>VLOOKUP($A212,'S50'!$C:$BQ,32,0)</f>
        <v>#N/A</v>
      </c>
      <c r="BE212" s="107" t="e">
        <f>VLOOKUP($A212,'S50'!$C:$BQ,39,0)</f>
        <v>#N/A</v>
      </c>
      <c r="BF212" s="107" t="e">
        <f>VLOOKUP($A212,'S50'!$C:$BQ,40,0)</f>
        <v>#N/A</v>
      </c>
      <c r="BG212" s="107" t="e">
        <f>VLOOKUP($A212,'S50'!$C:$BQ,22,0)</f>
        <v>#N/A</v>
      </c>
      <c r="BH212" s="115" t="e">
        <f>VLOOKUP($A212,'S50'!$C:$BQ,29,0)</f>
        <v>#N/A</v>
      </c>
      <c r="BI212" s="115" t="e">
        <f>VLOOKUP($A212,'S50'!$C:$BQ,30,0)</f>
        <v>#N/A</v>
      </c>
      <c r="BJ212" s="115" t="e">
        <f>VLOOKUP($A212,'S50'!$C:$BQ,52,0)</f>
        <v>#N/A</v>
      </c>
      <c r="BK212" s="115" t="e">
        <f>VLOOKUP($A212,'S50'!$C:$BQ,59,0)</f>
        <v>#N/A</v>
      </c>
      <c r="BL212" s="115" t="e">
        <f>VLOOKUP($A212,'S50'!$C:$BQ,60,0)</f>
        <v>#N/A</v>
      </c>
    </row>
    <row r="213" spans="1:64" x14ac:dyDescent="0.2">
      <c r="A213" s="106" t="s">
        <v>283</v>
      </c>
      <c r="B213" s="107">
        <f>VLOOKUP($A213,'S0 remplacer avec S44'!$C:$BQ,32,0)</f>
        <v>204.1</v>
      </c>
      <c r="C213" s="107">
        <f>VLOOKUP($A213,'S0 remplacer avec S44'!$C:$BQ,39,0)</f>
        <v>105</v>
      </c>
      <c r="D213" s="107">
        <f>VLOOKUP($A213,'S0 remplacer avec S44'!$C:$BQ,40,0)</f>
        <v>167</v>
      </c>
      <c r="E213" s="107">
        <f>VLOOKUP($A213,'S0 remplacer avec S44'!$C:$BQ,22,0)</f>
        <v>2943.4045099999998</v>
      </c>
      <c r="F213" s="115">
        <f>VLOOKUP($A213,'S0 remplacer avec S44'!$C:$BQ,29,0)</f>
        <v>0</v>
      </c>
      <c r="G213" s="115">
        <f>VLOOKUP($A213,'S0 remplacer avec S44'!$C:$BQ,30,0)</f>
        <v>424</v>
      </c>
      <c r="H213" s="115">
        <f>VLOOKUP($A213,'S0 remplacer avec S44'!$C:$BQ,52,0)</f>
        <v>190.2</v>
      </c>
      <c r="I213" s="115">
        <f>VLOOKUP($A213,'S0 remplacer avec S44'!$C:$BQ,59,0)</f>
        <v>0</v>
      </c>
      <c r="J213" s="115">
        <f>VLOOKUP($A213,'S0 remplacer avec S44'!$C:$BQ,60,0)</f>
        <v>0</v>
      </c>
      <c r="K213" s="107" t="e">
        <f>VLOOKUP($A213,'S45'!$C:$BQ,32,0)</f>
        <v>#N/A</v>
      </c>
      <c r="L213" s="107" t="e">
        <f>VLOOKUP($A213,'S45'!$C:$BQ,39,0)</f>
        <v>#N/A</v>
      </c>
      <c r="M213" s="107" t="e">
        <f>VLOOKUP($A213,'S45'!$C:$BQ,40,0)</f>
        <v>#N/A</v>
      </c>
      <c r="N213" s="107" t="e">
        <f>VLOOKUP($A213,'S45'!$C:$BQ,22,0)</f>
        <v>#N/A</v>
      </c>
      <c r="O213" s="115" t="e">
        <f>VLOOKUP($A213,'S45'!$C:$BQ,29,0)</f>
        <v>#N/A</v>
      </c>
      <c r="P213" s="115" t="e">
        <f>VLOOKUP($A213,'S45'!$C:$BQ,30,0)</f>
        <v>#N/A</v>
      </c>
      <c r="Q213" s="115" t="e">
        <f>VLOOKUP($A213,'S45'!$C:$BQ,52,0)</f>
        <v>#N/A</v>
      </c>
      <c r="R213" s="115" t="e">
        <f>VLOOKUP($A213,'S45'!$C:$BQ,59,0)</f>
        <v>#N/A</v>
      </c>
      <c r="S213" s="115" t="e">
        <f>VLOOKUP($A213,'S45'!$C:$BQ,60,0)</f>
        <v>#N/A</v>
      </c>
      <c r="T213" s="107" t="e">
        <f>VLOOKUP($A213,'S46'!$C:$BQ,32,0)</f>
        <v>#N/A</v>
      </c>
      <c r="U213" s="107" t="e">
        <f>VLOOKUP($A213,'S46'!$C:$BQ,39,0)</f>
        <v>#N/A</v>
      </c>
      <c r="V213" s="107" t="e">
        <f>VLOOKUP($A213,'S46'!$C:$BQ,40,0)</f>
        <v>#N/A</v>
      </c>
      <c r="W213" s="107" t="e">
        <f>VLOOKUP($A213,'S46'!$C:$BQ,22,0)</f>
        <v>#N/A</v>
      </c>
      <c r="X213" s="115" t="e">
        <f>VLOOKUP($A213,'S46'!$C:$BQ,29,0)</f>
        <v>#N/A</v>
      </c>
      <c r="Y213" s="115" t="e">
        <f>VLOOKUP($A213,'S46'!$C:$BQ,30,0)</f>
        <v>#N/A</v>
      </c>
      <c r="Z213" s="115" t="e">
        <f>VLOOKUP($A213,'S46'!$C:$BQ,52,0)</f>
        <v>#N/A</v>
      </c>
      <c r="AA213" s="115" t="e">
        <f>VLOOKUP($A213,'S46'!$C:$BQ,59,0)</f>
        <v>#N/A</v>
      </c>
      <c r="AB213" s="115" t="e">
        <f>VLOOKUP($A213,'S46'!$C:$BQ,60,0)</f>
        <v>#N/A</v>
      </c>
      <c r="AC213" s="107" t="e">
        <f>VLOOKUP($A213,'S47'!$C:$BQ,32,0)</f>
        <v>#N/A</v>
      </c>
      <c r="AD213" s="107" t="e">
        <f>VLOOKUP($A213,'S47'!$C:$BQ,39,0)</f>
        <v>#N/A</v>
      </c>
      <c r="AE213" s="107" t="e">
        <f>VLOOKUP($A213,'S47'!$C:$BQ,40,0)</f>
        <v>#N/A</v>
      </c>
      <c r="AF213" s="107" t="e">
        <f>VLOOKUP($A213,'S47'!$C:$BQ,22,0)</f>
        <v>#N/A</v>
      </c>
      <c r="AG213" s="115" t="e">
        <f>VLOOKUP($A213,'S47'!$C:$BQ,29,0)</f>
        <v>#N/A</v>
      </c>
      <c r="AH213" s="115" t="e">
        <f>VLOOKUP($A213,'S47'!$C:$BQ,30,0)</f>
        <v>#N/A</v>
      </c>
      <c r="AI213" s="115" t="e">
        <f>VLOOKUP($A213,'S47'!$C:$BQ,52,0)</f>
        <v>#N/A</v>
      </c>
      <c r="AJ213" s="115" t="e">
        <f>VLOOKUP($A213,'S47'!$C:$BQ,59,0)</f>
        <v>#N/A</v>
      </c>
      <c r="AK213" s="115" t="e">
        <f>VLOOKUP($A213,'S47'!$C:$BQ,60,0)</f>
        <v>#N/A</v>
      </c>
      <c r="AL213" s="107" t="e">
        <f>VLOOKUP($A213,'S48'!$C:$BQ,32,0)</f>
        <v>#N/A</v>
      </c>
      <c r="AM213" s="107" t="e">
        <f>VLOOKUP($A213,'S48'!$C:$BQ,39,0)</f>
        <v>#N/A</v>
      </c>
      <c r="AN213" s="107" t="e">
        <f>VLOOKUP($A213,'S48'!$C:$BQ,40,0)</f>
        <v>#N/A</v>
      </c>
      <c r="AO213" s="107" t="e">
        <f>VLOOKUP($A213,'S48'!$C:$BQ,22,0)</f>
        <v>#N/A</v>
      </c>
      <c r="AP213" s="115" t="e">
        <f>VLOOKUP($A213,'S48'!$C:$BQ,29,0)</f>
        <v>#N/A</v>
      </c>
      <c r="AQ213" s="115" t="e">
        <f>VLOOKUP($A213,'S48'!$C:$BQ,30,0)</f>
        <v>#N/A</v>
      </c>
      <c r="AR213" s="115" t="e">
        <f>VLOOKUP($A213,'S48'!$C:$BQ,52,0)</f>
        <v>#N/A</v>
      </c>
      <c r="AS213" s="115" t="e">
        <f>VLOOKUP($A213,'S48'!$C:$BQ,59,0)</f>
        <v>#N/A</v>
      </c>
      <c r="AT213" s="115" t="e">
        <f>VLOOKUP($A213,'S48'!$C:$BQ,60,0)</f>
        <v>#N/A</v>
      </c>
      <c r="AU213" s="107" t="e">
        <f>VLOOKUP($A213,'S49'!$C:$BQ,32,0)</f>
        <v>#N/A</v>
      </c>
      <c r="AV213" s="107" t="e">
        <f>VLOOKUP($A213,'S49'!$C:$BQ,39,0)</f>
        <v>#N/A</v>
      </c>
      <c r="AW213" s="107" t="e">
        <f>VLOOKUP($A213,'S49'!$C:$BQ,40,0)</f>
        <v>#N/A</v>
      </c>
      <c r="AX213" s="107" t="e">
        <f>VLOOKUP($A213,'S49'!$C:$BQ,22,0)</f>
        <v>#N/A</v>
      </c>
      <c r="AY213" s="115" t="e">
        <f>VLOOKUP($A213,'S49'!$C:$BQ,29,0)</f>
        <v>#N/A</v>
      </c>
      <c r="AZ213" s="115" t="e">
        <f>VLOOKUP($A213,'S49'!$C:$BQ,30,0)</f>
        <v>#N/A</v>
      </c>
      <c r="BA213" s="115" t="e">
        <f>VLOOKUP($A213,'S49'!$C:$BQ,52,0)</f>
        <v>#N/A</v>
      </c>
      <c r="BB213" s="115" t="e">
        <f>VLOOKUP($A213,'S49'!$C:$BQ,59,0)</f>
        <v>#N/A</v>
      </c>
      <c r="BC213" s="115" t="e">
        <f>VLOOKUP($A213,'S49'!$C:$BQ,60,0)</f>
        <v>#N/A</v>
      </c>
      <c r="BD213" s="107" t="e">
        <f>VLOOKUP($A213,'S50'!$C:$BQ,32,0)</f>
        <v>#N/A</v>
      </c>
      <c r="BE213" s="107" t="e">
        <f>VLOOKUP($A213,'S50'!$C:$BQ,39,0)</f>
        <v>#N/A</v>
      </c>
      <c r="BF213" s="107" t="e">
        <f>VLOOKUP($A213,'S50'!$C:$BQ,40,0)</f>
        <v>#N/A</v>
      </c>
      <c r="BG213" s="107" t="e">
        <f>VLOOKUP($A213,'S50'!$C:$BQ,22,0)</f>
        <v>#N/A</v>
      </c>
      <c r="BH213" s="115" t="e">
        <f>VLOOKUP($A213,'S50'!$C:$BQ,29,0)</f>
        <v>#N/A</v>
      </c>
      <c r="BI213" s="115" t="e">
        <f>VLOOKUP($A213,'S50'!$C:$BQ,30,0)</f>
        <v>#N/A</v>
      </c>
      <c r="BJ213" s="115" t="e">
        <f>VLOOKUP($A213,'S50'!$C:$BQ,52,0)</f>
        <v>#N/A</v>
      </c>
      <c r="BK213" s="115" t="e">
        <f>VLOOKUP($A213,'S50'!$C:$BQ,59,0)</f>
        <v>#N/A</v>
      </c>
      <c r="BL213" s="115" t="e">
        <f>VLOOKUP($A213,'S50'!$C:$BQ,60,0)</f>
        <v>#N/A</v>
      </c>
    </row>
    <row r="214" spans="1:64" x14ac:dyDescent="0.2">
      <c r="A214" s="106" t="s">
        <v>284</v>
      </c>
      <c r="B214" s="107">
        <f>VLOOKUP($A214,'S0 remplacer avec S44'!$C:$BQ,32,0)</f>
        <v>111.55</v>
      </c>
      <c r="C214" s="107">
        <f>VLOOKUP($A214,'S0 remplacer avec S44'!$C:$BQ,39,0)</f>
        <v>70</v>
      </c>
      <c r="D214" s="107">
        <f>VLOOKUP($A214,'S0 remplacer avec S44'!$C:$BQ,40,0)</f>
        <v>106</v>
      </c>
      <c r="E214" s="107">
        <f>VLOOKUP($A214,'S0 remplacer avec S44'!$C:$BQ,22,0)</f>
        <v>1856.9513850000001</v>
      </c>
      <c r="F214" s="115">
        <f>VLOOKUP($A214,'S0 remplacer avec S44'!$C:$BQ,29,0)</f>
        <v>0</v>
      </c>
      <c r="G214" s="115">
        <f>VLOOKUP($A214,'S0 remplacer avec S44'!$C:$BQ,30,0)</f>
        <v>120</v>
      </c>
      <c r="H214" s="115">
        <f>VLOOKUP($A214,'S0 remplacer avec S44'!$C:$BQ,52,0)</f>
        <v>73</v>
      </c>
      <c r="I214" s="115">
        <f>VLOOKUP($A214,'S0 remplacer avec S44'!$C:$BQ,59,0)</f>
        <v>20</v>
      </c>
      <c r="J214" s="115">
        <f>VLOOKUP($A214,'S0 remplacer avec S44'!$C:$BQ,60,0)</f>
        <v>38</v>
      </c>
      <c r="K214" s="107" t="e">
        <f>VLOOKUP($A214,'S45'!$C:$BQ,32,0)</f>
        <v>#N/A</v>
      </c>
      <c r="L214" s="107" t="e">
        <f>VLOOKUP($A214,'S45'!$C:$BQ,39,0)</f>
        <v>#N/A</v>
      </c>
      <c r="M214" s="107" t="e">
        <f>VLOOKUP($A214,'S45'!$C:$BQ,40,0)</f>
        <v>#N/A</v>
      </c>
      <c r="N214" s="107" t="e">
        <f>VLOOKUP($A214,'S45'!$C:$BQ,22,0)</f>
        <v>#N/A</v>
      </c>
      <c r="O214" s="115" t="e">
        <f>VLOOKUP($A214,'S45'!$C:$BQ,29,0)</f>
        <v>#N/A</v>
      </c>
      <c r="P214" s="115" t="e">
        <f>VLOOKUP($A214,'S45'!$C:$BQ,30,0)</f>
        <v>#N/A</v>
      </c>
      <c r="Q214" s="115" t="e">
        <f>VLOOKUP($A214,'S45'!$C:$BQ,52,0)</f>
        <v>#N/A</v>
      </c>
      <c r="R214" s="115" t="e">
        <f>VLOOKUP($A214,'S45'!$C:$BQ,59,0)</f>
        <v>#N/A</v>
      </c>
      <c r="S214" s="115" t="e">
        <f>VLOOKUP($A214,'S45'!$C:$BQ,60,0)</f>
        <v>#N/A</v>
      </c>
      <c r="T214" s="107" t="e">
        <f>VLOOKUP($A214,'S46'!$C:$BQ,32,0)</f>
        <v>#N/A</v>
      </c>
      <c r="U214" s="107" t="e">
        <f>VLOOKUP($A214,'S46'!$C:$BQ,39,0)</f>
        <v>#N/A</v>
      </c>
      <c r="V214" s="107" t="e">
        <f>VLOOKUP($A214,'S46'!$C:$BQ,40,0)</f>
        <v>#N/A</v>
      </c>
      <c r="W214" s="107" t="e">
        <f>VLOOKUP($A214,'S46'!$C:$BQ,22,0)</f>
        <v>#N/A</v>
      </c>
      <c r="X214" s="115" t="e">
        <f>VLOOKUP($A214,'S46'!$C:$BQ,29,0)</f>
        <v>#N/A</v>
      </c>
      <c r="Y214" s="115" t="e">
        <f>VLOOKUP($A214,'S46'!$C:$BQ,30,0)</f>
        <v>#N/A</v>
      </c>
      <c r="Z214" s="115" t="e">
        <f>VLOOKUP($A214,'S46'!$C:$BQ,52,0)</f>
        <v>#N/A</v>
      </c>
      <c r="AA214" s="115" t="e">
        <f>VLOOKUP($A214,'S46'!$C:$BQ,59,0)</f>
        <v>#N/A</v>
      </c>
      <c r="AB214" s="115" t="e">
        <f>VLOOKUP($A214,'S46'!$C:$BQ,60,0)</f>
        <v>#N/A</v>
      </c>
      <c r="AC214" s="107" t="e">
        <f>VLOOKUP($A214,'S47'!$C:$BQ,32,0)</f>
        <v>#N/A</v>
      </c>
      <c r="AD214" s="107" t="e">
        <f>VLOOKUP($A214,'S47'!$C:$BQ,39,0)</f>
        <v>#N/A</v>
      </c>
      <c r="AE214" s="107" t="e">
        <f>VLOOKUP($A214,'S47'!$C:$BQ,40,0)</f>
        <v>#N/A</v>
      </c>
      <c r="AF214" s="107" t="e">
        <f>VLOOKUP($A214,'S47'!$C:$BQ,22,0)</f>
        <v>#N/A</v>
      </c>
      <c r="AG214" s="115" t="e">
        <f>VLOOKUP($A214,'S47'!$C:$BQ,29,0)</f>
        <v>#N/A</v>
      </c>
      <c r="AH214" s="115" t="e">
        <f>VLOOKUP($A214,'S47'!$C:$BQ,30,0)</f>
        <v>#N/A</v>
      </c>
      <c r="AI214" s="115" t="e">
        <f>VLOOKUP($A214,'S47'!$C:$BQ,52,0)</f>
        <v>#N/A</v>
      </c>
      <c r="AJ214" s="115" t="e">
        <f>VLOOKUP($A214,'S47'!$C:$BQ,59,0)</f>
        <v>#N/A</v>
      </c>
      <c r="AK214" s="115" t="e">
        <f>VLOOKUP($A214,'S47'!$C:$BQ,60,0)</f>
        <v>#N/A</v>
      </c>
      <c r="AL214" s="107" t="e">
        <f>VLOOKUP($A214,'S48'!$C:$BQ,32,0)</f>
        <v>#N/A</v>
      </c>
      <c r="AM214" s="107" t="e">
        <f>VLOOKUP($A214,'S48'!$C:$BQ,39,0)</f>
        <v>#N/A</v>
      </c>
      <c r="AN214" s="107" t="e">
        <f>VLOOKUP($A214,'S48'!$C:$BQ,40,0)</f>
        <v>#N/A</v>
      </c>
      <c r="AO214" s="107" t="e">
        <f>VLOOKUP($A214,'S48'!$C:$BQ,22,0)</f>
        <v>#N/A</v>
      </c>
      <c r="AP214" s="115" t="e">
        <f>VLOOKUP($A214,'S48'!$C:$BQ,29,0)</f>
        <v>#N/A</v>
      </c>
      <c r="AQ214" s="115" t="e">
        <f>VLOOKUP($A214,'S48'!$C:$BQ,30,0)</f>
        <v>#N/A</v>
      </c>
      <c r="AR214" s="115" t="e">
        <f>VLOOKUP($A214,'S48'!$C:$BQ,52,0)</f>
        <v>#N/A</v>
      </c>
      <c r="AS214" s="115" t="e">
        <f>VLOOKUP($A214,'S48'!$C:$BQ,59,0)</f>
        <v>#N/A</v>
      </c>
      <c r="AT214" s="115" t="e">
        <f>VLOOKUP($A214,'S48'!$C:$BQ,60,0)</f>
        <v>#N/A</v>
      </c>
      <c r="AU214" s="107" t="e">
        <f>VLOOKUP($A214,'S49'!$C:$BQ,32,0)</f>
        <v>#N/A</v>
      </c>
      <c r="AV214" s="107" t="e">
        <f>VLOOKUP($A214,'S49'!$C:$BQ,39,0)</f>
        <v>#N/A</v>
      </c>
      <c r="AW214" s="107" t="e">
        <f>VLOOKUP($A214,'S49'!$C:$BQ,40,0)</f>
        <v>#N/A</v>
      </c>
      <c r="AX214" s="107" t="e">
        <f>VLOOKUP($A214,'S49'!$C:$BQ,22,0)</f>
        <v>#N/A</v>
      </c>
      <c r="AY214" s="115" t="e">
        <f>VLOOKUP($A214,'S49'!$C:$BQ,29,0)</f>
        <v>#N/A</v>
      </c>
      <c r="AZ214" s="115" t="e">
        <f>VLOOKUP($A214,'S49'!$C:$BQ,30,0)</f>
        <v>#N/A</v>
      </c>
      <c r="BA214" s="115" t="e">
        <f>VLOOKUP($A214,'S49'!$C:$BQ,52,0)</f>
        <v>#N/A</v>
      </c>
      <c r="BB214" s="115" t="e">
        <f>VLOOKUP($A214,'S49'!$C:$BQ,59,0)</f>
        <v>#N/A</v>
      </c>
      <c r="BC214" s="115" t="e">
        <f>VLOOKUP($A214,'S49'!$C:$BQ,60,0)</f>
        <v>#N/A</v>
      </c>
      <c r="BD214" s="107" t="e">
        <f>VLOOKUP($A214,'S50'!$C:$BQ,32,0)</f>
        <v>#N/A</v>
      </c>
      <c r="BE214" s="107" t="e">
        <f>VLOOKUP($A214,'S50'!$C:$BQ,39,0)</f>
        <v>#N/A</v>
      </c>
      <c r="BF214" s="107" t="e">
        <f>VLOOKUP($A214,'S50'!$C:$BQ,40,0)</f>
        <v>#N/A</v>
      </c>
      <c r="BG214" s="107" t="e">
        <f>VLOOKUP($A214,'S50'!$C:$BQ,22,0)</f>
        <v>#N/A</v>
      </c>
      <c r="BH214" s="115" t="e">
        <f>VLOOKUP($A214,'S50'!$C:$BQ,29,0)</f>
        <v>#N/A</v>
      </c>
      <c r="BI214" s="115" t="e">
        <f>VLOOKUP($A214,'S50'!$C:$BQ,30,0)</f>
        <v>#N/A</v>
      </c>
      <c r="BJ214" s="115" t="e">
        <f>VLOOKUP($A214,'S50'!$C:$BQ,52,0)</f>
        <v>#N/A</v>
      </c>
      <c r="BK214" s="115" t="e">
        <f>VLOOKUP($A214,'S50'!$C:$BQ,59,0)</f>
        <v>#N/A</v>
      </c>
      <c r="BL214" s="115" t="e">
        <f>VLOOKUP($A214,'S50'!$C:$BQ,60,0)</f>
        <v>#N/A</v>
      </c>
    </row>
    <row r="215" spans="1:64" x14ac:dyDescent="0.2">
      <c r="A215" s="106" t="s">
        <v>285</v>
      </c>
      <c r="B215" s="107">
        <f>VLOOKUP($A215,'S0 remplacer avec S44'!$C:$BQ,32,0)</f>
        <v>133.35</v>
      </c>
      <c r="C215" s="107">
        <f>VLOOKUP($A215,'S0 remplacer avec S44'!$C:$BQ,39,0)</f>
        <v>28</v>
      </c>
      <c r="D215" s="107">
        <f>VLOOKUP($A215,'S0 remplacer avec S44'!$C:$BQ,40,0)</f>
        <v>60</v>
      </c>
      <c r="E215" s="107">
        <f>VLOOKUP($A215,'S0 remplacer avec S44'!$C:$BQ,22,0)</f>
        <v>2346.3714450000002</v>
      </c>
      <c r="F215" s="115">
        <f>VLOOKUP($A215,'S0 remplacer avec S44'!$C:$BQ,29,0)</f>
        <v>0</v>
      </c>
      <c r="G215" s="115">
        <f>VLOOKUP($A215,'S0 remplacer avec S44'!$C:$BQ,30,0)</f>
        <v>0</v>
      </c>
      <c r="H215" s="115">
        <f>VLOOKUP($A215,'S0 remplacer avec S44'!$C:$BQ,52,0)</f>
        <v>78.599999999999994</v>
      </c>
      <c r="I215" s="115">
        <f>VLOOKUP($A215,'S0 remplacer avec S44'!$C:$BQ,59,0)</f>
        <v>3</v>
      </c>
      <c r="J215" s="115">
        <f>VLOOKUP($A215,'S0 remplacer avec S44'!$C:$BQ,60,0)</f>
        <v>20</v>
      </c>
      <c r="K215" s="107" t="e">
        <f>VLOOKUP($A215,'S45'!$C:$BQ,32,0)</f>
        <v>#N/A</v>
      </c>
      <c r="L215" s="107" t="e">
        <f>VLOOKUP($A215,'S45'!$C:$BQ,39,0)</f>
        <v>#N/A</v>
      </c>
      <c r="M215" s="107" t="e">
        <f>VLOOKUP($A215,'S45'!$C:$BQ,40,0)</f>
        <v>#N/A</v>
      </c>
      <c r="N215" s="107" t="e">
        <f>VLOOKUP($A215,'S45'!$C:$BQ,22,0)</f>
        <v>#N/A</v>
      </c>
      <c r="O215" s="115" t="e">
        <f>VLOOKUP($A215,'S45'!$C:$BQ,29,0)</f>
        <v>#N/A</v>
      </c>
      <c r="P215" s="115" t="e">
        <f>VLOOKUP($A215,'S45'!$C:$BQ,30,0)</f>
        <v>#N/A</v>
      </c>
      <c r="Q215" s="115" t="e">
        <f>VLOOKUP($A215,'S45'!$C:$BQ,52,0)</f>
        <v>#N/A</v>
      </c>
      <c r="R215" s="115" t="e">
        <f>VLOOKUP($A215,'S45'!$C:$BQ,59,0)</f>
        <v>#N/A</v>
      </c>
      <c r="S215" s="115" t="e">
        <f>VLOOKUP($A215,'S45'!$C:$BQ,60,0)</f>
        <v>#N/A</v>
      </c>
      <c r="T215" s="107" t="e">
        <f>VLOOKUP($A215,'S46'!$C:$BQ,32,0)</f>
        <v>#N/A</v>
      </c>
      <c r="U215" s="107" t="e">
        <f>VLOOKUP($A215,'S46'!$C:$BQ,39,0)</f>
        <v>#N/A</v>
      </c>
      <c r="V215" s="107" t="e">
        <f>VLOOKUP($A215,'S46'!$C:$BQ,40,0)</f>
        <v>#N/A</v>
      </c>
      <c r="W215" s="107" t="e">
        <f>VLOOKUP($A215,'S46'!$C:$BQ,22,0)</f>
        <v>#N/A</v>
      </c>
      <c r="X215" s="115" t="e">
        <f>VLOOKUP($A215,'S46'!$C:$BQ,29,0)</f>
        <v>#N/A</v>
      </c>
      <c r="Y215" s="115" t="e">
        <f>VLOOKUP($A215,'S46'!$C:$BQ,30,0)</f>
        <v>#N/A</v>
      </c>
      <c r="Z215" s="115" t="e">
        <f>VLOOKUP($A215,'S46'!$C:$BQ,52,0)</f>
        <v>#N/A</v>
      </c>
      <c r="AA215" s="115" t="e">
        <f>VLOOKUP($A215,'S46'!$C:$BQ,59,0)</f>
        <v>#N/A</v>
      </c>
      <c r="AB215" s="115" t="e">
        <f>VLOOKUP($A215,'S46'!$C:$BQ,60,0)</f>
        <v>#N/A</v>
      </c>
      <c r="AC215" s="107" t="e">
        <f>VLOOKUP($A215,'S47'!$C:$BQ,32,0)</f>
        <v>#N/A</v>
      </c>
      <c r="AD215" s="107" t="e">
        <f>VLOOKUP($A215,'S47'!$C:$BQ,39,0)</f>
        <v>#N/A</v>
      </c>
      <c r="AE215" s="107" t="e">
        <f>VLOOKUP($A215,'S47'!$C:$BQ,40,0)</f>
        <v>#N/A</v>
      </c>
      <c r="AF215" s="107" t="e">
        <f>VLOOKUP($A215,'S47'!$C:$BQ,22,0)</f>
        <v>#N/A</v>
      </c>
      <c r="AG215" s="115" t="e">
        <f>VLOOKUP($A215,'S47'!$C:$BQ,29,0)</f>
        <v>#N/A</v>
      </c>
      <c r="AH215" s="115" t="e">
        <f>VLOOKUP($A215,'S47'!$C:$BQ,30,0)</f>
        <v>#N/A</v>
      </c>
      <c r="AI215" s="115" t="e">
        <f>VLOOKUP($A215,'S47'!$C:$BQ,52,0)</f>
        <v>#N/A</v>
      </c>
      <c r="AJ215" s="115" t="e">
        <f>VLOOKUP($A215,'S47'!$C:$BQ,59,0)</f>
        <v>#N/A</v>
      </c>
      <c r="AK215" s="115" t="e">
        <f>VLOOKUP($A215,'S47'!$C:$BQ,60,0)</f>
        <v>#N/A</v>
      </c>
      <c r="AL215" s="107" t="e">
        <f>VLOOKUP($A215,'S48'!$C:$BQ,32,0)</f>
        <v>#N/A</v>
      </c>
      <c r="AM215" s="107" t="e">
        <f>VLOOKUP($A215,'S48'!$C:$BQ,39,0)</f>
        <v>#N/A</v>
      </c>
      <c r="AN215" s="107" t="e">
        <f>VLOOKUP($A215,'S48'!$C:$BQ,40,0)</f>
        <v>#N/A</v>
      </c>
      <c r="AO215" s="107" t="e">
        <f>VLOOKUP($A215,'S48'!$C:$BQ,22,0)</f>
        <v>#N/A</v>
      </c>
      <c r="AP215" s="115" t="e">
        <f>VLOOKUP($A215,'S48'!$C:$BQ,29,0)</f>
        <v>#N/A</v>
      </c>
      <c r="AQ215" s="115" t="e">
        <f>VLOOKUP($A215,'S48'!$C:$BQ,30,0)</f>
        <v>#N/A</v>
      </c>
      <c r="AR215" s="115" t="e">
        <f>VLOOKUP($A215,'S48'!$C:$BQ,52,0)</f>
        <v>#N/A</v>
      </c>
      <c r="AS215" s="115" t="e">
        <f>VLOOKUP($A215,'S48'!$C:$BQ,59,0)</f>
        <v>#N/A</v>
      </c>
      <c r="AT215" s="115" t="e">
        <f>VLOOKUP($A215,'S48'!$C:$BQ,60,0)</f>
        <v>#N/A</v>
      </c>
      <c r="AU215" s="107" t="e">
        <f>VLOOKUP($A215,'S49'!$C:$BQ,32,0)</f>
        <v>#N/A</v>
      </c>
      <c r="AV215" s="107" t="e">
        <f>VLOOKUP($A215,'S49'!$C:$BQ,39,0)</f>
        <v>#N/A</v>
      </c>
      <c r="AW215" s="107" t="e">
        <f>VLOOKUP($A215,'S49'!$C:$BQ,40,0)</f>
        <v>#N/A</v>
      </c>
      <c r="AX215" s="107" t="e">
        <f>VLOOKUP($A215,'S49'!$C:$BQ,22,0)</f>
        <v>#N/A</v>
      </c>
      <c r="AY215" s="115" t="e">
        <f>VLOOKUP($A215,'S49'!$C:$BQ,29,0)</f>
        <v>#N/A</v>
      </c>
      <c r="AZ215" s="115" t="e">
        <f>VLOOKUP($A215,'S49'!$C:$BQ,30,0)</f>
        <v>#N/A</v>
      </c>
      <c r="BA215" s="115" t="e">
        <f>VLOOKUP($A215,'S49'!$C:$BQ,52,0)</f>
        <v>#N/A</v>
      </c>
      <c r="BB215" s="115" t="e">
        <f>VLOOKUP($A215,'S49'!$C:$BQ,59,0)</f>
        <v>#N/A</v>
      </c>
      <c r="BC215" s="115" t="e">
        <f>VLOOKUP($A215,'S49'!$C:$BQ,60,0)</f>
        <v>#N/A</v>
      </c>
      <c r="BD215" s="107" t="e">
        <f>VLOOKUP($A215,'S50'!$C:$BQ,32,0)</f>
        <v>#N/A</v>
      </c>
      <c r="BE215" s="107" t="e">
        <f>VLOOKUP($A215,'S50'!$C:$BQ,39,0)</f>
        <v>#N/A</v>
      </c>
      <c r="BF215" s="107" t="e">
        <f>VLOOKUP($A215,'S50'!$C:$BQ,40,0)</f>
        <v>#N/A</v>
      </c>
      <c r="BG215" s="107" t="e">
        <f>VLOOKUP($A215,'S50'!$C:$BQ,22,0)</f>
        <v>#N/A</v>
      </c>
      <c r="BH215" s="115" t="e">
        <f>VLOOKUP($A215,'S50'!$C:$BQ,29,0)</f>
        <v>#N/A</v>
      </c>
      <c r="BI215" s="115" t="e">
        <f>VLOOKUP($A215,'S50'!$C:$BQ,30,0)</f>
        <v>#N/A</v>
      </c>
      <c r="BJ215" s="115" t="e">
        <f>VLOOKUP($A215,'S50'!$C:$BQ,52,0)</f>
        <v>#N/A</v>
      </c>
      <c r="BK215" s="115" t="e">
        <f>VLOOKUP($A215,'S50'!$C:$BQ,59,0)</f>
        <v>#N/A</v>
      </c>
      <c r="BL215" s="115" t="e">
        <f>VLOOKUP($A215,'S50'!$C:$BQ,60,0)</f>
        <v>#N/A</v>
      </c>
    </row>
    <row r="216" spans="1:64" x14ac:dyDescent="0.2">
      <c r="A216" s="106" t="s">
        <v>286</v>
      </c>
      <c r="B216" s="107">
        <f>VLOOKUP($A216,'S0 remplacer avec S44'!$C:$BQ,32,0)</f>
        <v>84.9</v>
      </c>
      <c r="C216" s="107">
        <f>VLOOKUP($A216,'S0 remplacer avec S44'!$C:$BQ,39,0)</f>
        <v>154</v>
      </c>
      <c r="D216" s="107">
        <f>VLOOKUP($A216,'S0 remplacer avec S44'!$C:$BQ,40,0)</f>
        <v>202</v>
      </c>
      <c r="E216" s="107">
        <f>VLOOKUP($A216,'S0 remplacer avec S44'!$C:$BQ,22,0)</f>
        <v>1589.7305550000001</v>
      </c>
      <c r="F216" s="115">
        <f>VLOOKUP($A216,'S0 remplacer avec S44'!$C:$BQ,29,0)</f>
        <v>583</v>
      </c>
      <c r="G216" s="115">
        <f>VLOOKUP($A216,'S0 remplacer avec S44'!$C:$BQ,30,0)</f>
        <v>1018</v>
      </c>
      <c r="H216" s="115">
        <f>VLOOKUP($A216,'S0 remplacer avec S44'!$C:$BQ,52,0)</f>
        <v>179.4</v>
      </c>
      <c r="I216" s="115">
        <f>VLOOKUP($A216,'S0 remplacer avec S44'!$C:$BQ,59,0)</f>
        <v>0</v>
      </c>
      <c r="J216" s="115">
        <f>VLOOKUP($A216,'S0 remplacer avec S44'!$C:$BQ,60,0)</f>
        <v>0</v>
      </c>
      <c r="K216" s="107" t="e">
        <f>VLOOKUP($A216,'S45'!$C:$BQ,32,0)</f>
        <v>#N/A</v>
      </c>
      <c r="L216" s="107" t="e">
        <f>VLOOKUP($A216,'S45'!$C:$BQ,39,0)</f>
        <v>#N/A</v>
      </c>
      <c r="M216" s="107" t="e">
        <f>VLOOKUP($A216,'S45'!$C:$BQ,40,0)</f>
        <v>#N/A</v>
      </c>
      <c r="N216" s="107" t="e">
        <f>VLOOKUP($A216,'S45'!$C:$BQ,22,0)</f>
        <v>#N/A</v>
      </c>
      <c r="O216" s="115" t="e">
        <f>VLOOKUP($A216,'S45'!$C:$BQ,29,0)</f>
        <v>#N/A</v>
      </c>
      <c r="P216" s="115" t="e">
        <f>VLOOKUP($A216,'S45'!$C:$BQ,30,0)</f>
        <v>#N/A</v>
      </c>
      <c r="Q216" s="115" t="e">
        <f>VLOOKUP($A216,'S45'!$C:$BQ,52,0)</f>
        <v>#N/A</v>
      </c>
      <c r="R216" s="115" t="e">
        <f>VLOOKUP($A216,'S45'!$C:$BQ,59,0)</f>
        <v>#N/A</v>
      </c>
      <c r="S216" s="115" t="e">
        <f>VLOOKUP($A216,'S45'!$C:$BQ,60,0)</f>
        <v>#N/A</v>
      </c>
      <c r="T216" s="107" t="e">
        <f>VLOOKUP($A216,'S46'!$C:$BQ,32,0)</f>
        <v>#N/A</v>
      </c>
      <c r="U216" s="107" t="e">
        <f>VLOOKUP($A216,'S46'!$C:$BQ,39,0)</f>
        <v>#N/A</v>
      </c>
      <c r="V216" s="107" t="e">
        <f>VLOOKUP($A216,'S46'!$C:$BQ,40,0)</f>
        <v>#N/A</v>
      </c>
      <c r="W216" s="107" t="e">
        <f>VLOOKUP($A216,'S46'!$C:$BQ,22,0)</f>
        <v>#N/A</v>
      </c>
      <c r="X216" s="115" t="e">
        <f>VLOOKUP($A216,'S46'!$C:$BQ,29,0)</f>
        <v>#N/A</v>
      </c>
      <c r="Y216" s="115" t="e">
        <f>VLOOKUP($A216,'S46'!$C:$BQ,30,0)</f>
        <v>#N/A</v>
      </c>
      <c r="Z216" s="115" t="e">
        <f>VLOOKUP($A216,'S46'!$C:$BQ,52,0)</f>
        <v>#N/A</v>
      </c>
      <c r="AA216" s="115" t="e">
        <f>VLOOKUP($A216,'S46'!$C:$BQ,59,0)</f>
        <v>#N/A</v>
      </c>
      <c r="AB216" s="115" t="e">
        <f>VLOOKUP($A216,'S46'!$C:$BQ,60,0)</f>
        <v>#N/A</v>
      </c>
      <c r="AC216" s="107" t="e">
        <f>VLOOKUP($A216,'S47'!$C:$BQ,32,0)</f>
        <v>#N/A</v>
      </c>
      <c r="AD216" s="107" t="e">
        <f>VLOOKUP($A216,'S47'!$C:$BQ,39,0)</f>
        <v>#N/A</v>
      </c>
      <c r="AE216" s="107" t="e">
        <f>VLOOKUP($A216,'S47'!$C:$BQ,40,0)</f>
        <v>#N/A</v>
      </c>
      <c r="AF216" s="107" t="e">
        <f>VLOOKUP($A216,'S47'!$C:$BQ,22,0)</f>
        <v>#N/A</v>
      </c>
      <c r="AG216" s="115" t="e">
        <f>VLOOKUP($A216,'S47'!$C:$BQ,29,0)</f>
        <v>#N/A</v>
      </c>
      <c r="AH216" s="115" t="e">
        <f>VLOOKUP($A216,'S47'!$C:$BQ,30,0)</f>
        <v>#N/A</v>
      </c>
      <c r="AI216" s="115" t="e">
        <f>VLOOKUP($A216,'S47'!$C:$BQ,52,0)</f>
        <v>#N/A</v>
      </c>
      <c r="AJ216" s="115" t="e">
        <f>VLOOKUP($A216,'S47'!$C:$BQ,59,0)</f>
        <v>#N/A</v>
      </c>
      <c r="AK216" s="115" t="e">
        <f>VLOOKUP($A216,'S47'!$C:$BQ,60,0)</f>
        <v>#N/A</v>
      </c>
      <c r="AL216" s="107" t="e">
        <f>VLOOKUP($A216,'S48'!$C:$BQ,32,0)</f>
        <v>#N/A</v>
      </c>
      <c r="AM216" s="107" t="e">
        <f>VLOOKUP($A216,'S48'!$C:$BQ,39,0)</f>
        <v>#N/A</v>
      </c>
      <c r="AN216" s="107" t="e">
        <f>VLOOKUP($A216,'S48'!$C:$BQ,40,0)</f>
        <v>#N/A</v>
      </c>
      <c r="AO216" s="107" t="e">
        <f>VLOOKUP($A216,'S48'!$C:$BQ,22,0)</f>
        <v>#N/A</v>
      </c>
      <c r="AP216" s="115" t="e">
        <f>VLOOKUP($A216,'S48'!$C:$BQ,29,0)</f>
        <v>#N/A</v>
      </c>
      <c r="AQ216" s="115" t="e">
        <f>VLOOKUP($A216,'S48'!$C:$BQ,30,0)</f>
        <v>#N/A</v>
      </c>
      <c r="AR216" s="115" t="e">
        <f>VLOOKUP($A216,'S48'!$C:$BQ,52,0)</f>
        <v>#N/A</v>
      </c>
      <c r="AS216" s="115" t="e">
        <f>VLOOKUP($A216,'S48'!$C:$BQ,59,0)</f>
        <v>#N/A</v>
      </c>
      <c r="AT216" s="115" t="e">
        <f>VLOOKUP($A216,'S48'!$C:$BQ,60,0)</f>
        <v>#N/A</v>
      </c>
      <c r="AU216" s="107" t="e">
        <f>VLOOKUP($A216,'S49'!$C:$BQ,32,0)</f>
        <v>#N/A</v>
      </c>
      <c r="AV216" s="107" t="e">
        <f>VLOOKUP($A216,'S49'!$C:$BQ,39,0)</f>
        <v>#N/A</v>
      </c>
      <c r="AW216" s="107" t="e">
        <f>VLOOKUP($A216,'S49'!$C:$BQ,40,0)</f>
        <v>#N/A</v>
      </c>
      <c r="AX216" s="107" t="e">
        <f>VLOOKUP($A216,'S49'!$C:$BQ,22,0)</f>
        <v>#N/A</v>
      </c>
      <c r="AY216" s="115" t="e">
        <f>VLOOKUP($A216,'S49'!$C:$BQ,29,0)</f>
        <v>#N/A</v>
      </c>
      <c r="AZ216" s="115" t="e">
        <f>VLOOKUP($A216,'S49'!$C:$BQ,30,0)</f>
        <v>#N/A</v>
      </c>
      <c r="BA216" s="115" t="e">
        <f>VLOOKUP($A216,'S49'!$C:$BQ,52,0)</f>
        <v>#N/A</v>
      </c>
      <c r="BB216" s="115" t="e">
        <f>VLOOKUP($A216,'S49'!$C:$BQ,59,0)</f>
        <v>#N/A</v>
      </c>
      <c r="BC216" s="115" t="e">
        <f>VLOOKUP($A216,'S49'!$C:$BQ,60,0)</f>
        <v>#N/A</v>
      </c>
      <c r="BD216" s="107" t="e">
        <f>VLOOKUP($A216,'S50'!$C:$BQ,32,0)</f>
        <v>#N/A</v>
      </c>
      <c r="BE216" s="107" t="e">
        <f>VLOOKUP($A216,'S50'!$C:$BQ,39,0)</f>
        <v>#N/A</v>
      </c>
      <c r="BF216" s="107" t="e">
        <f>VLOOKUP($A216,'S50'!$C:$BQ,40,0)</f>
        <v>#N/A</v>
      </c>
      <c r="BG216" s="107" t="e">
        <f>VLOOKUP($A216,'S50'!$C:$BQ,22,0)</f>
        <v>#N/A</v>
      </c>
      <c r="BH216" s="115" t="e">
        <f>VLOOKUP($A216,'S50'!$C:$BQ,29,0)</f>
        <v>#N/A</v>
      </c>
      <c r="BI216" s="115" t="e">
        <f>VLOOKUP($A216,'S50'!$C:$BQ,30,0)</f>
        <v>#N/A</v>
      </c>
      <c r="BJ216" s="115" t="e">
        <f>VLOOKUP($A216,'S50'!$C:$BQ,52,0)</f>
        <v>#N/A</v>
      </c>
      <c r="BK216" s="115" t="e">
        <f>VLOOKUP($A216,'S50'!$C:$BQ,59,0)</f>
        <v>#N/A</v>
      </c>
      <c r="BL216" s="115" t="e">
        <f>VLOOKUP($A216,'S50'!$C:$BQ,60,0)</f>
        <v>#N/A</v>
      </c>
    </row>
    <row r="217" spans="1:64" x14ac:dyDescent="0.2">
      <c r="A217" s="106" t="s">
        <v>287</v>
      </c>
      <c r="B217" s="107">
        <f>VLOOKUP($A217,'S0 remplacer avec S44'!$C:$BQ,32,0)</f>
        <v>149.94999999999999</v>
      </c>
      <c r="C217" s="107">
        <f>VLOOKUP($A217,'S0 remplacer avec S44'!$C:$BQ,39,0)</f>
        <v>109</v>
      </c>
      <c r="D217" s="107">
        <f>VLOOKUP($A217,'S0 remplacer avec S44'!$C:$BQ,40,0)</f>
        <v>160</v>
      </c>
      <c r="E217" s="107">
        <f>VLOOKUP($A217,'S0 remplacer avec S44'!$C:$BQ,22,0)</f>
        <v>1874.639555</v>
      </c>
      <c r="F217" s="115">
        <f>VLOOKUP($A217,'S0 remplacer avec S44'!$C:$BQ,29,0)</f>
        <v>474</v>
      </c>
      <c r="G217" s="115">
        <f>VLOOKUP($A217,'S0 remplacer avec S44'!$C:$BQ,30,0)</f>
        <v>944</v>
      </c>
      <c r="H217" s="115">
        <f>VLOOKUP($A217,'S0 remplacer avec S44'!$C:$BQ,52,0)</f>
        <v>145.80000000000001</v>
      </c>
      <c r="I217" s="115">
        <f>VLOOKUP($A217,'S0 remplacer avec S44'!$C:$BQ,59,0)</f>
        <v>0</v>
      </c>
      <c r="J217" s="115">
        <f>VLOOKUP($A217,'S0 remplacer avec S44'!$C:$BQ,60,0)</f>
        <v>12</v>
      </c>
      <c r="K217" s="107" t="e">
        <f>VLOOKUP($A217,'S45'!$C:$BQ,32,0)</f>
        <v>#N/A</v>
      </c>
      <c r="L217" s="107" t="e">
        <f>VLOOKUP($A217,'S45'!$C:$BQ,39,0)</f>
        <v>#N/A</v>
      </c>
      <c r="M217" s="107" t="e">
        <f>VLOOKUP($A217,'S45'!$C:$BQ,40,0)</f>
        <v>#N/A</v>
      </c>
      <c r="N217" s="107" t="e">
        <f>VLOOKUP($A217,'S45'!$C:$BQ,22,0)</f>
        <v>#N/A</v>
      </c>
      <c r="O217" s="115" t="e">
        <f>VLOOKUP($A217,'S45'!$C:$BQ,29,0)</f>
        <v>#N/A</v>
      </c>
      <c r="P217" s="115" t="e">
        <f>VLOOKUP($A217,'S45'!$C:$BQ,30,0)</f>
        <v>#N/A</v>
      </c>
      <c r="Q217" s="115" t="e">
        <f>VLOOKUP($A217,'S45'!$C:$BQ,52,0)</f>
        <v>#N/A</v>
      </c>
      <c r="R217" s="115" t="e">
        <f>VLOOKUP($A217,'S45'!$C:$BQ,59,0)</f>
        <v>#N/A</v>
      </c>
      <c r="S217" s="115" t="e">
        <f>VLOOKUP($A217,'S45'!$C:$BQ,60,0)</f>
        <v>#N/A</v>
      </c>
      <c r="T217" s="107" t="e">
        <f>VLOOKUP($A217,'S46'!$C:$BQ,32,0)</f>
        <v>#N/A</v>
      </c>
      <c r="U217" s="107" t="e">
        <f>VLOOKUP($A217,'S46'!$C:$BQ,39,0)</f>
        <v>#N/A</v>
      </c>
      <c r="V217" s="107" t="e">
        <f>VLOOKUP($A217,'S46'!$C:$BQ,40,0)</f>
        <v>#N/A</v>
      </c>
      <c r="W217" s="107" t="e">
        <f>VLOOKUP($A217,'S46'!$C:$BQ,22,0)</f>
        <v>#N/A</v>
      </c>
      <c r="X217" s="115" t="e">
        <f>VLOOKUP($A217,'S46'!$C:$BQ,29,0)</f>
        <v>#N/A</v>
      </c>
      <c r="Y217" s="115" t="e">
        <f>VLOOKUP($A217,'S46'!$C:$BQ,30,0)</f>
        <v>#N/A</v>
      </c>
      <c r="Z217" s="115" t="e">
        <f>VLOOKUP($A217,'S46'!$C:$BQ,52,0)</f>
        <v>#N/A</v>
      </c>
      <c r="AA217" s="115" t="e">
        <f>VLOOKUP($A217,'S46'!$C:$BQ,59,0)</f>
        <v>#N/A</v>
      </c>
      <c r="AB217" s="115" t="e">
        <f>VLOOKUP($A217,'S46'!$C:$BQ,60,0)</f>
        <v>#N/A</v>
      </c>
      <c r="AC217" s="107" t="e">
        <f>VLOOKUP($A217,'S47'!$C:$BQ,32,0)</f>
        <v>#N/A</v>
      </c>
      <c r="AD217" s="107" t="e">
        <f>VLOOKUP($A217,'S47'!$C:$BQ,39,0)</f>
        <v>#N/A</v>
      </c>
      <c r="AE217" s="107" t="e">
        <f>VLOOKUP($A217,'S47'!$C:$BQ,40,0)</f>
        <v>#N/A</v>
      </c>
      <c r="AF217" s="107" t="e">
        <f>VLOOKUP($A217,'S47'!$C:$BQ,22,0)</f>
        <v>#N/A</v>
      </c>
      <c r="AG217" s="115" t="e">
        <f>VLOOKUP($A217,'S47'!$C:$BQ,29,0)</f>
        <v>#N/A</v>
      </c>
      <c r="AH217" s="115" t="e">
        <f>VLOOKUP($A217,'S47'!$C:$BQ,30,0)</f>
        <v>#N/A</v>
      </c>
      <c r="AI217" s="115" t="e">
        <f>VLOOKUP($A217,'S47'!$C:$BQ,52,0)</f>
        <v>#N/A</v>
      </c>
      <c r="AJ217" s="115" t="e">
        <f>VLOOKUP($A217,'S47'!$C:$BQ,59,0)</f>
        <v>#N/A</v>
      </c>
      <c r="AK217" s="115" t="e">
        <f>VLOOKUP($A217,'S47'!$C:$BQ,60,0)</f>
        <v>#N/A</v>
      </c>
      <c r="AL217" s="107" t="e">
        <f>VLOOKUP($A217,'S48'!$C:$BQ,32,0)</f>
        <v>#N/A</v>
      </c>
      <c r="AM217" s="107" t="e">
        <f>VLOOKUP($A217,'S48'!$C:$BQ,39,0)</f>
        <v>#N/A</v>
      </c>
      <c r="AN217" s="107" t="e">
        <f>VLOOKUP($A217,'S48'!$C:$BQ,40,0)</f>
        <v>#N/A</v>
      </c>
      <c r="AO217" s="107" t="e">
        <f>VLOOKUP($A217,'S48'!$C:$BQ,22,0)</f>
        <v>#N/A</v>
      </c>
      <c r="AP217" s="115" t="e">
        <f>VLOOKUP($A217,'S48'!$C:$BQ,29,0)</f>
        <v>#N/A</v>
      </c>
      <c r="AQ217" s="115" t="e">
        <f>VLOOKUP($A217,'S48'!$C:$BQ,30,0)</f>
        <v>#N/A</v>
      </c>
      <c r="AR217" s="115" t="e">
        <f>VLOOKUP($A217,'S48'!$C:$BQ,52,0)</f>
        <v>#N/A</v>
      </c>
      <c r="AS217" s="115" t="e">
        <f>VLOOKUP($A217,'S48'!$C:$BQ,59,0)</f>
        <v>#N/A</v>
      </c>
      <c r="AT217" s="115" t="e">
        <f>VLOOKUP($A217,'S48'!$C:$BQ,60,0)</f>
        <v>#N/A</v>
      </c>
      <c r="AU217" s="107" t="e">
        <f>VLOOKUP($A217,'S49'!$C:$BQ,32,0)</f>
        <v>#N/A</v>
      </c>
      <c r="AV217" s="107" t="e">
        <f>VLOOKUP($A217,'S49'!$C:$BQ,39,0)</f>
        <v>#N/A</v>
      </c>
      <c r="AW217" s="107" t="e">
        <f>VLOOKUP($A217,'S49'!$C:$BQ,40,0)</f>
        <v>#N/A</v>
      </c>
      <c r="AX217" s="107" t="e">
        <f>VLOOKUP($A217,'S49'!$C:$BQ,22,0)</f>
        <v>#N/A</v>
      </c>
      <c r="AY217" s="115" t="e">
        <f>VLOOKUP($A217,'S49'!$C:$BQ,29,0)</f>
        <v>#N/A</v>
      </c>
      <c r="AZ217" s="115" t="e">
        <f>VLOOKUP($A217,'S49'!$C:$BQ,30,0)</f>
        <v>#N/A</v>
      </c>
      <c r="BA217" s="115" t="e">
        <f>VLOOKUP($A217,'S49'!$C:$BQ,52,0)</f>
        <v>#N/A</v>
      </c>
      <c r="BB217" s="115" t="e">
        <f>VLOOKUP($A217,'S49'!$C:$BQ,59,0)</f>
        <v>#N/A</v>
      </c>
      <c r="BC217" s="115" t="e">
        <f>VLOOKUP($A217,'S49'!$C:$BQ,60,0)</f>
        <v>#N/A</v>
      </c>
      <c r="BD217" s="107" t="e">
        <f>VLOOKUP($A217,'S50'!$C:$BQ,32,0)</f>
        <v>#N/A</v>
      </c>
      <c r="BE217" s="107" t="e">
        <f>VLOOKUP($A217,'S50'!$C:$BQ,39,0)</f>
        <v>#N/A</v>
      </c>
      <c r="BF217" s="107" t="e">
        <f>VLOOKUP($A217,'S50'!$C:$BQ,40,0)</f>
        <v>#N/A</v>
      </c>
      <c r="BG217" s="107" t="e">
        <f>VLOOKUP($A217,'S50'!$C:$BQ,22,0)</f>
        <v>#N/A</v>
      </c>
      <c r="BH217" s="115" t="e">
        <f>VLOOKUP($A217,'S50'!$C:$BQ,29,0)</f>
        <v>#N/A</v>
      </c>
      <c r="BI217" s="115" t="e">
        <f>VLOOKUP($A217,'S50'!$C:$BQ,30,0)</f>
        <v>#N/A</v>
      </c>
      <c r="BJ217" s="115" t="e">
        <f>VLOOKUP($A217,'S50'!$C:$BQ,52,0)</f>
        <v>#N/A</v>
      </c>
      <c r="BK217" s="115" t="e">
        <f>VLOOKUP($A217,'S50'!$C:$BQ,59,0)</f>
        <v>#N/A</v>
      </c>
      <c r="BL217" s="115" t="e">
        <f>VLOOKUP($A217,'S50'!$C:$BQ,60,0)</f>
        <v>#N/A</v>
      </c>
    </row>
    <row r="218" spans="1:64" x14ac:dyDescent="0.2">
      <c r="A218" s="106" t="s">
        <v>288</v>
      </c>
      <c r="B218" s="107">
        <f>VLOOKUP($A218,'S0 remplacer avec S44'!$C:$BQ,32,0)</f>
        <v>102.25</v>
      </c>
      <c r="C218" s="107">
        <f>VLOOKUP($A218,'S0 remplacer avec S44'!$C:$BQ,39,0)</f>
        <v>91</v>
      </c>
      <c r="D218" s="107">
        <f>VLOOKUP($A218,'S0 remplacer avec S44'!$C:$BQ,40,0)</f>
        <v>130</v>
      </c>
      <c r="E218" s="107">
        <f>VLOOKUP($A218,'S0 remplacer avec S44'!$C:$BQ,22,0)</f>
        <v>1139.5952299999999</v>
      </c>
      <c r="F218" s="115">
        <f>VLOOKUP($A218,'S0 remplacer avec S44'!$C:$BQ,29,0)</f>
        <v>618</v>
      </c>
      <c r="G218" s="115">
        <f>VLOOKUP($A218,'S0 remplacer avec S44'!$C:$BQ,30,0)</f>
        <v>970</v>
      </c>
      <c r="H218" s="115">
        <f>VLOOKUP($A218,'S0 remplacer avec S44'!$C:$BQ,52,0)</f>
        <v>96.8</v>
      </c>
      <c r="I218" s="115">
        <f>VLOOKUP($A218,'S0 remplacer avec S44'!$C:$BQ,59,0)</f>
        <v>2</v>
      </c>
      <c r="J218" s="115">
        <f>VLOOKUP($A218,'S0 remplacer avec S44'!$C:$BQ,60,0)</f>
        <v>21</v>
      </c>
      <c r="K218" s="107" t="e">
        <f>VLOOKUP($A218,'S45'!$C:$BQ,32,0)</f>
        <v>#N/A</v>
      </c>
      <c r="L218" s="107" t="e">
        <f>VLOOKUP($A218,'S45'!$C:$BQ,39,0)</f>
        <v>#N/A</v>
      </c>
      <c r="M218" s="107" t="e">
        <f>VLOOKUP($A218,'S45'!$C:$BQ,40,0)</f>
        <v>#N/A</v>
      </c>
      <c r="N218" s="107" t="e">
        <f>VLOOKUP($A218,'S45'!$C:$BQ,22,0)</f>
        <v>#N/A</v>
      </c>
      <c r="O218" s="115" t="e">
        <f>VLOOKUP($A218,'S45'!$C:$BQ,29,0)</f>
        <v>#N/A</v>
      </c>
      <c r="P218" s="115" t="e">
        <f>VLOOKUP($A218,'S45'!$C:$BQ,30,0)</f>
        <v>#N/A</v>
      </c>
      <c r="Q218" s="115" t="e">
        <f>VLOOKUP($A218,'S45'!$C:$BQ,52,0)</f>
        <v>#N/A</v>
      </c>
      <c r="R218" s="115" t="e">
        <f>VLOOKUP($A218,'S45'!$C:$BQ,59,0)</f>
        <v>#N/A</v>
      </c>
      <c r="S218" s="115" t="e">
        <f>VLOOKUP($A218,'S45'!$C:$BQ,60,0)</f>
        <v>#N/A</v>
      </c>
      <c r="T218" s="107" t="e">
        <f>VLOOKUP($A218,'S46'!$C:$BQ,32,0)</f>
        <v>#N/A</v>
      </c>
      <c r="U218" s="107" t="e">
        <f>VLOOKUP($A218,'S46'!$C:$BQ,39,0)</f>
        <v>#N/A</v>
      </c>
      <c r="V218" s="107" t="e">
        <f>VLOOKUP($A218,'S46'!$C:$BQ,40,0)</f>
        <v>#N/A</v>
      </c>
      <c r="W218" s="107" t="e">
        <f>VLOOKUP($A218,'S46'!$C:$BQ,22,0)</f>
        <v>#N/A</v>
      </c>
      <c r="X218" s="115" t="e">
        <f>VLOOKUP($A218,'S46'!$C:$BQ,29,0)</f>
        <v>#N/A</v>
      </c>
      <c r="Y218" s="115" t="e">
        <f>VLOOKUP($A218,'S46'!$C:$BQ,30,0)</f>
        <v>#N/A</v>
      </c>
      <c r="Z218" s="115" t="e">
        <f>VLOOKUP($A218,'S46'!$C:$BQ,52,0)</f>
        <v>#N/A</v>
      </c>
      <c r="AA218" s="115" t="e">
        <f>VLOOKUP($A218,'S46'!$C:$BQ,59,0)</f>
        <v>#N/A</v>
      </c>
      <c r="AB218" s="115" t="e">
        <f>VLOOKUP($A218,'S46'!$C:$BQ,60,0)</f>
        <v>#N/A</v>
      </c>
      <c r="AC218" s="107" t="e">
        <f>VLOOKUP($A218,'S47'!$C:$BQ,32,0)</f>
        <v>#N/A</v>
      </c>
      <c r="AD218" s="107" t="e">
        <f>VLOOKUP($A218,'S47'!$C:$BQ,39,0)</f>
        <v>#N/A</v>
      </c>
      <c r="AE218" s="107" t="e">
        <f>VLOOKUP($A218,'S47'!$C:$BQ,40,0)</f>
        <v>#N/A</v>
      </c>
      <c r="AF218" s="107" t="e">
        <f>VLOOKUP($A218,'S47'!$C:$BQ,22,0)</f>
        <v>#N/A</v>
      </c>
      <c r="AG218" s="115" t="e">
        <f>VLOOKUP($A218,'S47'!$C:$BQ,29,0)</f>
        <v>#N/A</v>
      </c>
      <c r="AH218" s="115" t="e">
        <f>VLOOKUP($A218,'S47'!$C:$BQ,30,0)</f>
        <v>#N/A</v>
      </c>
      <c r="AI218" s="115" t="e">
        <f>VLOOKUP($A218,'S47'!$C:$BQ,52,0)</f>
        <v>#N/A</v>
      </c>
      <c r="AJ218" s="115" t="e">
        <f>VLOOKUP($A218,'S47'!$C:$BQ,59,0)</f>
        <v>#N/A</v>
      </c>
      <c r="AK218" s="115" t="e">
        <f>VLOOKUP($A218,'S47'!$C:$BQ,60,0)</f>
        <v>#N/A</v>
      </c>
      <c r="AL218" s="107" t="e">
        <f>VLOOKUP($A218,'S48'!$C:$BQ,32,0)</f>
        <v>#N/A</v>
      </c>
      <c r="AM218" s="107" t="e">
        <f>VLOOKUP($A218,'S48'!$C:$BQ,39,0)</f>
        <v>#N/A</v>
      </c>
      <c r="AN218" s="107" t="e">
        <f>VLOOKUP($A218,'S48'!$C:$BQ,40,0)</f>
        <v>#N/A</v>
      </c>
      <c r="AO218" s="107" t="e">
        <f>VLOOKUP($A218,'S48'!$C:$BQ,22,0)</f>
        <v>#N/A</v>
      </c>
      <c r="AP218" s="115" t="e">
        <f>VLOOKUP($A218,'S48'!$C:$BQ,29,0)</f>
        <v>#N/A</v>
      </c>
      <c r="AQ218" s="115" t="e">
        <f>VLOOKUP($A218,'S48'!$C:$BQ,30,0)</f>
        <v>#N/A</v>
      </c>
      <c r="AR218" s="115" t="e">
        <f>VLOOKUP($A218,'S48'!$C:$BQ,52,0)</f>
        <v>#N/A</v>
      </c>
      <c r="AS218" s="115" t="e">
        <f>VLOOKUP($A218,'S48'!$C:$BQ,59,0)</f>
        <v>#N/A</v>
      </c>
      <c r="AT218" s="115" t="e">
        <f>VLOOKUP($A218,'S48'!$C:$BQ,60,0)</f>
        <v>#N/A</v>
      </c>
      <c r="AU218" s="107" t="e">
        <f>VLOOKUP($A218,'S49'!$C:$BQ,32,0)</f>
        <v>#N/A</v>
      </c>
      <c r="AV218" s="107" t="e">
        <f>VLOOKUP($A218,'S49'!$C:$BQ,39,0)</f>
        <v>#N/A</v>
      </c>
      <c r="AW218" s="107" t="e">
        <f>VLOOKUP($A218,'S49'!$C:$BQ,40,0)</f>
        <v>#N/A</v>
      </c>
      <c r="AX218" s="107" t="e">
        <f>VLOOKUP($A218,'S49'!$C:$BQ,22,0)</f>
        <v>#N/A</v>
      </c>
      <c r="AY218" s="115" t="e">
        <f>VLOOKUP($A218,'S49'!$C:$BQ,29,0)</f>
        <v>#N/A</v>
      </c>
      <c r="AZ218" s="115" t="e">
        <f>VLOOKUP($A218,'S49'!$C:$BQ,30,0)</f>
        <v>#N/A</v>
      </c>
      <c r="BA218" s="115" t="e">
        <f>VLOOKUP($A218,'S49'!$C:$BQ,52,0)</f>
        <v>#N/A</v>
      </c>
      <c r="BB218" s="115" t="e">
        <f>VLOOKUP($A218,'S49'!$C:$BQ,59,0)</f>
        <v>#N/A</v>
      </c>
      <c r="BC218" s="115" t="e">
        <f>VLOOKUP($A218,'S49'!$C:$BQ,60,0)</f>
        <v>#N/A</v>
      </c>
      <c r="BD218" s="107" t="e">
        <f>VLOOKUP($A218,'S50'!$C:$BQ,32,0)</f>
        <v>#N/A</v>
      </c>
      <c r="BE218" s="107" t="e">
        <f>VLOOKUP($A218,'S50'!$C:$BQ,39,0)</f>
        <v>#N/A</v>
      </c>
      <c r="BF218" s="107" t="e">
        <f>VLOOKUP($A218,'S50'!$C:$BQ,40,0)</f>
        <v>#N/A</v>
      </c>
      <c r="BG218" s="107" t="e">
        <f>VLOOKUP($A218,'S50'!$C:$BQ,22,0)</f>
        <v>#N/A</v>
      </c>
      <c r="BH218" s="115" t="e">
        <f>VLOOKUP($A218,'S50'!$C:$BQ,29,0)</f>
        <v>#N/A</v>
      </c>
      <c r="BI218" s="115" t="e">
        <f>VLOOKUP($A218,'S50'!$C:$BQ,30,0)</f>
        <v>#N/A</v>
      </c>
      <c r="BJ218" s="115" t="e">
        <f>VLOOKUP($A218,'S50'!$C:$BQ,52,0)</f>
        <v>#N/A</v>
      </c>
      <c r="BK218" s="115" t="e">
        <f>VLOOKUP($A218,'S50'!$C:$BQ,59,0)</f>
        <v>#N/A</v>
      </c>
      <c r="BL218" s="115" t="e">
        <f>VLOOKUP($A218,'S50'!$C:$BQ,60,0)</f>
        <v>#N/A</v>
      </c>
    </row>
    <row r="219" spans="1:64" x14ac:dyDescent="0.2">
      <c r="A219" s="106" t="s">
        <v>289</v>
      </c>
      <c r="B219" s="107">
        <f>VLOOKUP($A219,'S0 remplacer avec S44'!$C:$BQ,32,0)</f>
        <v>250.4</v>
      </c>
      <c r="C219" s="107">
        <f>VLOOKUP($A219,'S0 remplacer avec S44'!$C:$BQ,39,0)</f>
        <v>210</v>
      </c>
      <c r="D219" s="107">
        <f>VLOOKUP($A219,'S0 remplacer avec S44'!$C:$BQ,40,0)</f>
        <v>302</v>
      </c>
      <c r="E219" s="107">
        <f>VLOOKUP($A219,'S0 remplacer avec S44'!$C:$BQ,22,0)</f>
        <v>3139.4278749999999</v>
      </c>
      <c r="F219" s="115">
        <f>VLOOKUP($A219,'S0 remplacer avec S44'!$C:$BQ,29,0)</f>
        <v>1044</v>
      </c>
      <c r="G219" s="115">
        <f>VLOOKUP($A219,'S0 remplacer avec S44'!$C:$BQ,30,0)</f>
        <v>1881</v>
      </c>
      <c r="H219" s="115">
        <f>VLOOKUP($A219,'S0 remplacer avec S44'!$C:$BQ,52,0)</f>
        <v>239.4</v>
      </c>
      <c r="I219" s="115">
        <f>VLOOKUP($A219,'S0 remplacer avec S44'!$C:$BQ,59,0)</f>
        <v>0</v>
      </c>
      <c r="J219" s="115">
        <f>VLOOKUP($A219,'S0 remplacer avec S44'!$C:$BQ,60,0)</f>
        <v>41</v>
      </c>
      <c r="K219" s="107" t="e">
        <f>VLOOKUP($A219,'S45'!$C:$BQ,32,0)</f>
        <v>#N/A</v>
      </c>
      <c r="L219" s="107" t="e">
        <f>VLOOKUP($A219,'S45'!$C:$BQ,39,0)</f>
        <v>#N/A</v>
      </c>
      <c r="M219" s="107" t="e">
        <f>VLOOKUP($A219,'S45'!$C:$BQ,40,0)</f>
        <v>#N/A</v>
      </c>
      <c r="N219" s="107" t="e">
        <f>VLOOKUP($A219,'S45'!$C:$BQ,22,0)</f>
        <v>#N/A</v>
      </c>
      <c r="O219" s="115" t="e">
        <f>VLOOKUP($A219,'S45'!$C:$BQ,29,0)</f>
        <v>#N/A</v>
      </c>
      <c r="P219" s="115" t="e">
        <f>VLOOKUP($A219,'S45'!$C:$BQ,30,0)</f>
        <v>#N/A</v>
      </c>
      <c r="Q219" s="115" t="e">
        <f>VLOOKUP($A219,'S45'!$C:$BQ,52,0)</f>
        <v>#N/A</v>
      </c>
      <c r="R219" s="115" t="e">
        <f>VLOOKUP($A219,'S45'!$C:$BQ,59,0)</f>
        <v>#N/A</v>
      </c>
      <c r="S219" s="115" t="e">
        <f>VLOOKUP($A219,'S45'!$C:$BQ,60,0)</f>
        <v>#N/A</v>
      </c>
      <c r="T219" s="107" t="e">
        <f>VLOOKUP($A219,'S46'!$C:$BQ,32,0)</f>
        <v>#N/A</v>
      </c>
      <c r="U219" s="107" t="e">
        <f>VLOOKUP($A219,'S46'!$C:$BQ,39,0)</f>
        <v>#N/A</v>
      </c>
      <c r="V219" s="107" t="e">
        <f>VLOOKUP($A219,'S46'!$C:$BQ,40,0)</f>
        <v>#N/A</v>
      </c>
      <c r="W219" s="107" t="e">
        <f>VLOOKUP($A219,'S46'!$C:$BQ,22,0)</f>
        <v>#N/A</v>
      </c>
      <c r="X219" s="115" t="e">
        <f>VLOOKUP($A219,'S46'!$C:$BQ,29,0)</f>
        <v>#N/A</v>
      </c>
      <c r="Y219" s="115" t="e">
        <f>VLOOKUP($A219,'S46'!$C:$BQ,30,0)</f>
        <v>#N/A</v>
      </c>
      <c r="Z219" s="115" t="e">
        <f>VLOOKUP($A219,'S46'!$C:$BQ,52,0)</f>
        <v>#N/A</v>
      </c>
      <c r="AA219" s="115" t="e">
        <f>VLOOKUP($A219,'S46'!$C:$BQ,59,0)</f>
        <v>#N/A</v>
      </c>
      <c r="AB219" s="115" t="e">
        <f>VLOOKUP($A219,'S46'!$C:$BQ,60,0)</f>
        <v>#N/A</v>
      </c>
      <c r="AC219" s="107" t="e">
        <f>VLOOKUP($A219,'S47'!$C:$BQ,32,0)</f>
        <v>#N/A</v>
      </c>
      <c r="AD219" s="107" t="e">
        <f>VLOOKUP($A219,'S47'!$C:$BQ,39,0)</f>
        <v>#N/A</v>
      </c>
      <c r="AE219" s="107" t="e">
        <f>VLOOKUP($A219,'S47'!$C:$BQ,40,0)</f>
        <v>#N/A</v>
      </c>
      <c r="AF219" s="107" t="e">
        <f>VLOOKUP($A219,'S47'!$C:$BQ,22,0)</f>
        <v>#N/A</v>
      </c>
      <c r="AG219" s="115" t="e">
        <f>VLOOKUP($A219,'S47'!$C:$BQ,29,0)</f>
        <v>#N/A</v>
      </c>
      <c r="AH219" s="115" t="e">
        <f>VLOOKUP($A219,'S47'!$C:$BQ,30,0)</f>
        <v>#N/A</v>
      </c>
      <c r="AI219" s="115" t="e">
        <f>VLOOKUP($A219,'S47'!$C:$BQ,52,0)</f>
        <v>#N/A</v>
      </c>
      <c r="AJ219" s="115" t="e">
        <f>VLOOKUP($A219,'S47'!$C:$BQ,59,0)</f>
        <v>#N/A</v>
      </c>
      <c r="AK219" s="115" t="e">
        <f>VLOOKUP($A219,'S47'!$C:$BQ,60,0)</f>
        <v>#N/A</v>
      </c>
      <c r="AL219" s="107" t="e">
        <f>VLOOKUP($A219,'S48'!$C:$BQ,32,0)</f>
        <v>#N/A</v>
      </c>
      <c r="AM219" s="107" t="e">
        <f>VLOOKUP($A219,'S48'!$C:$BQ,39,0)</f>
        <v>#N/A</v>
      </c>
      <c r="AN219" s="107" t="e">
        <f>VLOOKUP($A219,'S48'!$C:$BQ,40,0)</f>
        <v>#N/A</v>
      </c>
      <c r="AO219" s="107" t="e">
        <f>VLOOKUP($A219,'S48'!$C:$BQ,22,0)</f>
        <v>#N/A</v>
      </c>
      <c r="AP219" s="115" t="e">
        <f>VLOOKUP($A219,'S48'!$C:$BQ,29,0)</f>
        <v>#N/A</v>
      </c>
      <c r="AQ219" s="115" t="e">
        <f>VLOOKUP($A219,'S48'!$C:$BQ,30,0)</f>
        <v>#N/A</v>
      </c>
      <c r="AR219" s="115" t="e">
        <f>VLOOKUP($A219,'S48'!$C:$BQ,52,0)</f>
        <v>#N/A</v>
      </c>
      <c r="AS219" s="115" t="e">
        <f>VLOOKUP($A219,'S48'!$C:$BQ,59,0)</f>
        <v>#N/A</v>
      </c>
      <c r="AT219" s="115" t="e">
        <f>VLOOKUP($A219,'S48'!$C:$BQ,60,0)</f>
        <v>#N/A</v>
      </c>
      <c r="AU219" s="107" t="e">
        <f>VLOOKUP($A219,'S49'!$C:$BQ,32,0)</f>
        <v>#N/A</v>
      </c>
      <c r="AV219" s="107" t="e">
        <f>VLOOKUP($A219,'S49'!$C:$BQ,39,0)</f>
        <v>#N/A</v>
      </c>
      <c r="AW219" s="107" t="e">
        <f>VLOOKUP($A219,'S49'!$C:$BQ,40,0)</f>
        <v>#N/A</v>
      </c>
      <c r="AX219" s="107" t="e">
        <f>VLOOKUP($A219,'S49'!$C:$BQ,22,0)</f>
        <v>#N/A</v>
      </c>
      <c r="AY219" s="115" t="e">
        <f>VLOOKUP($A219,'S49'!$C:$BQ,29,0)</f>
        <v>#N/A</v>
      </c>
      <c r="AZ219" s="115" t="e">
        <f>VLOOKUP($A219,'S49'!$C:$BQ,30,0)</f>
        <v>#N/A</v>
      </c>
      <c r="BA219" s="115" t="e">
        <f>VLOOKUP($A219,'S49'!$C:$BQ,52,0)</f>
        <v>#N/A</v>
      </c>
      <c r="BB219" s="115" t="e">
        <f>VLOOKUP($A219,'S49'!$C:$BQ,59,0)</f>
        <v>#N/A</v>
      </c>
      <c r="BC219" s="115" t="e">
        <f>VLOOKUP($A219,'S49'!$C:$BQ,60,0)</f>
        <v>#N/A</v>
      </c>
      <c r="BD219" s="107" t="e">
        <f>VLOOKUP($A219,'S50'!$C:$BQ,32,0)</f>
        <v>#N/A</v>
      </c>
      <c r="BE219" s="107" t="e">
        <f>VLOOKUP($A219,'S50'!$C:$BQ,39,0)</f>
        <v>#N/A</v>
      </c>
      <c r="BF219" s="107" t="e">
        <f>VLOOKUP($A219,'S50'!$C:$BQ,40,0)</f>
        <v>#N/A</v>
      </c>
      <c r="BG219" s="107" t="e">
        <f>VLOOKUP($A219,'S50'!$C:$BQ,22,0)</f>
        <v>#N/A</v>
      </c>
      <c r="BH219" s="115" t="e">
        <f>VLOOKUP($A219,'S50'!$C:$BQ,29,0)</f>
        <v>#N/A</v>
      </c>
      <c r="BI219" s="115" t="e">
        <f>VLOOKUP($A219,'S50'!$C:$BQ,30,0)</f>
        <v>#N/A</v>
      </c>
      <c r="BJ219" s="115" t="e">
        <f>VLOOKUP($A219,'S50'!$C:$BQ,52,0)</f>
        <v>#N/A</v>
      </c>
      <c r="BK219" s="115" t="e">
        <f>VLOOKUP($A219,'S50'!$C:$BQ,59,0)</f>
        <v>#N/A</v>
      </c>
      <c r="BL219" s="115" t="e">
        <f>VLOOKUP($A219,'S50'!$C:$BQ,60,0)</f>
        <v>#N/A</v>
      </c>
    </row>
    <row r="220" spans="1:64" x14ac:dyDescent="0.2">
      <c r="A220" s="106" t="s">
        <v>290</v>
      </c>
      <c r="B220" s="107">
        <f>VLOOKUP($A220,'S0 remplacer avec S44'!$C:$BQ,32,0)</f>
        <v>147.15</v>
      </c>
      <c r="C220" s="107">
        <f>VLOOKUP($A220,'S0 remplacer avec S44'!$C:$BQ,39,0)</f>
        <v>40</v>
      </c>
      <c r="D220" s="107">
        <f>VLOOKUP($A220,'S0 remplacer avec S44'!$C:$BQ,40,0)</f>
        <v>77</v>
      </c>
      <c r="E220" s="107">
        <f>VLOOKUP($A220,'S0 remplacer avec S44'!$C:$BQ,22,0)</f>
        <v>1881.4585400000001</v>
      </c>
      <c r="F220" s="115">
        <f>VLOOKUP($A220,'S0 remplacer avec S44'!$C:$BQ,29,0)</f>
        <v>0</v>
      </c>
      <c r="G220" s="115">
        <f>VLOOKUP($A220,'S0 remplacer avec S44'!$C:$BQ,30,0)</f>
        <v>155</v>
      </c>
      <c r="H220" s="115">
        <f>VLOOKUP($A220,'S0 remplacer avec S44'!$C:$BQ,52,0)</f>
        <v>229.4</v>
      </c>
      <c r="I220" s="115">
        <f>VLOOKUP($A220,'S0 remplacer avec S44'!$C:$BQ,59,0)</f>
        <v>0</v>
      </c>
      <c r="J220" s="115">
        <f>VLOOKUP($A220,'S0 remplacer avec S44'!$C:$BQ,60,0)</f>
        <v>0</v>
      </c>
      <c r="K220" s="107" t="e">
        <f>VLOOKUP($A220,'S45'!$C:$BQ,32,0)</f>
        <v>#N/A</v>
      </c>
      <c r="L220" s="107" t="e">
        <f>VLOOKUP($A220,'S45'!$C:$BQ,39,0)</f>
        <v>#N/A</v>
      </c>
      <c r="M220" s="107" t="e">
        <f>VLOOKUP($A220,'S45'!$C:$BQ,40,0)</f>
        <v>#N/A</v>
      </c>
      <c r="N220" s="107" t="e">
        <f>VLOOKUP($A220,'S45'!$C:$BQ,22,0)</f>
        <v>#N/A</v>
      </c>
      <c r="O220" s="115" t="e">
        <f>VLOOKUP($A220,'S45'!$C:$BQ,29,0)</f>
        <v>#N/A</v>
      </c>
      <c r="P220" s="115" t="e">
        <f>VLOOKUP($A220,'S45'!$C:$BQ,30,0)</f>
        <v>#N/A</v>
      </c>
      <c r="Q220" s="115" t="e">
        <f>VLOOKUP($A220,'S45'!$C:$BQ,52,0)</f>
        <v>#N/A</v>
      </c>
      <c r="R220" s="115" t="e">
        <f>VLOOKUP($A220,'S45'!$C:$BQ,59,0)</f>
        <v>#N/A</v>
      </c>
      <c r="S220" s="115" t="e">
        <f>VLOOKUP($A220,'S45'!$C:$BQ,60,0)</f>
        <v>#N/A</v>
      </c>
      <c r="T220" s="107" t="e">
        <f>VLOOKUP($A220,'S46'!$C:$BQ,32,0)</f>
        <v>#N/A</v>
      </c>
      <c r="U220" s="107" t="e">
        <f>VLOOKUP($A220,'S46'!$C:$BQ,39,0)</f>
        <v>#N/A</v>
      </c>
      <c r="V220" s="107" t="e">
        <f>VLOOKUP($A220,'S46'!$C:$BQ,40,0)</f>
        <v>#N/A</v>
      </c>
      <c r="W220" s="107" t="e">
        <f>VLOOKUP($A220,'S46'!$C:$BQ,22,0)</f>
        <v>#N/A</v>
      </c>
      <c r="X220" s="115" t="e">
        <f>VLOOKUP($A220,'S46'!$C:$BQ,29,0)</f>
        <v>#N/A</v>
      </c>
      <c r="Y220" s="115" t="e">
        <f>VLOOKUP($A220,'S46'!$C:$BQ,30,0)</f>
        <v>#N/A</v>
      </c>
      <c r="Z220" s="115" t="e">
        <f>VLOOKUP($A220,'S46'!$C:$BQ,52,0)</f>
        <v>#N/A</v>
      </c>
      <c r="AA220" s="115" t="e">
        <f>VLOOKUP($A220,'S46'!$C:$BQ,59,0)</f>
        <v>#N/A</v>
      </c>
      <c r="AB220" s="115" t="e">
        <f>VLOOKUP($A220,'S46'!$C:$BQ,60,0)</f>
        <v>#N/A</v>
      </c>
      <c r="AC220" s="107" t="e">
        <f>VLOOKUP($A220,'S47'!$C:$BQ,32,0)</f>
        <v>#N/A</v>
      </c>
      <c r="AD220" s="107" t="e">
        <f>VLOOKUP($A220,'S47'!$C:$BQ,39,0)</f>
        <v>#N/A</v>
      </c>
      <c r="AE220" s="107" t="e">
        <f>VLOOKUP($A220,'S47'!$C:$BQ,40,0)</f>
        <v>#N/A</v>
      </c>
      <c r="AF220" s="107" t="e">
        <f>VLOOKUP($A220,'S47'!$C:$BQ,22,0)</f>
        <v>#N/A</v>
      </c>
      <c r="AG220" s="115" t="e">
        <f>VLOOKUP($A220,'S47'!$C:$BQ,29,0)</f>
        <v>#N/A</v>
      </c>
      <c r="AH220" s="115" t="e">
        <f>VLOOKUP($A220,'S47'!$C:$BQ,30,0)</f>
        <v>#N/A</v>
      </c>
      <c r="AI220" s="115" t="e">
        <f>VLOOKUP($A220,'S47'!$C:$BQ,52,0)</f>
        <v>#N/A</v>
      </c>
      <c r="AJ220" s="115" t="e">
        <f>VLOOKUP($A220,'S47'!$C:$BQ,59,0)</f>
        <v>#N/A</v>
      </c>
      <c r="AK220" s="115" t="e">
        <f>VLOOKUP($A220,'S47'!$C:$BQ,60,0)</f>
        <v>#N/A</v>
      </c>
      <c r="AL220" s="107" t="e">
        <f>VLOOKUP($A220,'S48'!$C:$BQ,32,0)</f>
        <v>#N/A</v>
      </c>
      <c r="AM220" s="107" t="e">
        <f>VLOOKUP($A220,'S48'!$C:$BQ,39,0)</f>
        <v>#N/A</v>
      </c>
      <c r="AN220" s="107" t="e">
        <f>VLOOKUP($A220,'S48'!$C:$BQ,40,0)</f>
        <v>#N/A</v>
      </c>
      <c r="AO220" s="107" t="e">
        <f>VLOOKUP($A220,'S48'!$C:$BQ,22,0)</f>
        <v>#N/A</v>
      </c>
      <c r="AP220" s="115" t="e">
        <f>VLOOKUP($A220,'S48'!$C:$BQ,29,0)</f>
        <v>#N/A</v>
      </c>
      <c r="AQ220" s="115" t="e">
        <f>VLOOKUP($A220,'S48'!$C:$BQ,30,0)</f>
        <v>#N/A</v>
      </c>
      <c r="AR220" s="115" t="e">
        <f>VLOOKUP($A220,'S48'!$C:$BQ,52,0)</f>
        <v>#N/A</v>
      </c>
      <c r="AS220" s="115" t="e">
        <f>VLOOKUP($A220,'S48'!$C:$BQ,59,0)</f>
        <v>#N/A</v>
      </c>
      <c r="AT220" s="115" t="e">
        <f>VLOOKUP($A220,'S48'!$C:$BQ,60,0)</f>
        <v>#N/A</v>
      </c>
      <c r="AU220" s="107" t="e">
        <f>VLOOKUP($A220,'S49'!$C:$BQ,32,0)</f>
        <v>#N/A</v>
      </c>
      <c r="AV220" s="107" t="e">
        <f>VLOOKUP($A220,'S49'!$C:$BQ,39,0)</f>
        <v>#N/A</v>
      </c>
      <c r="AW220" s="107" t="e">
        <f>VLOOKUP($A220,'S49'!$C:$BQ,40,0)</f>
        <v>#N/A</v>
      </c>
      <c r="AX220" s="107" t="e">
        <f>VLOOKUP($A220,'S49'!$C:$BQ,22,0)</f>
        <v>#N/A</v>
      </c>
      <c r="AY220" s="115" t="e">
        <f>VLOOKUP($A220,'S49'!$C:$BQ,29,0)</f>
        <v>#N/A</v>
      </c>
      <c r="AZ220" s="115" t="e">
        <f>VLOOKUP($A220,'S49'!$C:$BQ,30,0)</f>
        <v>#N/A</v>
      </c>
      <c r="BA220" s="115" t="e">
        <f>VLOOKUP($A220,'S49'!$C:$BQ,52,0)</f>
        <v>#N/A</v>
      </c>
      <c r="BB220" s="115" t="e">
        <f>VLOOKUP($A220,'S49'!$C:$BQ,59,0)</f>
        <v>#N/A</v>
      </c>
      <c r="BC220" s="115" t="e">
        <f>VLOOKUP($A220,'S49'!$C:$BQ,60,0)</f>
        <v>#N/A</v>
      </c>
      <c r="BD220" s="107" t="e">
        <f>VLOOKUP($A220,'S50'!$C:$BQ,32,0)</f>
        <v>#N/A</v>
      </c>
      <c r="BE220" s="107" t="e">
        <f>VLOOKUP($A220,'S50'!$C:$BQ,39,0)</f>
        <v>#N/A</v>
      </c>
      <c r="BF220" s="107" t="e">
        <f>VLOOKUP($A220,'S50'!$C:$BQ,40,0)</f>
        <v>#N/A</v>
      </c>
      <c r="BG220" s="107" t="e">
        <f>VLOOKUP($A220,'S50'!$C:$BQ,22,0)</f>
        <v>#N/A</v>
      </c>
      <c r="BH220" s="115" t="e">
        <f>VLOOKUP($A220,'S50'!$C:$BQ,29,0)</f>
        <v>#N/A</v>
      </c>
      <c r="BI220" s="115" t="e">
        <f>VLOOKUP($A220,'S50'!$C:$BQ,30,0)</f>
        <v>#N/A</v>
      </c>
      <c r="BJ220" s="115" t="e">
        <f>VLOOKUP($A220,'S50'!$C:$BQ,52,0)</f>
        <v>#N/A</v>
      </c>
      <c r="BK220" s="115" t="e">
        <f>VLOOKUP($A220,'S50'!$C:$BQ,59,0)</f>
        <v>#N/A</v>
      </c>
      <c r="BL220" s="115" t="e">
        <f>VLOOKUP($A220,'S50'!$C:$BQ,60,0)</f>
        <v>#N/A</v>
      </c>
    </row>
    <row r="221" spans="1:64" x14ac:dyDescent="0.2">
      <c r="A221" s="106" t="s">
        <v>291</v>
      </c>
      <c r="B221" s="107">
        <f>VLOOKUP($A221,'S0 remplacer avec S44'!$C:$BQ,32,0)</f>
        <v>185.55</v>
      </c>
      <c r="C221" s="107">
        <f>VLOOKUP($A221,'S0 remplacer avec S44'!$C:$BQ,39,0)</f>
        <v>14</v>
      </c>
      <c r="D221" s="107">
        <f>VLOOKUP($A221,'S0 remplacer avec S44'!$C:$BQ,40,0)</f>
        <v>53</v>
      </c>
      <c r="E221" s="107">
        <f>VLOOKUP($A221,'S0 remplacer avec S44'!$C:$BQ,22,0)</f>
        <v>1586.928715</v>
      </c>
      <c r="F221" s="115">
        <f>VLOOKUP($A221,'S0 remplacer avec S44'!$C:$BQ,29,0)</f>
        <v>220</v>
      </c>
      <c r="G221" s="115">
        <f>VLOOKUP($A221,'S0 remplacer avec S44'!$C:$BQ,30,0)</f>
        <v>581</v>
      </c>
      <c r="H221" s="115">
        <f>VLOOKUP($A221,'S0 remplacer avec S44'!$C:$BQ,52,0)</f>
        <v>129.6</v>
      </c>
      <c r="I221" s="115">
        <f>VLOOKUP($A221,'S0 remplacer avec S44'!$C:$BQ,59,0)</f>
        <v>0</v>
      </c>
      <c r="J221" s="115">
        <f>VLOOKUP($A221,'S0 remplacer avec S44'!$C:$BQ,60,0)</f>
        <v>0</v>
      </c>
      <c r="K221" s="107" t="e">
        <f>VLOOKUP($A221,'S45'!$C:$BQ,32,0)</f>
        <v>#N/A</v>
      </c>
      <c r="L221" s="107" t="e">
        <f>VLOOKUP($A221,'S45'!$C:$BQ,39,0)</f>
        <v>#N/A</v>
      </c>
      <c r="M221" s="107" t="e">
        <f>VLOOKUP($A221,'S45'!$C:$BQ,40,0)</f>
        <v>#N/A</v>
      </c>
      <c r="N221" s="107" t="e">
        <f>VLOOKUP($A221,'S45'!$C:$BQ,22,0)</f>
        <v>#N/A</v>
      </c>
      <c r="O221" s="115" t="e">
        <f>VLOOKUP($A221,'S45'!$C:$BQ,29,0)</f>
        <v>#N/A</v>
      </c>
      <c r="P221" s="115" t="e">
        <f>VLOOKUP($A221,'S45'!$C:$BQ,30,0)</f>
        <v>#N/A</v>
      </c>
      <c r="Q221" s="115" t="e">
        <f>VLOOKUP($A221,'S45'!$C:$BQ,52,0)</f>
        <v>#N/A</v>
      </c>
      <c r="R221" s="115" t="e">
        <f>VLOOKUP($A221,'S45'!$C:$BQ,59,0)</f>
        <v>#N/A</v>
      </c>
      <c r="S221" s="115" t="e">
        <f>VLOOKUP($A221,'S45'!$C:$BQ,60,0)</f>
        <v>#N/A</v>
      </c>
      <c r="T221" s="107" t="e">
        <f>VLOOKUP($A221,'S46'!$C:$BQ,32,0)</f>
        <v>#N/A</v>
      </c>
      <c r="U221" s="107" t="e">
        <f>VLOOKUP($A221,'S46'!$C:$BQ,39,0)</f>
        <v>#N/A</v>
      </c>
      <c r="V221" s="107" t="e">
        <f>VLOOKUP($A221,'S46'!$C:$BQ,40,0)</f>
        <v>#N/A</v>
      </c>
      <c r="W221" s="107" t="e">
        <f>VLOOKUP($A221,'S46'!$C:$BQ,22,0)</f>
        <v>#N/A</v>
      </c>
      <c r="X221" s="115" t="e">
        <f>VLOOKUP($A221,'S46'!$C:$BQ,29,0)</f>
        <v>#N/A</v>
      </c>
      <c r="Y221" s="115" t="e">
        <f>VLOOKUP($A221,'S46'!$C:$BQ,30,0)</f>
        <v>#N/A</v>
      </c>
      <c r="Z221" s="115" t="e">
        <f>VLOOKUP($A221,'S46'!$C:$BQ,52,0)</f>
        <v>#N/A</v>
      </c>
      <c r="AA221" s="115" t="e">
        <f>VLOOKUP($A221,'S46'!$C:$BQ,59,0)</f>
        <v>#N/A</v>
      </c>
      <c r="AB221" s="115" t="e">
        <f>VLOOKUP($A221,'S46'!$C:$BQ,60,0)</f>
        <v>#N/A</v>
      </c>
      <c r="AC221" s="107" t="e">
        <f>VLOOKUP($A221,'S47'!$C:$BQ,32,0)</f>
        <v>#N/A</v>
      </c>
      <c r="AD221" s="107" t="e">
        <f>VLOOKUP($A221,'S47'!$C:$BQ,39,0)</f>
        <v>#N/A</v>
      </c>
      <c r="AE221" s="107" t="e">
        <f>VLOOKUP($A221,'S47'!$C:$BQ,40,0)</f>
        <v>#N/A</v>
      </c>
      <c r="AF221" s="107" t="e">
        <f>VLOOKUP($A221,'S47'!$C:$BQ,22,0)</f>
        <v>#N/A</v>
      </c>
      <c r="AG221" s="115" t="e">
        <f>VLOOKUP($A221,'S47'!$C:$BQ,29,0)</f>
        <v>#N/A</v>
      </c>
      <c r="AH221" s="115" t="e">
        <f>VLOOKUP($A221,'S47'!$C:$BQ,30,0)</f>
        <v>#N/A</v>
      </c>
      <c r="AI221" s="115" t="e">
        <f>VLOOKUP($A221,'S47'!$C:$BQ,52,0)</f>
        <v>#N/A</v>
      </c>
      <c r="AJ221" s="115" t="e">
        <f>VLOOKUP($A221,'S47'!$C:$BQ,59,0)</f>
        <v>#N/A</v>
      </c>
      <c r="AK221" s="115" t="e">
        <f>VLOOKUP($A221,'S47'!$C:$BQ,60,0)</f>
        <v>#N/A</v>
      </c>
      <c r="AL221" s="107" t="e">
        <f>VLOOKUP($A221,'S48'!$C:$BQ,32,0)</f>
        <v>#N/A</v>
      </c>
      <c r="AM221" s="107" t="e">
        <f>VLOOKUP($A221,'S48'!$C:$BQ,39,0)</f>
        <v>#N/A</v>
      </c>
      <c r="AN221" s="107" t="e">
        <f>VLOOKUP($A221,'S48'!$C:$BQ,40,0)</f>
        <v>#N/A</v>
      </c>
      <c r="AO221" s="107" t="e">
        <f>VLOOKUP($A221,'S48'!$C:$BQ,22,0)</f>
        <v>#N/A</v>
      </c>
      <c r="AP221" s="115" t="e">
        <f>VLOOKUP($A221,'S48'!$C:$BQ,29,0)</f>
        <v>#N/A</v>
      </c>
      <c r="AQ221" s="115" t="e">
        <f>VLOOKUP($A221,'S48'!$C:$BQ,30,0)</f>
        <v>#N/A</v>
      </c>
      <c r="AR221" s="115" t="e">
        <f>VLOOKUP($A221,'S48'!$C:$BQ,52,0)</f>
        <v>#N/A</v>
      </c>
      <c r="AS221" s="115" t="e">
        <f>VLOOKUP($A221,'S48'!$C:$BQ,59,0)</f>
        <v>#N/A</v>
      </c>
      <c r="AT221" s="115" t="e">
        <f>VLOOKUP($A221,'S48'!$C:$BQ,60,0)</f>
        <v>#N/A</v>
      </c>
      <c r="AU221" s="107" t="e">
        <f>VLOOKUP($A221,'S49'!$C:$BQ,32,0)</f>
        <v>#N/A</v>
      </c>
      <c r="AV221" s="107" t="e">
        <f>VLOOKUP($A221,'S49'!$C:$BQ,39,0)</f>
        <v>#N/A</v>
      </c>
      <c r="AW221" s="107" t="e">
        <f>VLOOKUP($A221,'S49'!$C:$BQ,40,0)</f>
        <v>#N/A</v>
      </c>
      <c r="AX221" s="107" t="e">
        <f>VLOOKUP($A221,'S49'!$C:$BQ,22,0)</f>
        <v>#N/A</v>
      </c>
      <c r="AY221" s="115" t="e">
        <f>VLOOKUP($A221,'S49'!$C:$BQ,29,0)</f>
        <v>#N/A</v>
      </c>
      <c r="AZ221" s="115" t="e">
        <f>VLOOKUP($A221,'S49'!$C:$BQ,30,0)</f>
        <v>#N/A</v>
      </c>
      <c r="BA221" s="115" t="e">
        <f>VLOOKUP($A221,'S49'!$C:$BQ,52,0)</f>
        <v>#N/A</v>
      </c>
      <c r="BB221" s="115" t="e">
        <f>VLOOKUP($A221,'S49'!$C:$BQ,59,0)</f>
        <v>#N/A</v>
      </c>
      <c r="BC221" s="115" t="e">
        <f>VLOOKUP($A221,'S49'!$C:$BQ,60,0)</f>
        <v>#N/A</v>
      </c>
      <c r="BD221" s="107" t="e">
        <f>VLOOKUP($A221,'S50'!$C:$BQ,32,0)</f>
        <v>#N/A</v>
      </c>
      <c r="BE221" s="107" t="e">
        <f>VLOOKUP($A221,'S50'!$C:$BQ,39,0)</f>
        <v>#N/A</v>
      </c>
      <c r="BF221" s="107" t="e">
        <f>VLOOKUP($A221,'S50'!$C:$BQ,40,0)</f>
        <v>#N/A</v>
      </c>
      <c r="BG221" s="107" t="e">
        <f>VLOOKUP($A221,'S50'!$C:$BQ,22,0)</f>
        <v>#N/A</v>
      </c>
      <c r="BH221" s="115" t="e">
        <f>VLOOKUP($A221,'S50'!$C:$BQ,29,0)</f>
        <v>#N/A</v>
      </c>
      <c r="BI221" s="115" t="e">
        <f>VLOOKUP($A221,'S50'!$C:$BQ,30,0)</f>
        <v>#N/A</v>
      </c>
      <c r="BJ221" s="115" t="e">
        <f>VLOOKUP($A221,'S50'!$C:$BQ,52,0)</f>
        <v>#N/A</v>
      </c>
      <c r="BK221" s="115" t="e">
        <f>VLOOKUP($A221,'S50'!$C:$BQ,59,0)</f>
        <v>#N/A</v>
      </c>
      <c r="BL221" s="115" t="e">
        <f>VLOOKUP($A221,'S50'!$C:$BQ,60,0)</f>
        <v>#N/A</v>
      </c>
    </row>
    <row r="222" spans="1:64" x14ac:dyDescent="0.2">
      <c r="A222" s="106" t="s">
        <v>292</v>
      </c>
      <c r="B222" s="107">
        <f>VLOOKUP($A222,'S0 remplacer avec S44'!$C:$BQ,32,0)</f>
        <v>248.6</v>
      </c>
      <c r="C222" s="107">
        <f>VLOOKUP($A222,'S0 remplacer avec S44'!$C:$BQ,39,0)</f>
        <v>238</v>
      </c>
      <c r="D222" s="107">
        <f>VLOOKUP($A222,'S0 remplacer avec S44'!$C:$BQ,40,0)</f>
        <v>335</v>
      </c>
      <c r="E222" s="107">
        <f>VLOOKUP($A222,'S0 remplacer avec S44'!$C:$BQ,22,0)</f>
        <v>4758.2896899999996</v>
      </c>
      <c r="F222" s="115">
        <f>VLOOKUP($A222,'S0 remplacer avec S44'!$C:$BQ,29,0)</f>
        <v>0</v>
      </c>
      <c r="G222" s="115">
        <f>VLOOKUP($A222,'S0 remplacer avec S44'!$C:$BQ,30,0)</f>
        <v>543</v>
      </c>
      <c r="H222" s="115">
        <f>VLOOKUP($A222,'S0 remplacer avec S44'!$C:$BQ,52,0)</f>
        <v>297.39999999999998</v>
      </c>
      <c r="I222" s="115">
        <f>VLOOKUP($A222,'S0 remplacer avec S44'!$C:$BQ,59,0)</f>
        <v>0</v>
      </c>
      <c r="J222" s="115">
        <f>VLOOKUP($A222,'S0 remplacer avec S44'!$C:$BQ,60,0)</f>
        <v>0</v>
      </c>
      <c r="K222" s="107" t="e">
        <f>VLOOKUP($A222,'S45'!$C:$BQ,32,0)</f>
        <v>#N/A</v>
      </c>
      <c r="L222" s="107" t="e">
        <f>VLOOKUP($A222,'S45'!$C:$BQ,39,0)</f>
        <v>#N/A</v>
      </c>
      <c r="M222" s="107" t="e">
        <f>VLOOKUP($A222,'S45'!$C:$BQ,40,0)</f>
        <v>#N/A</v>
      </c>
      <c r="N222" s="107" t="e">
        <f>VLOOKUP($A222,'S45'!$C:$BQ,22,0)</f>
        <v>#N/A</v>
      </c>
      <c r="O222" s="115" t="e">
        <f>VLOOKUP($A222,'S45'!$C:$BQ,29,0)</f>
        <v>#N/A</v>
      </c>
      <c r="P222" s="115" t="e">
        <f>VLOOKUP($A222,'S45'!$C:$BQ,30,0)</f>
        <v>#N/A</v>
      </c>
      <c r="Q222" s="115" t="e">
        <f>VLOOKUP($A222,'S45'!$C:$BQ,52,0)</f>
        <v>#N/A</v>
      </c>
      <c r="R222" s="115" t="e">
        <f>VLOOKUP($A222,'S45'!$C:$BQ,59,0)</f>
        <v>#N/A</v>
      </c>
      <c r="S222" s="115" t="e">
        <f>VLOOKUP($A222,'S45'!$C:$BQ,60,0)</f>
        <v>#N/A</v>
      </c>
      <c r="T222" s="107" t="e">
        <f>VLOOKUP($A222,'S46'!$C:$BQ,32,0)</f>
        <v>#N/A</v>
      </c>
      <c r="U222" s="107" t="e">
        <f>VLOOKUP($A222,'S46'!$C:$BQ,39,0)</f>
        <v>#N/A</v>
      </c>
      <c r="V222" s="107" t="e">
        <f>VLOOKUP($A222,'S46'!$C:$BQ,40,0)</f>
        <v>#N/A</v>
      </c>
      <c r="W222" s="107" t="e">
        <f>VLOOKUP($A222,'S46'!$C:$BQ,22,0)</f>
        <v>#N/A</v>
      </c>
      <c r="X222" s="115" t="e">
        <f>VLOOKUP($A222,'S46'!$C:$BQ,29,0)</f>
        <v>#N/A</v>
      </c>
      <c r="Y222" s="115" t="e">
        <f>VLOOKUP($A222,'S46'!$C:$BQ,30,0)</f>
        <v>#N/A</v>
      </c>
      <c r="Z222" s="115" t="e">
        <f>VLOOKUP($A222,'S46'!$C:$BQ,52,0)</f>
        <v>#N/A</v>
      </c>
      <c r="AA222" s="115" t="e">
        <f>VLOOKUP($A222,'S46'!$C:$BQ,59,0)</f>
        <v>#N/A</v>
      </c>
      <c r="AB222" s="115" t="e">
        <f>VLOOKUP($A222,'S46'!$C:$BQ,60,0)</f>
        <v>#N/A</v>
      </c>
      <c r="AC222" s="107" t="e">
        <f>VLOOKUP($A222,'S47'!$C:$BQ,32,0)</f>
        <v>#N/A</v>
      </c>
      <c r="AD222" s="107" t="e">
        <f>VLOOKUP($A222,'S47'!$C:$BQ,39,0)</f>
        <v>#N/A</v>
      </c>
      <c r="AE222" s="107" t="e">
        <f>VLOOKUP($A222,'S47'!$C:$BQ,40,0)</f>
        <v>#N/A</v>
      </c>
      <c r="AF222" s="107" t="e">
        <f>VLOOKUP($A222,'S47'!$C:$BQ,22,0)</f>
        <v>#N/A</v>
      </c>
      <c r="AG222" s="115" t="e">
        <f>VLOOKUP($A222,'S47'!$C:$BQ,29,0)</f>
        <v>#N/A</v>
      </c>
      <c r="AH222" s="115" t="e">
        <f>VLOOKUP($A222,'S47'!$C:$BQ,30,0)</f>
        <v>#N/A</v>
      </c>
      <c r="AI222" s="115" t="e">
        <f>VLOOKUP($A222,'S47'!$C:$BQ,52,0)</f>
        <v>#N/A</v>
      </c>
      <c r="AJ222" s="115" t="e">
        <f>VLOOKUP($A222,'S47'!$C:$BQ,59,0)</f>
        <v>#N/A</v>
      </c>
      <c r="AK222" s="115" t="e">
        <f>VLOOKUP($A222,'S47'!$C:$BQ,60,0)</f>
        <v>#N/A</v>
      </c>
      <c r="AL222" s="107" t="e">
        <f>VLOOKUP($A222,'S48'!$C:$BQ,32,0)</f>
        <v>#N/A</v>
      </c>
      <c r="AM222" s="107" t="e">
        <f>VLOOKUP($A222,'S48'!$C:$BQ,39,0)</f>
        <v>#N/A</v>
      </c>
      <c r="AN222" s="107" t="e">
        <f>VLOOKUP($A222,'S48'!$C:$BQ,40,0)</f>
        <v>#N/A</v>
      </c>
      <c r="AO222" s="107" t="e">
        <f>VLOOKUP($A222,'S48'!$C:$BQ,22,0)</f>
        <v>#N/A</v>
      </c>
      <c r="AP222" s="115" t="e">
        <f>VLOOKUP($A222,'S48'!$C:$BQ,29,0)</f>
        <v>#N/A</v>
      </c>
      <c r="AQ222" s="115" t="e">
        <f>VLOOKUP($A222,'S48'!$C:$BQ,30,0)</f>
        <v>#N/A</v>
      </c>
      <c r="AR222" s="115" t="e">
        <f>VLOOKUP($A222,'S48'!$C:$BQ,52,0)</f>
        <v>#N/A</v>
      </c>
      <c r="AS222" s="115" t="e">
        <f>VLOOKUP($A222,'S48'!$C:$BQ,59,0)</f>
        <v>#N/A</v>
      </c>
      <c r="AT222" s="115" t="e">
        <f>VLOOKUP($A222,'S48'!$C:$BQ,60,0)</f>
        <v>#N/A</v>
      </c>
      <c r="AU222" s="107" t="e">
        <f>VLOOKUP($A222,'S49'!$C:$BQ,32,0)</f>
        <v>#N/A</v>
      </c>
      <c r="AV222" s="107" t="e">
        <f>VLOOKUP($A222,'S49'!$C:$BQ,39,0)</f>
        <v>#N/A</v>
      </c>
      <c r="AW222" s="107" t="e">
        <f>VLOOKUP($A222,'S49'!$C:$BQ,40,0)</f>
        <v>#N/A</v>
      </c>
      <c r="AX222" s="107" t="e">
        <f>VLOOKUP($A222,'S49'!$C:$BQ,22,0)</f>
        <v>#N/A</v>
      </c>
      <c r="AY222" s="115" t="e">
        <f>VLOOKUP($A222,'S49'!$C:$BQ,29,0)</f>
        <v>#N/A</v>
      </c>
      <c r="AZ222" s="115" t="e">
        <f>VLOOKUP($A222,'S49'!$C:$BQ,30,0)</f>
        <v>#N/A</v>
      </c>
      <c r="BA222" s="115" t="e">
        <f>VLOOKUP($A222,'S49'!$C:$BQ,52,0)</f>
        <v>#N/A</v>
      </c>
      <c r="BB222" s="115" t="e">
        <f>VLOOKUP($A222,'S49'!$C:$BQ,59,0)</f>
        <v>#N/A</v>
      </c>
      <c r="BC222" s="115" t="e">
        <f>VLOOKUP($A222,'S49'!$C:$BQ,60,0)</f>
        <v>#N/A</v>
      </c>
      <c r="BD222" s="107" t="e">
        <f>VLOOKUP($A222,'S50'!$C:$BQ,32,0)</f>
        <v>#N/A</v>
      </c>
      <c r="BE222" s="107" t="e">
        <f>VLOOKUP($A222,'S50'!$C:$BQ,39,0)</f>
        <v>#N/A</v>
      </c>
      <c r="BF222" s="107" t="e">
        <f>VLOOKUP($A222,'S50'!$C:$BQ,40,0)</f>
        <v>#N/A</v>
      </c>
      <c r="BG222" s="107" t="e">
        <f>VLOOKUP($A222,'S50'!$C:$BQ,22,0)</f>
        <v>#N/A</v>
      </c>
      <c r="BH222" s="115" t="e">
        <f>VLOOKUP($A222,'S50'!$C:$BQ,29,0)</f>
        <v>#N/A</v>
      </c>
      <c r="BI222" s="115" t="e">
        <f>VLOOKUP($A222,'S50'!$C:$BQ,30,0)</f>
        <v>#N/A</v>
      </c>
      <c r="BJ222" s="115" t="e">
        <f>VLOOKUP($A222,'S50'!$C:$BQ,52,0)</f>
        <v>#N/A</v>
      </c>
      <c r="BK222" s="115" t="e">
        <f>VLOOKUP($A222,'S50'!$C:$BQ,59,0)</f>
        <v>#N/A</v>
      </c>
      <c r="BL222" s="115" t="e">
        <f>VLOOKUP($A222,'S50'!$C:$BQ,60,0)</f>
        <v>#N/A</v>
      </c>
    </row>
    <row r="223" spans="1:64" x14ac:dyDescent="0.2">
      <c r="A223" s="106" t="s">
        <v>293</v>
      </c>
      <c r="B223" s="107">
        <f>VLOOKUP($A223,'S0 remplacer avec S44'!$C:$BQ,32,0)</f>
        <v>113.5</v>
      </c>
      <c r="C223" s="107">
        <f>VLOOKUP($A223,'S0 remplacer avec S44'!$C:$BQ,39,0)</f>
        <v>66</v>
      </c>
      <c r="D223" s="107">
        <f>VLOOKUP($A223,'S0 remplacer avec S44'!$C:$BQ,40,0)</f>
        <v>101</v>
      </c>
      <c r="E223" s="107">
        <f>VLOOKUP($A223,'S0 remplacer avec S44'!$C:$BQ,22,0)</f>
        <v>1676.7995149999999</v>
      </c>
      <c r="F223" s="115">
        <f>VLOOKUP($A223,'S0 remplacer avec S44'!$C:$BQ,29,0)</f>
        <v>0</v>
      </c>
      <c r="G223" s="115">
        <f>VLOOKUP($A223,'S0 remplacer avec S44'!$C:$BQ,30,0)</f>
        <v>274</v>
      </c>
      <c r="H223" s="115">
        <f>VLOOKUP($A223,'S0 remplacer avec S44'!$C:$BQ,52,0)</f>
        <v>71.400000000000006</v>
      </c>
      <c r="I223" s="115">
        <f>VLOOKUP($A223,'S0 remplacer avec S44'!$C:$BQ,59,0)</f>
        <v>20</v>
      </c>
      <c r="J223" s="115">
        <f>VLOOKUP($A223,'S0 remplacer avec S44'!$C:$BQ,60,0)</f>
        <v>38</v>
      </c>
      <c r="K223" s="107" t="e">
        <f>VLOOKUP($A223,'S45'!$C:$BQ,32,0)</f>
        <v>#N/A</v>
      </c>
      <c r="L223" s="107" t="e">
        <f>VLOOKUP($A223,'S45'!$C:$BQ,39,0)</f>
        <v>#N/A</v>
      </c>
      <c r="M223" s="107" t="e">
        <f>VLOOKUP($A223,'S45'!$C:$BQ,40,0)</f>
        <v>#N/A</v>
      </c>
      <c r="N223" s="107" t="e">
        <f>VLOOKUP($A223,'S45'!$C:$BQ,22,0)</f>
        <v>#N/A</v>
      </c>
      <c r="O223" s="115" t="e">
        <f>VLOOKUP($A223,'S45'!$C:$BQ,29,0)</f>
        <v>#N/A</v>
      </c>
      <c r="P223" s="115" t="e">
        <f>VLOOKUP($A223,'S45'!$C:$BQ,30,0)</f>
        <v>#N/A</v>
      </c>
      <c r="Q223" s="115" t="e">
        <f>VLOOKUP($A223,'S45'!$C:$BQ,52,0)</f>
        <v>#N/A</v>
      </c>
      <c r="R223" s="115" t="e">
        <f>VLOOKUP($A223,'S45'!$C:$BQ,59,0)</f>
        <v>#N/A</v>
      </c>
      <c r="S223" s="115" t="e">
        <f>VLOOKUP($A223,'S45'!$C:$BQ,60,0)</f>
        <v>#N/A</v>
      </c>
      <c r="T223" s="107" t="e">
        <f>VLOOKUP($A223,'S46'!$C:$BQ,32,0)</f>
        <v>#N/A</v>
      </c>
      <c r="U223" s="107" t="e">
        <f>VLOOKUP($A223,'S46'!$C:$BQ,39,0)</f>
        <v>#N/A</v>
      </c>
      <c r="V223" s="107" t="e">
        <f>VLOOKUP($A223,'S46'!$C:$BQ,40,0)</f>
        <v>#N/A</v>
      </c>
      <c r="W223" s="107" t="e">
        <f>VLOOKUP($A223,'S46'!$C:$BQ,22,0)</f>
        <v>#N/A</v>
      </c>
      <c r="X223" s="115" t="e">
        <f>VLOOKUP($A223,'S46'!$C:$BQ,29,0)</f>
        <v>#N/A</v>
      </c>
      <c r="Y223" s="115" t="e">
        <f>VLOOKUP($A223,'S46'!$C:$BQ,30,0)</f>
        <v>#N/A</v>
      </c>
      <c r="Z223" s="115" t="e">
        <f>VLOOKUP($A223,'S46'!$C:$BQ,52,0)</f>
        <v>#N/A</v>
      </c>
      <c r="AA223" s="115" t="e">
        <f>VLOOKUP($A223,'S46'!$C:$BQ,59,0)</f>
        <v>#N/A</v>
      </c>
      <c r="AB223" s="115" t="e">
        <f>VLOOKUP($A223,'S46'!$C:$BQ,60,0)</f>
        <v>#N/A</v>
      </c>
      <c r="AC223" s="107" t="e">
        <f>VLOOKUP($A223,'S47'!$C:$BQ,32,0)</f>
        <v>#N/A</v>
      </c>
      <c r="AD223" s="107" t="e">
        <f>VLOOKUP($A223,'S47'!$C:$BQ,39,0)</f>
        <v>#N/A</v>
      </c>
      <c r="AE223" s="107" t="e">
        <f>VLOOKUP($A223,'S47'!$C:$BQ,40,0)</f>
        <v>#N/A</v>
      </c>
      <c r="AF223" s="107" t="e">
        <f>VLOOKUP($A223,'S47'!$C:$BQ,22,0)</f>
        <v>#N/A</v>
      </c>
      <c r="AG223" s="115" t="e">
        <f>VLOOKUP($A223,'S47'!$C:$BQ,29,0)</f>
        <v>#N/A</v>
      </c>
      <c r="AH223" s="115" t="e">
        <f>VLOOKUP($A223,'S47'!$C:$BQ,30,0)</f>
        <v>#N/A</v>
      </c>
      <c r="AI223" s="115" t="e">
        <f>VLOOKUP($A223,'S47'!$C:$BQ,52,0)</f>
        <v>#N/A</v>
      </c>
      <c r="AJ223" s="115" t="e">
        <f>VLOOKUP($A223,'S47'!$C:$BQ,59,0)</f>
        <v>#N/A</v>
      </c>
      <c r="AK223" s="115" t="e">
        <f>VLOOKUP($A223,'S47'!$C:$BQ,60,0)</f>
        <v>#N/A</v>
      </c>
      <c r="AL223" s="107" t="e">
        <f>VLOOKUP($A223,'S48'!$C:$BQ,32,0)</f>
        <v>#N/A</v>
      </c>
      <c r="AM223" s="107" t="e">
        <f>VLOOKUP($A223,'S48'!$C:$BQ,39,0)</f>
        <v>#N/A</v>
      </c>
      <c r="AN223" s="107" t="e">
        <f>VLOOKUP($A223,'S48'!$C:$BQ,40,0)</f>
        <v>#N/A</v>
      </c>
      <c r="AO223" s="107" t="e">
        <f>VLOOKUP($A223,'S48'!$C:$BQ,22,0)</f>
        <v>#N/A</v>
      </c>
      <c r="AP223" s="115" t="e">
        <f>VLOOKUP($A223,'S48'!$C:$BQ,29,0)</f>
        <v>#N/A</v>
      </c>
      <c r="AQ223" s="115" t="e">
        <f>VLOOKUP($A223,'S48'!$C:$BQ,30,0)</f>
        <v>#N/A</v>
      </c>
      <c r="AR223" s="115" t="e">
        <f>VLOOKUP($A223,'S48'!$C:$BQ,52,0)</f>
        <v>#N/A</v>
      </c>
      <c r="AS223" s="115" t="e">
        <f>VLOOKUP($A223,'S48'!$C:$BQ,59,0)</f>
        <v>#N/A</v>
      </c>
      <c r="AT223" s="115" t="e">
        <f>VLOOKUP($A223,'S48'!$C:$BQ,60,0)</f>
        <v>#N/A</v>
      </c>
      <c r="AU223" s="107" t="e">
        <f>VLOOKUP($A223,'S49'!$C:$BQ,32,0)</f>
        <v>#N/A</v>
      </c>
      <c r="AV223" s="107" t="e">
        <f>VLOOKUP($A223,'S49'!$C:$BQ,39,0)</f>
        <v>#N/A</v>
      </c>
      <c r="AW223" s="107" t="e">
        <f>VLOOKUP($A223,'S49'!$C:$BQ,40,0)</f>
        <v>#N/A</v>
      </c>
      <c r="AX223" s="107" t="e">
        <f>VLOOKUP($A223,'S49'!$C:$BQ,22,0)</f>
        <v>#N/A</v>
      </c>
      <c r="AY223" s="115" t="e">
        <f>VLOOKUP($A223,'S49'!$C:$BQ,29,0)</f>
        <v>#N/A</v>
      </c>
      <c r="AZ223" s="115" t="e">
        <f>VLOOKUP($A223,'S49'!$C:$BQ,30,0)</f>
        <v>#N/A</v>
      </c>
      <c r="BA223" s="115" t="e">
        <f>VLOOKUP($A223,'S49'!$C:$BQ,52,0)</f>
        <v>#N/A</v>
      </c>
      <c r="BB223" s="115" t="e">
        <f>VLOOKUP($A223,'S49'!$C:$BQ,59,0)</f>
        <v>#N/A</v>
      </c>
      <c r="BC223" s="115" t="e">
        <f>VLOOKUP($A223,'S49'!$C:$BQ,60,0)</f>
        <v>#N/A</v>
      </c>
      <c r="BD223" s="107" t="e">
        <f>VLOOKUP($A223,'S50'!$C:$BQ,32,0)</f>
        <v>#N/A</v>
      </c>
      <c r="BE223" s="107" t="e">
        <f>VLOOKUP($A223,'S50'!$C:$BQ,39,0)</f>
        <v>#N/A</v>
      </c>
      <c r="BF223" s="107" t="e">
        <f>VLOOKUP($A223,'S50'!$C:$BQ,40,0)</f>
        <v>#N/A</v>
      </c>
      <c r="BG223" s="107" t="e">
        <f>VLOOKUP($A223,'S50'!$C:$BQ,22,0)</f>
        <v>#N/A</v>
      </c>
      <c r="BH223" s="115" t="e">
        <f>VLOOKUP($A223,'S50'!$C:$BQ,29,0)</f>
        <v>#N/A</v>
      </c>
      <c r="BI223" s="115" t="e">
        <f>VLOOKUP($A223,'S50'!$C:$BQ,30,0)</f>
        <v>#N/A</v>
      </c>
      <c r="BJ223" s="115" t="e">
        <f>VLOOKUP($A223,'S50'!$C:$BQ,52,0)</f>
        <v>#N/A</v>
      </c>
      <c r="BK223" s="115" t="e">
        <f>VLOOKUP($A223,'S50'!$C:$BQ,59,0)</f>
        <v>#N/A</v>
      </c>
      <c r="BL223" s="115" t="e">
        <f>VLOOKUP($A223,'S50'!$C:$BQ,60,0)</f>
        <v>#N/A</v>
      </c>
    </row>
    <row r="224" spans="1:64" x14ac:dyDescent="0.2">
      <c r="A224" s="106" t="s">
        <v>294</v>
      </c>
      <c r="B224" s="107">
        <f>VLOOKUP($A224,'S0 remplacer avec S44'!$C:$BQ,32,0)</f>
        <v>136.15</v>
      </c>
      <c r="C224" s="107">
        <f>VLOOKUP($A224,'S0 remplacer avec S44'!$C:$BQ,39,0)</f>
        <v>52</v>
      </c>
      <c r="D224" s="107">
        <f>VLOOKUP($A224,'S0 remplacer avec S44'!$C:$BQ,40,0)</f>
        <v>89</v>
      </c>
      <c r="E224" s="107">
        <f>VLOOKUP($A224,'S0 remplacer avec S44'!$C:$BQ,22,0)</f>
        <v>2388.0721800000001</v>
      </c>
      <c r="F224" s="115">
        <f>VLOOKUP($A224,'S0 remplacer avec S44'!$C:$BQ,29,0)</f>
        <v>0</v>
      </c>
      <c r="G224" s="115">
        <f>VLOOKUP($A224,'S0 remplacer avec S44'!$C:$BQ,30,0)</f>
        <v>0</v>
      </c>
      <c r="H224" s="115">
        <f>VLOOKUP($A224,'S0 remplacer avec S44'!$C:$BQ,52,0)</f>
        <v>104.4</v>
      </c>
      <c r="I224" s="115">
        <f>VLOOKUP($A224,'S0 remplacer avec S44'!$C:$BQ,59,0)</f>
        <v>0</v>
      </c>
      <c r="J224" s="115">
        <f>VLOOKUP($A224,'S0 remplacer avec S44'!$C:$BQ,60,0)</f>
        <v>10</v>
      </c>
      <c r="K224" s="107" t="e">
        <f>VLOOKUP($A224,'S45'!$C:$BQ,32,0)</f>
        <v>#N/A</v>
      </c>
      <c r="L224" s="107" t="e">
        <f>VLOOKUP($A224,'S45'!$C:$BQ,39,0)</f>
        <v>#N/A</v>
      </c>
      <c r="M224" s="107" t="e">
        <f>VLOOKUP($A224,'S45'!$C:$BQ,40,0)</f>
        <v>#N/A</v>
      </c>
      <c r="N224" s="107" t="e">
        <f>VLOOKUP($A224,'S45'!$C:$BQ,22,0)</f>
        <v>#N/A</v>
      </c>
      <c r="O224" s="115" t="e">
        <f>VLOOKUP($A224,'S45'!$C:$BQ,29,0)</f>
        <v>#N/A</v>
      </c>
      <c r="P224" s="115" t="e">
        <f>VLOOKUP($A224,'S45'!$C:$BQ,30,0)</f>
        <v>#N/A</v>
      </c>
      <c r="Q224" s="115" t="e">
        <f>VLOOKUP($A224,'S45'!$C:$BQ,52,0)</f>
        <v>#N/A</v>
      </c>
      <c r="R224" s="115" t="e">
        <f>VLOOKUP($A224,'S45'!$C:$BQ,59,0)</f>
        <v>#N/A</v>
      </c>
      <c r="S224" s="115" t="e">
        <f>VLOOKUP($A224,'S45'!$C:$BQ,60,0)</f>
        <v>#N/A</v>
      </c>
      <c r="T224" s="107" t="e">
        <f>VLOOKUP($A224,'S46'!$C:$BQ,32,0)</f>
        <v>#N/A</v>
      </c>
      <c r="U224" s="107" t="e">
        <f>VLOOKUP($A224,'S46'!$C:$BQ,39,0)</f>
        <v>#N/A</v>
      </c>
      <c r="V224" s="107" t="e">
        <f>VLOOKUP($A224,'S46'!$C:$BQ,40,0)</f>
        <v>#N/A</v>
      </c>
      <c r="W224" s="107" t="e">
        <f>VLOOKUP($A224,'S46'!$C:$BQ,22,0)</f>
        <v>#N/A</v>
      </c>
      <c r="X224" s="115" t="e">
        <f>VLOOKUP($A224,'S46'!$C:$BQ,29,0)</f>
        <v>#N/A</v>
      </c>
      <c r="Y224" s="115" t="e">
        <f>VLOOKUP($A224,'S46'!$C:$BQ,30,0)</f>
        <v>#N/A</v>
      </c>
      <c r="Z224" s="115" t="e">
        <f>VLOOKUP($A224,'S46'!$C:$BQ,52,0)</f>
        <v>#N/A</v>
      </c>
      <c r="AA224" s="115" t="e">
        <f>VLOOKUP($A224,'S46'!$C:$BQ,59,0)</f>
        <v>#N/A</v>
      </c>
      <c r="AB224" s="115" t="e">
        <f>VLOOKUP($A224,'S46'!$C:$BQ,60,0)</f>
        <v>#N/A</v>
      </c>
      <c r="AC224" s="107" t="e">
        <f>VLOOKUP($A224,'S47'!$C:$BQ,32,0)</f>
        <v>#N/A</v>
      </c>
      <c r="AD224" s="107" t="e">
        <f>VLOOKUP($A224,'S47'!$C:$BQ,39,0)</f>
        <v>#N/A</v>
      </c>
      <c r="AE224" s="107" t="e">
        <f>VLOOKUP($A224,'S47'!$C:$BQ,40,0)</f>
        <v>#N/A</v>
      </c>
      <c r="AF224" s="107" t="e">
        <f>VLOOKUP($A224,'S47'!$C:$BQ,22,0)</f>
        <v>#N/A</v>
      </c>
      <c r="AG224" s="115" t="e">
        <f>VLOOKUP($A224,'S47'!$C:$BQ,29,0)</f>
        <v>#N/A</v>
      </c>
      <c r="AH224" s="115" t="e">
        <f>VLOOKUP($A224,'S47'!$C:$BQ,30,0)</f>
        <v>#N/A</v>
      </c>
      <c r="AI224" s="115" t="e">
        <f>VLOOKUP($A224,'S47'!$C:$BQ,52,0)</f>
        <v>#N/A</v>
      </c>
      <c r="AJ224" s="115" t="e">
        <f>VLOOKUP($A224,'S47'!$C:$BQ,59,0)</f>
        <v>#N/A</v>
      </c>
      <c r="AK224" s="115" t="e">
        <f>VLOOKUP($A224,'S47'!$C:$BQ,60,0)</f>
        <v>#N/A</v>
      </c>
      <c r="AL224" s="107" t="e">
        <f>VLOOKUP($A224,'S48'!$C:$BQ,32,0)</f>
        <v>#N/A</v>
      </c>
      <c r="AM224" s="107" t="e">
        <f>VLOOKUP($A224,'S48'!$C:$BQ,39,0)</f>
        <v>#N/A</v>
      </c>
      <c r="AN224" s="107" t="e">
        <f>VLOOKUP($A224,'S48'!$C:$BQ,40,0)</f>
        <v>#N/A</v>
      </c>
      <c r="AO224" s="107" t="e">
        <f>VLOOKUP($A224,'S48'!$C:$BQ,22,0)</f>
        <v>#N/A</v>
      </c>
      <c r="AP224" s="115" t="e">
        <f>VLOOKUP($A224,'S48'!$C:$BQ,29,0)</f>
        <v>#N/A</v>
      </c>
      <c r="AQ224" s="115" t="e">
        <f>VLOOKUP($A224,'S48'!$C:$BQ,30,0)</f>
        <v>#N/A</v>
      </c>
      <c r="AR224" s="115" t="e">
        <f>VLOOKUP($A224,'S48'!$C:$BQ,52,0)</f>
        <v>#N/A</v>
      </c>
      <c r="AS224" s="115" t="e">
        <f>VLOOKUP($A224,'S48'!$C:$BQ,59,0)</f>
        <v>#N/A</v>
      </c>
      <c r="AT224" s="115" t="e">
        <f>VLOOKUP($A224,'S48'!$C:$BQ,60,0)</f>
        <v>#N/A</v>
      </c>
      <c r="AU224" s="107" t="e">
        <f>VLOOKUP($A224,'S49'!$C:$BQ,32,0)</f>
        <v>#N/A</v>
      </c>
      <c r="AV224" s="107" t="e">
        <f>VLOOKUP($A224,'S49'!$C:$BQ,39,0)</f>
        <v>#N/A</v>
      </c>
      <c r="AW224" s="107" t="e">
        <f>VLOOKUP($A224,'S49'!$C:$BQ,40,0)</f>
        <v>#N/A</v>
      </c>
      <c r="AX224" s="107" t="e">
        <f>VLOOKUP($A224,'S49'!$C:$BQ,22,0)</f>
        <v>#N/A</v>
      </c>
      <c r="AY224" s="115" t="e">
        <f>VLOOKUP($A224,'S49'!$C:$BQ,29,0)</f>
        <v>#N/A</v>
      </c>
      <c r="AZ224" s="115" t="e">
        <f>VLOOKUP($A224,'S49'!$C:$BQ,30,0)</f>
        <v>#N/A</v>
      </c>
      <c r="BA224" s="115" t="e">
        <f>VLOOKUP($A224,'S49'!$C:$BQ,52,0)</f>
        <v>#N/A</v>
      </c>
      <c r="BB224" s="115" t="e">
        <f>VLOOKUP($A224,'S49'!$C:$BQ,59,0)</f>
        <v>#N/A</v>
      </c>
      <c r="BC224" s="115" t="e">
        <f>VLOOKUP($A224,'S49'!$C:$BQ,60,0)</f>
        <v>#N/A</v>
      </c>
      <c r="BD224" s="107" t="e">
        <f>VLOOKUP($A224,'S50'!$C:$BQ,32,0)</f>
        <v>#N/A</v>
      </c>
      <c r="BE224" s="107" t="e">
        <f>VLOOKUP($A224,'S50'!$C:$BQ,39,0)</f>
        <v>#N/A</v>
      </c>
      <c r="BF224" s="107" t="e">
        <f>VLOOKUP($A224,'S50'!$C:$BQ,40,0)</f>
        <v>#N/A</v>
      </c>
      <c r="BG224" s="107" t="e">
        <f>VLOOKUP($A224,'S50'!$C:$BQ,22,0)</f>
        <v>#N/A</v>
      </c>
      <c r="BH224" s="115" t="e">
        <f>VLOOKUP($A224,'S50'!$C:$BQ,29,0)</f>
        <v>#N/A</v>
      </c>
      <c r="BI224" s="115" t="e">
        <f>VLOOKUP($A224,'S50'!$C:$BQ,30,0)</f>
        <v>#N/A</v>
      </c>
      <c r="BJ224" s="115" t="e">
        <f>VLOOKUP($A224,'S50'!$C:$BQ,52,0)</f>
        <v>#N/A</v>
      </c>
      <c r="BK224" s="115" t="e">
        <f>VLOOKUP($A224,'S50'!$C:$BQ,59,0)</f>
        <v>#N/A</v>
      </c>
      <c r="BL224" s="115" t="e">
        <f>VLOOKUP($A224,'S50'!$C:$BQ,60,0)</f>
        <v>#N/A</v>
      </c>
    </row>
    <row r="225" spans="1:64" x14ac:dyDescent="0.2">
      <c r="A225" s="106" t="s">
        <v>295</v>
      </c>
      <c r="B225" s="107">
        <f>VLOOKUP($A225,'S0 remplacer avec S44'!$C:$BQ,32,0)</f>
        <v>156.85</v>
      </c>
      <c r="C225" s="107">
        <f>VLOOKUP($A225,'S0 remplacer avec S44'!$C:$BQ,39,0)</f>
        <v>52</v>
      </c>
      <c r="D225" s="107">
        <f>VLOOKUP($A225,'S0 remplacer avec S44'!$C:$BQ,40,0)</f>
        <v>94</v>
      </c>
      <c r="E225" s="107">
        <f>VLOOKUP($A225,'S0 remplacer avec S44'!$C:$BQ,22,0)</f>
        <v>1578.5626549999999</v>
      </c>
      <c r="F225" s="115">
        <f>VLOOKUP($A225,'S0 remplacer avec S44'!$C:$BQ,29,0)</f>
        <v>320</v>
      </c>
      <c r="G225" s="115">
        <f>VLOOKUP($A225,'S0 remplacer avec S44'!$C:$BQ,30,0)</f>
        <v>700</v>
      </c>
      <c r="H225" s="115">
        <f>VLOOKUP($A225,'S0 remplacer avec S44'!$C:$BQ,52,0)</f>
        <v>100.8</v>
      </c>
      <c r="I225" s="115">
        <f>VLOOKUP($A225,'S0 remplacer avec S44'!$C:$BQ,59,0)</f>
        <v>6</v>
      </c>
      <c r="J225" s="115">
        <f>VLOOKUP($A225,'S0 remplacer avec S44'!$C:$BQ,60,0)</f>
        <v>27</v>
      </c>
      <c r="K225" s="107" t="e">
        <f>VLOOKUP($A225,'S45'!$C:$BQ,32,0)</f>
        <v>#N/A</v>
      </c>
      <c r="L225" s="107" t="e">
        <f>VLOOKUP($A225,'S45'!$C:$BQ,39,0)</f>
        <v>#N/A</v>
      </c>
      <c r="M225" s="107" t="e">
        <f>VLOOKUP($A225,'S45'!$C:$BQ,40,0)</f>
        <v>#N/A</v>
      </c>
      <c r="N225" s="107" t="e">
        <f>VLOOKUP($A225,'S45'!$C:$BQ,22,0)</f>
        <v>#N/A</v>
      </c>
      <c r="O225" s="115" t="e">
        <f>VLOOKUP($A225,'S45'!$C:$BQ,29,0)</f>
        <v>#N/A</v>
      </c>
      <c r="P225" s="115" t="e">
        <f>VLOOKUP($A225,'S45'!$C:$BQ,30,0)</f>
        <v>#N/A</v>
      </c>
      <c r="Q225" s="115" t="e">
        <f>VLOOKUP($A225,'S45'!$C:$BQ,52,0)</f>
        <v>#N/A</v>
      </c>
      <c r="R225" s="115" t="e">
        <f>VLOOKUP($A225,'S45'!$C:$BQ,59,0)</f>
        <v>#N/A</v>
      </c>
      <c r="S225" s="115" t="e">
        <f>VLOOKUP($A225,'S45'!$C:$BQ,60,0)</f>
        <v>#N/A</v>
      </c>
      <c r="T225" s="107" t="e">
        <f>VLOOKUP($A225,'S46'!$C:$BQ,32,0)</f>
        <v>#N/A</v>
      </c>
      <c r="U225" s="107" t="e">
        <f>VLOOKUP($A225,'S46'!$C:$BQ,39,0)</f>
        <v>#N/A</v>
      </c>
      <c r="V225" s="107" t="e">
        <f>VLOOKUP($A225,'S46'!$C:$BQ,40,0)</f>
        <v>#N/A</v>
      </c>
      <c r="W225" s="107" t="e">
        <f>VLOOKUP($A225,'S46'!$C:$BQ,22,0)</f>
        <v>#N/A</v>
      </c>
      <c r="X225" s="115" t="e">
        <f>VLOOKUP($A225,'S46'!$C:$BQ,29,0)</f>
        <v>#N/A</v>
      </c>
      <c r="Y225" s="115" t="e">
        <f>VLOOKUP($A225,'S46'!$C:$BQ,30,0)</f>
        <v>#N/A</v>
      </c>
      <c r="Z225" s="115" t="e">
        <f>VLOOKUP($A225,'S46'!$C:$BQ,52,0)</f>
        <v>#N/A</v>
      </c>
      <c r="AA225" s="115" t="e">
        <f>VLOOKUP($A225,'S46'!$C:$BQ,59,0)</f>
        <v>#N/A</v>
      </c>
      <c r="AB225" s="115" t="e">
        <f>VLOOKUP($A225,'S46'!$C:$BQ,60,0)</f>
        <v>#N/A</v>
      </c>
      <c r="AC225" s="107" t="e">
        <f>VLOOKUP($A225,'S47'!$C:$BQ,32,0)</f>
        <v>#N/A</v>
      </c>
      <c r="AD225" s="107" t="e">
        <f>VLOOKUP($A225,'S47'!$C:$BQ,39,0)</f>
        <v>#N/A</v>
      </c>
      <c r="AE225" s="107" t="e">
        <f>VLOOKUP($A225,'S47'!$C:$BQ,40,0)</f>
        <v>#N/A</v>
      </c>
      <c r="AF225" s="107" t="e">
        <f>VLOOKUP($A225,'S47'!$C:$BQ,22,0)</f>
        <v>#N/A</v>
      </c>
      <c r="AG225" s="115" t="e">
        <f>VLOOKUP($A225,'S47'!$C:$BQ,29,0)</f>
        <v>#N/A</v>
      </c>
      <c r="AH225" s="115" t="e">
        <f>VLOOKUP($A225,'S47'!$C:$BQ,30,0)</f>
        <v>#N/A</v>
      </c>
      <c r="AI225" s="115" t="e">
        <f>VLOOKUP($A225,'S47'!$C:$BQ,52,0)</f>
        <v>#N/A</v>
      </c>
      <c r="AJ225" s="115" t="e">
        <f>VLOOKUP($A225,'S47'!$C:$BQ,59,0)</f>
        <v>#N/A</v>
      </c>
      <c r="AK225" s="115" t="e">
        <f>VLOOKUP($A225,'S47'!$C:$BQ,60,0)</f>
        <v>#N/A</v>
      </c>
      <c r="AL225" s="107" t="e">
        <f>VLOOKUP($A225,'S48'!$C:$BQ,32,0)</f>
        <v>#N/A</v>
      </c>
      <c r="AM225" s="107" t="e">
        <f>VLOOKUP($A225,'S48'!$C:$BQ,39,0)</f>
        <v>#N/A</v>
      </c>
      <c r="AN225" s="107" t="e">
        <f>VLOOKUP($A225,'S48'!$C:$BQ,40,0)</f>
        <v>#N/A</v>
      </c>
      <c r="AO225" s="107" t="e">
        <f>VLOOKUP($A225,'S48'!$C:$BQ,22,0)</f>
        <v>#N/A</v>
      </c>
      <c r="AP225" s="115" t="e">
        <f>VLOOKUP($A225,'S48'!$C:$BQ,29,0)</f>
        <v>#N/A</v>
      </c>
      <c r="AQ225" s="115" t="e">
        <f>VLOOKUP($A225,'S48'!$C:$BQ,30,0)</f>
        <v>#N/A</v>
      </c>
      <c r="AR225" s="115" t="e">
        <f>VLOOKUP($A225,'S48'!$C:$BQ,52,0)</f>
        <v>#N/A</v>
      </c>
      <c r="AS225" s="115" t="e">
        <f>VLOOKUP($A225,'S48'!$C:$BQ,59,0)</f>
        <v>#N/A</v>
      </c>
      <c r="AT225" s="115" t="e">
        <f>VLOOKUP($A225,'S48'!$C:$BQ,60,0)</f>
        <v>#N/A</v>
      </c>
      <c r="AU225" s="107" t="e">
        <f>VLOOKUP($A225,'S49'!$C:$BQ,32,0)</f>
        <v>#N/A</v>
      </c>
      <c r="AV225" s="107" t="e">
        <f>VLOOKUP($A225,'S49'!$C:$BQ,39,0)</f>
        <v>#N/A</v>
      </c>
      <c r="AW225" s="107" t="e">
        <f>VLOOKUP($A225,'S49'!$C:$BQ,40,0)</f>
        <v>#N/A</v>
      </c>
      <c r="AX225" s="107" t="e">
        <f>VLOOKUP($A225,'S49'!$C:$BQ,22,0)</f>
        <v>#N/A</v>
      </c>
      <c r="AY225" s="115" t="e">
        <f>VLOOKUP($A225,'S49'!$C:$BQ,29,0)</f>
        <v>#N/A</v>
      </c>
      <c r="AZ225" s="115" t="e">
        <f>VLOOKUP($A225,'S49'!$C:$BQ,30,0)</f>
        <v>#N/A</v>
      </c>
      <c r="BA225" s="115" t="e">
        <f>VLOOKUP($A225,'S49'!$C:$BQ,52,0)</f>
        <v>#N/A</v>
      </c>
      <c r="BB225" s="115" t="e">
        <f>VLOOKUP($A225,'S49'!$C:$BQ,59,0)</f>
        <v>#N/A</v>
      </c>
      <c r="BC225" s="115" t="e">
        <f>VLOOKUP($A225,'S49'!$C:$BQ,60,0)</f>
        <v>#N/A</v>
      </c>
      <c r="BD225" s="107" t="e">
        <f>VLOOKUP($A225,'S50'!$C:$BQ,32,0)</f>
        <v>#N/A</v>
      </c>
      <c r="BE225" s="107" t="e">
        <f>VLOOKUP($A225,'S50'!$C:$BQ,39,0)</f>
        <v>#N/A</v>
      </c>
      <c r="BF225" s="107" t="e">
        <f>VLOOKUP($A225,'S50'!$C:$BQ,40,0)</f>
        <v>#N/A</v>
      </c>
      <c r="BG225" s="107" t="e">
        <f>VLOOKUP($A225,'S50'!$C:$BQ,22,0)</f>
        <v>#N/A</v>
      </c>
      <c r="BH225" s="115" t="e">
        <f>VLOOKUP($A225,'S50'!$C:$BQ,29,0)</f>
        <v>#N/A</v>
      </c>
      <c r="BI225" s="115" t="e">
        <f>VLOOKUP($A225,'S50'!$C:$BQ,30,0)</f>
        <v>#N/A</v>
      </c>
      <c r="BJ225" s="115" t="e">
        <f>VLOOKUP($A225,'S50'!$C:$BQ,52,0)</f>
        <v>#N/A</v>
      </c>
      <c r="BK225" s="115" t="e">
        <f>VLOOKUP($A225,'S50'!$C:$BQ,59,0)</f>
        <v>#N/A</v>
      </c>
      <c r="BL225" s="115" t="e">
        <f>VLOOKUP($A225,'S50'!$C:$BQ,60,0)</f>
        <v>#N/A</v>
      </c>
    </row>
    <row r="226" spans="1:64" x14ac:dyDescent="0.2">
      <c r="A226" s="106" t="s">
        <v>296</v>
      </c>
      <c r="B226" s="107">
        <f>VLOOKUP($A226,'S0 remplacer avec S44'!$C:$BQ,32,0)</f>
        <v>110.8</v>
      </c>
      <c r="C226" s="107">
        <f>VLOOKUP($A226,'S0 remplacer avec S44'!$C:$BQ,39,0)</f>
        <v>131</v>
      </c>
      <c r="D226" s="107">
        <f>VLOOKUP($A226,'S0 remplacer avec S44'!$C:$BQ,40,0)</f>
        <v>179</v>
      </c>
      <c r="E226" s="107">
        <f>VLOOKUP($A226,'S0 remplacer avec S44'!$C:$BQ,22,0)</f>
        <v>1727.88093</v>
      </c>
      <c r="F226" s="115">
        <f>VLOOKUP($A226,'S0 remplacer avec S44'!$C:$BQ,29,0)</f>
        <v>466</v>
      </c>
      <c r="G226" s="115">
        <f>VLOOKUP($A226,'S0 remplacer avec S44'!$C:$BQ,30,0)</f>
        <v>904</v>
      </c>
      <c r="H226" s="115">
        <f>VLOOKUP($A226,'S0 remplacer avec S44'!$C:$BQ,52,0)</f>
        <v>97.6</v>
      </c>
      <c r="I226" s="115">
        <f>VLOOKUP($A226,'S0 remplacer avec S44'!$C:$BQ,59,0)</f>
        <v>25</v>
      </c>
      <c r="J226" s="115">
        <f>VLOOKUP($A226,'S0 remplacer avec S44'!$C:$BQ,60,0)</f>
        <v>50</v>
      </c>
      <c r="K226" s="107" t="e">
        <f>VLOOKUP($A226,'S45'!$C:$BQ,32,0)</f>
        <v>#N/A</v>
      </c>
      <c r="L226" s="107" t="e">
        <f>VLOOKUP($A226,'S45'!$C:$BQ,39,0)</f>
        <v>#N/A</v>
      </c>
      <c r="M226" s="107" t="e">
        <f>VLOOKUP($A226,'S45'!$C:$BQ,40,0)</f>
        <v>#N/A</v>
      </c>
      <c r="N226" s="107" t="e">
        <f>VLOOKUP($A226,'S45'!$C:$BQ,22,0)</f>
        <v>#N/A</v>
      </c>
      <c r="O226" s="115" t="e">
        <f>VLOOKUP($A226,'S45'!$C:$BQ,29,0)</f>
        <v>#N/A</v>
      </c>
      <c r="P226" s="115" t="e">
        <f>VLOOKUP($A226,'S45'!$C:$BQ,30,0)</f>
        <v>#N/A</v>
      </c>
      <c r="Q226" s="115" t="e">
        <f>VLOOKUP($A226,'S45'!$C:$BQ,52,0)</f>
        <v>#N/A</v>
      </c>
      <c r="R226" s="115" t="e">
        <f>VLOOKUP($A226,'S45'!$C:$BQ,59,0)</f>
        <v>#N/A</v>
      </c>
      <c r="S226" s="115" t="e">
        <f>VLOOKUP($A226,'S45'!$C:$BQ,60,0)</f>
        <v>#N/A</v>
      </c>
      <c r="T226" s="107" t="e">
        <f>VLOOKUP($A226,'S46'!$C:$BQ,32,0)</f>
        <v>#N/A</v>
      </c>
      <c r="U226" s="107" t="e">
        <f>VLOOKUP($A226,'S46'!$C:$BQ,39,0)</f>
        <v>#N/A</v>
      </c>
      <c r="V226" s="107" t="e">
        <f>VLOOKUP($A226,'S46'!$C:$BQ,40,0)</f>
        <v>#N/A</v>
      </c>
      <c r="W226" s="107" t="e">
        <f>VLOOKUP($A226,'S46'!$C:$BQ,22,0)</f>
        <v>#N/A</v>
      </c>
      <c r="X226" s="115" t="e">
        <f>VLOOKUP($A226,'S46'!$C:$BQ,29,0)</f>
        <v>#N/A</v>
      </c>
      <c r="Y226" s="115" t="e">
        <f>VLOOKUP($A226,'S46'!$C:$BQ,30,0)</f>
        <v>#N/A</v>
      </c>
      <c r="Z226" s="115" t="e">
        <f>VLOOKUP($A226,'S46'!$C:$BQ,52,0)</f>
        <v>#N/A</v>
      </c>
      <c r="AA226" s="115" t="e">
        <f>VLOOKUP($A226,'S46'!$C:$BQ,59,0)</f>
        <v>#N/A</v>
      </c>
      <c r="AB226" s="115" t="e">
        <f>VLOOKUP($A226,'S46'!$C:$BQ,60,0)</f>
        <v>#N/A</v>
      </c>
      <c r="AC226" s="107" t="e">
        <f>VLOOKUP($A226,'S47'!$C:$BQ,32,0)</f>
        <v>#N/A</v>
      </c>
      <c r="AD226" s="107" t="e">
        <f>VLOOKUP($A226,'S47'!$C:$BQ,39,0)</f>
        <v>#N/A</v>
      </c>
      <c r="AE226" s="107" t="e">
        <f>VLOOKUP($A226,'S47'!$C:$BQ,40,0)</f>
        <v>#N/A</v>
      </c>
      <c r="AF226" s="107" t="e">
        <f>VLOOKUP($A226,'S47'!$C:$BQ,22,0)</f>
        <v>#N/A</v>
      </c>
      <c r="AG226" s="115" t="e">
        <f>VLOOKUP($A226,'S47'!$C:$BQ,29,0)</f>
        <v>#N/A</v>
      </c>
      <c r="AH226" s="115" t="e">
        <f>VLOOKUP($A226,'S47'!$C:$BQ,30,0)</f>
        <v>#N/A</v>
      </c>
      <c r="AI226" s="115" t="e">
        <f>VLOOKUP($A226,'S47'!$C:$BQ,52,0)</f>
        <v>#N/A</v>
      </c>
      <c r="AJ226" s="115" t="e">
        <f>VLOOKUP($A226,'S47'!$C:$BQ,59,0)</f>
        <v>#N/A</v>
      </c>
      <c r="AK226" s="115" t="e">
        <f>VLOOKUP($A226,'S47'!$C:$BQ,60,0)</f>
        <v>#N/A</v>
      </c>
      <c r="AL226" s="107" t="e">
        <f>VLOOKUP($A226,'S48'!$C:$BQ,32,0)</f>
        <v>#N/A</v>
      </c>
      <c r="AM226" s="107" t="e">
        <f>VLOOKUP($A226,'S48'!$C:$BQ,39,0)</f>
        <v>#N/A</v>
      </c>
      <c r="AN226" s="107" t="e">
        <f>VLOOKUP($A226,'S48'!$C:$BQ,40,0)</f>
        <v>#N/A</v>
      </c>
      <c r="AO226" s="107" t="e">
        <f>VLOOKUP($A226,'S48'!$C:$BQ,22,0)</f>
        <v>#N/A</v>
      </c>
      <c r="AP226" s="115" t="e">
        <f>VLOOKUP($A226,'S48'!$C:$BQ,29,0)</f>
        <v>#N/A</v>
      </c>
      <c r="AQ226" s="115" t="e">
        <f>VLOOKUP($A226,'S48'!$C:$BQ,30,0)</f>
        <v>#N/A</v>
      </c>
      <c r="AR226" s="115" t="e">
        <f>VLOOKUP($A226,'S48'!$C:$BQ,52,0)</f>
        <v>#N/A</v>
      </c>
      <c r="AS226" s="115" t="e">
        <f>VLOOKUP($A226,'S48'!$C:$BQ,59,0)</f>
        <v>#N/A</v>
      </c>
      <c r="AT226" s="115" t="e">
        <f>VLOOKUP($A226,'S48'!$C:$BQ,60,0)</f>
        <v>#N/A</v>
      </c>
      <c r="AU226" s="107" t="e">
        <f>VLOOKUP($A226,'S49'!$C:$BQ,32,0)</f>
        <v>#N/A</v>
      </c>
      <c r="AV226" s="107" t="e">
        <f>VLOOKUP($A226,'S49'!$C:$BQ,39,0)</f>
        <v>#N/A</v>
      </c>
      <c r="AW226" s="107" t="e">
        <f>VLOOKUP($A226,'S49'!$C:$BQ,40,0)</f>
        <v>#N/A</v>
      </c>
      <c r="AX226" s="107" t="e">
        <f>VLOOKUP($A226,'S49'!$C:$BQ,22,0)</f>
        <v>#N/A</v>
      </c>
      <c r="AY226" s="115" t="e">
        <f>VLOOKUP($A226,'S49'!$C:$BQ,29,0)</f>
        <v>#N/A</v>
      </c>
      <c r="AZ226" s="115" t="e">
        <f>VLOOKUP($A226,'S49'!$C:$BQ,30,0)</f>
        <v>#N/A</v>
      </c>
      <c r="BA226" s="115" t="e">
        <f>VLOOKUP($A226,'S49'!$C:$BQ,52,0)</f>
        <v>#N/A</v>
      </c>
      <c r="BB226" s="115" t="e">
        <f>VLOOKUP($A226,'S49'!$C:$BQ,59,0)</f>
        <v>#N/A</v>
      </c>
      <c r="BC226" s="115" t="e">
        <f>VLOOKUP($A226,'S49'!$C:$BQ,60,0)</f>
        <v>#N/A</v>
      </c>
      <c r="BD226" s="107" t="e">
        <f>VLOOKUP($A226,'S50'!$C:$BQ,32,0)</f>
        <v>#N/A</v>
      </c>
      <c r="BE226" s="107" t="e">
        <f>VLOOKUP($A226,'S50'!$C:$BQ,39,0)</f>
        <v>#N/A</v>
      </c>
      <c r="BF226" s="107" t="e">
        <f>VLOOKUP($A226,'S50'!$C:$BQ,40,0)</f>
        <v>#N/A</v>
      </c>
      <c r="BG226" s="107" t="e">
        <f>VLOOKUP($A226,'S50'!$C:$BQ,22,0)</f>
        <v>#N/A</v>
      </c>
      <c r="BH226" s="115" t="e">
        <f>VLOOKUP($A226,'S50'!$C:$BQ,29,0)</f>
        <v>#N/A</v>
      </c>
      <c r="BI226" s="115" t="e">
        <f>VLOOKUP($A226,'S50'!$C:$BQ,30,0)</f>
        <v>#N/A</v>
      </c>
      <c r="BJ226" s="115" t="e">
        <f>VLOOKUP($A226,'S50'!$C:$BQ,52,0)</f>
        <v>#N/A</v>
      </c>
      <c r="BK226" s="115" t="e">
        <f>VLOOKUP($A226,'S50'!$C:$BQ,59,0)</f>
        <v>#N/A</v>
      </c>
      <c r="BL226" s="115" t="e">
        <f>VLOOKUP($A226,'S50'!$C:$BQ,60,0)</f>
        <v>#N/A</v>
      </c>
    </row>
    <row r="227" spans="1:64" x14ac:dyDescent="0.2">
      <c r="A227" s="106" t="s">
        <v>297</v>
      </c>
      <c r="B227" s="107">
        <f>VLOOKUP($A227,'S0 remplacer avec S44'!$C:$BQ,32,0)</f>
        <v>322.35000000000002</v>
      </c>
      <c r="C227" s="107">
        <f>VLOOKUP($A227,'S0 remplacer avec S44'!$C:$BQ,39,0)</f>
        <v>58</v>
      </c>
      <c r="D227" s="107">
        <f>VLOOKUP($A227,'S0 remplacer avec S44'!$C:$BQ,40,0)</f>
        <v>133</v>
      </c>
      <c r="E227" s="107">
        <f>VLOOKUP($A227,'S0 remplacer avec S44'!$C:$BQ,22,0)</f>
        <v>3503.1975849999999</v>
      </c>
      <c r="F227" s="115">
        <f>VLOOKUP($A227,'S0 remplacer avec S44'!$C:$BQ,29,0)</f>
        <v>0</v>
      </c>
      <c r="G227" s="115">
        <f>VLOOKUP($A227,'S0 remplacer avec S44'!$C:$BQ,30,0)</f>
        <v>638</v>
      </c>
      <c r="H227" s="115">
        <f>VLOOKUP($A227,'S0 remplacer avec S44'!$C:$BQ,52,0)</f>
        <v>242.2</v>
      </c>
      <c r="I227" s="115">
        <f>VLOOKUP($A227,'S0 remplacer avec S44'!$C:$BQ,59,0)</f>
        <v>0</v>
      </c>
      <c r="J227" s="115">
        <f>VLOOKUP($A227,'S0 remplacer avec S44'!$C:$BQ,60,0)</f>
        <v>0</v>
      </c>
      <c r="K227" s="107" t="e">
        <f>VLOOKUP($A227,'S45'!$C:$BQ,32,0)</f>
        <v>#N/A</v>
      </c>
      <c r="L227" s="107" t="e">
        <f>VLOOKUP($A227,'S45'!$C:$BQ,39,0)</f>
        <v>#N/A</v>
      </c>
      <c r="M227" s="107" t="e">
        <f>VLOOKUP($A227,'S45'!$C:$BQ,40,0)</f>
        <v>#N/A</v>
      </c>
      <c r="N227" s="107" t="e">
        <f>VLOOKUP($A227,'S45'!$C:$BQ,22,0)</f>
        <v>#N/A</v>
      </c>
      <c r="O227" s="115" t="e">
        <f>VLOOKUP($A227,'S45'!$C:$BQ,29,0)</f>
        <v>#N/A</v>
      </c>
      <c r="P227" s="115" t="e">
        <f>VLOOKUP($A227,'S45'!$C:$BQ,30,0)</f>
        <v>#N/A</v>
      </c>
      <c r="Q227" s="115" t="e">
        <f>VLOOKUP($A227,'S45'!$C:$BQ,52,0)</f>
        <v>#N/A</v>
      </c>
      <c r="R227" s="115" t="e">
        <f>VLOOKUP($A227,'S45'!$C:$BQ,59,0)</f>
        <v>#N/A</v>
      </c>
      <c r="S227" s="115" t="e">
        <f>VLOOKUP($A227,'S45'!$C:$BQ,60,0)</f>
        <v>#N/A</v>
      </c>
      <c r="T227" s="107" t="e">
        <f>VLOOKUP($A227,'S46'!$C:$BQ,32,0)</f>
        <v>#N/A</v>
      </c>
      <c r="U227" s="107" t="e">
        <f>VLOOKUP($A227,'S46'!$C:$BQ,39,0)</f>
        <v>#N/A</v>
      </c>
      <c r="V227" s="107" t="e">
        <f>VLOOKUP($A227,'S46'!$C:$BQ,40,0)</f>
        <v>#N/A</v>
      </c>
      <c r="W227" s="107" t="e">
        <f>VLOOKUP($A227,'S46'!$C:$BQ,22,0)</f>
        <v>#N/A</v>
      </c>
      <c r="X227" s="115" t="e">
        <f>VLOOKUP($A227,'S46'!$C:$BQ,29,0)</f>
        <v>#N/A</v>
      </c>
      <c r="Y227" s="115" t="e">
        <f>VLOOKUP($A227,'S46'!$C:$BQ,30,0)</f>
        <v>#N/A</v>
      </c>
      <c r="Z227" s="115" t="e">
        <f>VLOOKUP($A227,'S46'!$C:$BQ,52,0)</f>
        <v>#N/A</v>
      </c>
      <c r="AA227" s="115" t="e">
        <f>VLOOKUP($A227,'S46'!$C:$BQ,59,0)</f>
        <v>#N/A</v>
      </c>
      <c r="AB227" s="115" t="e">
        <f>VLOOKUP($A227,'S46'!$C:$BQ,60,0)</f>
        <v>#N/A</v>
      </c>
      <c r="AC227" s="107" t="e">
        <f>VLOOKUP($A227,'S47'!$C:$BQ,32,0)</f>
        <v>#N/A</v>
      </c>
      <c r="AD227" s="107" t="e">
        <f>VLOOKUP($A227,'S47'!$C:$BQ,39,0)</f>
        <v>#N/A</v>
      </c>
      <c r="AE227" s="107" t="e">
        <f>VLOOKUP($A227,'S47'!$C:$BQ,40,0)</f>
        <v>#N/A</v>
      </c>
      <c r="AF227" s="107" t="e">
        <f>VLOOKUP($A227,'S47'!$C:$BQ,22,0)</f>
        <v>#N/A</v>
      </c>
      <c r="AG227" s="115" t="e">
        <f>VLOOKUP($A227,'S47'!$C:$BQ,29,0)</f>
        <v>#N/A</v>
      </c>
      <c r="AH227" s="115" t="e">
        <f>VLOOKUP($A227,'S47'!$C:$BQ,30,0)</f>
        <v>#N/A</v>
      </c>
      <c r="AI227" s="115" t="e">
        <f>VLOOKUP($A227,'S47'!$C:$BQ,52,0)</f>
        <v>#N/A</v>
      </c>
      <c r="AJ227" s="115" t="e">
        <f>VLOOKUP($A227,'S47'!$C:$BQ,59,0)</f>
        <v>#N/A</v>
      </c>
      <c r="AK227" s="115" t="e">
        <f>VLOOKUP($A227,'S47'!$C:$BQ,60,0)</f>
        <v>#N/A</v>
      </c>
      <c r="AL227" s="107" t="e">
        <f>VLOOKUP($A227,'S48'!$C:$BQ,32,0)</f>
        <v>#N/A</v>
      </c>
      <c r="AM227" s="107" t="e">
        <f>VLOOKUP($A227,'S48'!$C:$BQ,39,0)</f>
        <v>#N/A</v>
      </c>
      <c r="AN227" s="107" t="e">
        <f>VLOOKUP($A227,'S48'!$C:$BQ,40,0)</f>
        <v>#N/A</v>
      </c>
      <c r="AO227" s="107" t="e">
        <f>VLOOKUP($A227,'S48'!$C:$BQ,22,0)</f>
        <v>#N/A</v>
      </c>
      <c r="AP227" s="115" t="e">
        <f>VLOOKUP($A227,'S48'!$C:$BQ,29,0)</f>
        <v>#N/A</v>
      </c>
      <c r="AQ227" s="115" t="e">
        <f>VLOOKUP($A227,'S48'!$C:$BQ,30,0)</f>
        <v>#N/A</v>
      </c>
      <c r="AR227" s="115" t="e">
        <f>VLOOKUP($A227,'S48'!$C:$BQ,52,0)</f>
        <v>#N/A</v>
      </c>
      <c r="AS227" s="115" t="e">
        <f>VLOOKUP($A227,'S48'!$C:$BQ,59,0)</f>
        <v>#N/A</v>
      </c>
      <c r="AT227" s="115" t="e">
        <f>VLOOKUP($A227,'S48'!$C:$BQ,60,0)</f>
        <v>#N/A</v>
      </c>
      <c r="AU227" s="107" t="e">
        <f>VLOOKUP($A227,'S49'!$C:$BQ,32,0)</f>
        <v>#N/A</v>
      </c>
      <c r="AV227" s="107" t="e">
        <f>VLOOKUP($A227,'S49'!$C:$BQ,39,0)</f>
        <v>#N/A</v>
      </c>
      <c r="AW227" s="107" t="e">
        <f>VLOOKUP($A227,'S49'!$C:$BQ,40,0)</f>
        <v>#N/A</v>
      </c>
      <c r="AX227" s="107" t="e">
        <f>VLOOKUP($A227,'S49'!$C:$BQ,22,0)</f>
        <v>#N/A</v>
      </c>
      <c r="AY227" s="115" t="e">
        <f>VLOOKUP($A227,'S49'!$C:$BQ,29,0)</f>
        <v>#N/A</v>
      </c>
      <c r="AZ227" s="115" t="e">
        <f>VLOOKUP($A227,'S49'!$C:$BQ,30,0)</f>
        <v>#N/A</v>
      </c>
      <c r="BA227" s="115" t="e">
        <f>VLOOKUP($A227,'S49'!$C:$BQ,52,0)</f>
        <v>#N/A</v>
      </c>
      <c r="BB227" s="115" t="e">
        <f>VLOOKUP($A227,'S49'!$C:$BQ,59,0)</f>
        <v>#N/A</v>
      </c>
      <c r="BC227" s="115" t="e">
        <f>VLOOKUP($A227,'S49'!$C:$BQ,60,0)</f>
        <v>#N/A</v>
      </c>
      <c r="BD227" s="107" t="e">
        <f>VLOOKUP($A227,'S50'!$C:$BQ,32,0)</f>
        <v>#N/A</v>
      </c>
      <c r="BE227" s="107" t="e">
        <f>VLOOKUP($A227,'S50'!$C:$BQ,39,0)</f>
        <v>#N/A</v>
      </c>
      <c r="BF227" s="107" t="e">
        <f>VLOOKUP($A227,'S50'!$C:$BQ,40,0)</f>
        <v>#N/A</v>
      </c>
      <c r="BG227" s="107" t="e">
        <f>VLOOKUP($A227,'S50'!$C:$BQ,22,0)</f>
        <v>#N/A</v>
      </c>
      <c r="BH227" s="115" t="e">
        <f>VLOOKUP($A227,'S50'!$C:$BQ,29,0)</f>
        <v>#N/A</v>
      </c>
      <c r="BI227" s="115" t="e">
        <f>VLOOKUP($A227,'S50'!$C:$BQ,30,0)</f>
        <v>#N/A</v>
      </c>
      <c r="BJ227" s="115" t="e">
        <f>VLOOKUP($A227,'S50'!$C:$BQ,52,0)</f>
        <v>#N/A</v>
      </c>
      <c r="BK227" s="115" t="e">
        <f>VLOOKUP($A227,'S50'!$C:$BQ,59,0)</f>
        <v>#N/A</v>
      </c>
      <c r="BL227" s="115" t="e">
        <f>VLOOKUP($A227,'S50'!$C:$BQ,60,0)</f>
        <v>#N/A</v>
      </c>
    </row>
    <row r="228" spans="1:64" x14ac:dyDescent="0.2">
      <c r="A228" s="106" t="s">
        <v>298</v>
      </c>
      <c r="B228" s="107">
        <f>VLOOKUP($A228,'S0 remplacer avec S44'!$C:$BQ,32,0)</f>
        <v>271.14999999999998</v>
      </c>
      <c r="C228" s="107">
        <f>VLOOKUP($A228,'S0 remplacer avec S44'!$C:$BQ,39,0)</f>
        <v>89</v>
      </c>
      <c r="D228" s="107">
        <f>VLOOKUP($A228,'S0 remplacer avec S44'!$C:$BQ,40,0)</f>
        <v>161</v>
      </c>
      <c r="E228" s="107">
        <f>VLOOKUP($A228,'S0 remplacer avec S44'!$C:$BQ,22,0)</f>
        <v>2936.9269850000001</v>
      </c>
      <c r="F228" s="115">
        <f>VLOOKUP($A228,'S0 remplacer avec S44'!$C:$BQ,29,0)</f>
        <v>332</v>
      </c>
      <c r="G228" s="115">
        <f>VLOOKUP($A228,'S0 remplacer avec S44'!$C:$BQ,30,0)</f>
        <v>986</v>
      </c>
      <c r="H228" s="115">
        <f>VLOOKUP($A228,'S0 remplacer avec S44'!$C:$BQ,52,0)</f>
        <v>249.6</v>
      </c>
      <c r="I228" s="115">
        <f>VLOOKUP($A228,'S0 remplacer avec S44'!$C:$BQ,59,0)</f>
        <v>0</v>
      </c>
      <c r="J228" s="115">
        <f>VLOOKUP($A228,'S0 remplacer avec S44'!$C:$BQ,60,0)</f>
        <v>0</v>
      </c>
      <c r="K228" s="107" t="e">
        <f>VLOOKUP($A228,'S45'!$C:$BQ,32,0)</f>
        <v>#N/A</v>
      </c>
      <c r="L228" s="107" t="e">
        <f>VLOOKUP($A228,'S45'!$C:$BQ,39,0)</f>
        <v>#N/A</v>
      </c>
      <c r="M228" s="107" t="e">
        <f>VLOOKUP($A228,'S45'!$C:$BQ,40,0)</f>
        <v>#N/A</v>
      </c>
      <c r="N228" s="107" t="e">
        <f>VLOOKUP($A228,'S45'!$C:$BQ,22,0)</f>
        <v>#N/A</v>
      </c>
      <c r="O228" s="115" t="e">
        <f>VLOOKUP($A228,'S45'!$C:$BQ,29,0)</f>
        <v>#N/A</v>
      </c>
      <c r="P228" s="115" t="e">
        <f>VLOOKUP($A228,'S45'!$C:$BQ,30,0)</f>
        <v>#N/A</v>
      </c>
      <c r="Q228" s="115" t="e">
        <f>VLOOKUP($A228,'S45'!$C:$BQ,52,0)</f>
        <v>#N/A</v>
      </c>
      <c r="R228" s="115" t="e">
        <f>VLOOKUP($A228,'S45'!$C:$BQ,59,0)</f>
        <v>#N/A</v>
      </c>
      <c r="S228" s="115" t="e">
        <f>VLOOKUP($A228,'S45'!$C:$BQ,60,0)</f>
        <v>#N/A</v>
      </c>
      <c r="T228" s="107" t="e">
        <f>VLOOKUP($A228,'S46'!$C:$BQ,32,0)</f>
        <v>#N/A</v>
      </c>
      <c r="U228" s="107" t="e">
        <f>VLOOKUP($A228,'S46'!$C:$BQ,39,0)</f>
        <v>#N/A</v>
      </c>
      <c r="V228" s="107" t="e">
        <f>VLOOKUP($A228,'S46'!$C:$BQ,40,0)</f>
        <v>#N/A</v>
      </c>
      <c r="W228" s="107" t="e">
        <f>VLOOKUP($A228,'S46'!$C:$BQ,22,0)</f>
        <v>#N/A</v>
      </c>
      <c r="X228" s="115" t="e">
        <f>VLOOKUP($A228,'S46'!$C:$BQ,29,0)</f>
        <v>#N/A</v>
      </c>
      <c r="Y228" s="115" t="e">
        <f>VLOOKUP($A228,'S46'!$C:$BQ,30,0)</f>
        <v>#N/A</v>
      </c>
      <c r="Z228" s="115" t="e">
        <f>VLOOKUP($A228,'S46'!$C:$BQ,52,0)</f>
        <v>#N/A</v>
      </c>
      <c r="AA228" s="115" t="e">
        <f>VLOOKUP($A228,'S46'!$C:$BQ,59,0)</f>
        <v>#N/A</v>
      </c>
      <c r="AB228" s="115" t="e">
        <f>VLOOKUP($A228,'S46'!$C:$BQ,60,0)</f>
        <v>#N/A</v>
      </c>
      <c r="AC228" s="107" t="e">
        <f>VLOOKUP($A228,'S47'!$C:$BQ,32,0)</f>
        <v>#N/A</v>
      </c>
      <c r="AD228" s="107" t="e">
        <f>VLOOKUP($A228,'S47'!$C:$BQ,39,0)</f>
        <v>#N/A</v>
      </c>
      <c r="AE228" s="107" t="e">
        <f>VLOOKUP($A228,'S47'!$C:$BQ,40,0)</f>
        <v>#N/A</v>
      </c>
      <c r="AF228" s="107" t="e">
        <f>VLOOKUP($A228,'S47'!$C:$BQ,22,0)</f>
        <v>#N/A</v>
      </c>
      <c r="AG228" s="115" t="e">
        <f>VLOOKUP($A228,'S47'!$C:$BQ,29,0)</f>
        <v>#N/A</v>
      </c>
      <c r="AH228" s="115" t="e">
        <f>VLOOKUP($A228,'S47'!$C:$BQ,30,0)</f>
        <v>#N/A</v>
      </c>
      <c r="AI228" s="115" t="e">
        <f>VLOOKUP($A228,'S47'!$C:$BQ,52,0)</f>
        <v>#N/A</v>
      </c>
      <c r="AJ228" s="115" t="e">
        <f>VLOOKUP($A228,'S47'!$C:$BQ,59,0)</f>
        <v>#N/A</v>
      </c>
      <c r="AK228" s="115" t="e">
        <f>VLOOKUP($A228,'S47'!$C:$BQ,60,0)</f>
        <v>#N/A</v>
      </c>
      <c r="AL228" s="107" t="e">
        <f>VLOOKUP($A228,'S48'!$C:$BQ,32,0)</f>
        <v>#N/A</v>
      </c>
      <c r="AM228" s="107" t="e">
        <f>VLOOKUP($A228,'S48'!$C:$BQ,39,0)</f>
        <v>#N/A</v>
      </c>
      <c r="AN228" s="107" t="e">
        <f>VLOOKUP($A228,'S48'!$C:$BQ,40,0)</f>
        <v>#N/A</v>
      </c>
      <c r="AO228" s="107" t="e">
        <f>VLOOKUP($A228,'S48'!$C:$BQ,22,0)</f>
        <v>#N/A</v>
      </c>
      <c r="AP228" s="115" t="e">
        <f>VLOOKUP($A228,'S48'!$C:$BQ,29,0)</f>
        <v>#N/A</v>
      </c>
      <c r="AQ228" s="115" t="e">
        <f>VLOOKUP($A228,'S48'!$C:$BQ,30,0)</f>
        <v>#N/A</v>
      </c>
      <c r="AR228" s="115" t="e">
        <f>VLOOKUP($A228,'S48'!$C:$BQ,52,0)</f>
        <v>#N/A</v>
      </c>
      <c r="AS228" s="115" t="e">
        <f>VLOOKUP($A228,'S48'!$C:$BQ,59,0)</f>
        <v>#N/A</v>
      </c>
      <c r="AT228" s="115" t="e">
        <f>VLOOKUP($A228,'S48'!$C:$BQ,60,0)</f>
        <v>#N/A</v>
      </c>
      <c r="AU228" s="107" t="e">
        <f>VLOOKUP($A228,'S49'!$C:$BQ,32,0)</f>
        <v>#N/A</v>
      </c>
      <c r="AV228" s="107" t="e">
        <f>VLOOKUP($A228,'S49'!$C:$BQ,39,0)</f>
        <v>#N/A</v>
      </c>
      <c r="AW228" s="107" t="e">
        <f>VLOOKUP($A228,'S49'!$C:$BQ,40,0)</f>
        <v>#N/A</v>
      </c>
      <c r="AX228" s="107" t="e">
        <f>VLOOKUP($A228,'S49'!$C:$BQ,22,0)</f>
        <v>#N/A</v>
      </c>
      <c r="AY228" s="115" t="e">
        <f>VLOOKUP($A228,'S49'!$C:$BQ,29,0)</f>
        <v>#N/A</v>
      </c>
      <c r="AZ228" s="115" t="e">
        <f>VLOOKUP($A228,'S49'!$C:$BQ,30,0)</f>
        <v>#N/A</v>
      </c>
      <c r="BA228" s="115" t="e">
        <f>VLOOKUP($A228,'S49'!$C:$BQ,52,0)</f>
        <v>#N/A</v>
      </c>
      <c r="BB228" s="115" t="e">
        <f>VLOOKUP($A228,'S49'!$C:$BQ,59,0)</f>
        <v>#N/A</v>
      </c>
      <c r="BC228" s="115" t="e">
        <f>VLOOKUP($A228,'S49'!$C:$BQ,60,0)</f>
        <v>#N/A</v>
      </c>
      <c r="BD228" s="107" t="e">
        <f>VLOOKUP($A228,'S50'!$C:$BQ,32,0)</f>
        <v>#N/A</v>
      </c>
      <c r="BE228" s="107" t="e">
        <f>VLOOKUP($A228,'S50'!$C:$BQ,39,0)</f>
        <v>#N/A</v>
      </c>
      <c r="BF228" s="107" t="e">
        <f>VLOOKUP($A228,'S50'!$C:$BQ,40,0)</f>
        <v>#N/A</v>
      </c>
      <c r="BG228" s="107" t="e">
        <f>VLOOKUP($A228,'S50'!$C:$BQ,22,0)</f>
        <v>#N/A</v>
      </c>
      <c r="BH228" s="115" t="e">
        <f>VLOOKUP($A228,'S50'!$C:$BQ,29,0)</f>
        <v>#N/A</v>
      </c>
      <c r="BI228" s="115" t="e">
        <f>VLOOKUP($A228,'S50'!$C:$BQ,30,0)</f>
        <v>#N/A</v>
      </c>
      <c r="BJ228" s="115" t="e">
        <f>VLOOKUP($A228,'S50'!$C:$BQ,52,0)</f>
        <v>#N/A</v>
      </c>
      <c r="BK228" s="115" t="e">
        <f>VLOOKUP($A228,'S50'!$C:$BQ,59,0)</f>
        <v>#N/A</v>
      </c>
      <c r="BL228" s="115" t="e">
        <f>VLOOKUP($A228,'S50'!$C:$BQ,60,0)</f>
        <v>#N/A</v>
      </c>
    </row>
    <row r="229" spans="1:64" x14ac:dyDescent="0.2">
      <c r="A229" s="106" t="s">
        <v>300</v>
      </c>
      <c r="B229" s="107">
        <f>VLOOKUP($A229,'S0 remplacer avec S44'!$C:$BQ,32,0)</f>
        <v>158.69999999999999</v>
      </c>
      <c r="C229" s="107">
        <f>VLOOKUP($A229,'S0 remplacer avec S44'!$C:$BQ,39,0)</f>
        <v>0</v>
      </c>
      <c r="D229" s="107">
        <f>VLOOKUP($A229,'S0 remplacer avec S44'!$C:$BQ,40,0)</f>
        <v>27</v>
      </c>
      <c r="E229" s="107">
        <f>VLOOKUP($A229,'S0 remplacer avec S44'!$C:$BQ,22,0)</f>
        <v>2000.6537499999999</v>
      </c>
      <c r="F229" s="115">
        <f>VLOOKUP($A229,'S0 remplacer avec S44'!$C:$BQ,29,0)</f>
        <v>0</v>
      </c>
      <c r="G229" s="115">
        <f>VLOOKUP($A229,'S0 remplacer avec S44'!$C:$BQ,30,0)</f>
        <v>0</v>
      </c>
      <c r="H229" s="115">
        <f>VLOOKUP($A229,'S0 remplacer avec S44'!$C:$BQ,52,0)</f>
        <v>96.6</v>
      </c>
      <c r="I229" s="115">
        <f>VLOOKUP($A229,'S0 remplacer avec S44'!$C:$BQ,59,0)</f>
        <v>0</v>
      </c>
      <c r="J229" s="115">
        <f>VLOOKUP($A229,'S0 remplacer avec S44'!$C:$BQ,60,0)</f>
        <v>0</v>
      </c>
      <c r="K229" s="107" t="e">
        <f>VLOOKUP($A229,'S45'!$C:$BQ,32,0)</f>
        <v>#N/A</v>
      </c>
      <c r="L229" s="107" t="e">
        <f>VLOOKUP($A229,'S45'!$C:$BQ,39,0)</f>
        <v>#N/A</v>
      </c>
      <c r="M229" s="107" t="e">
        <f>VLOOKUP($A229,'S45'!$C:$BQ,40,0)</f>
        <v>#N/A</v>
      </c>
      <c r="N229" s="107" t="e">
        <f>VLOOKUP($A229,'S45'!$C:$BQ,22,0)</f>
        <v>#N/A</v>
      </c>
      <c r="O229" s="115" t="e">
        <f>VLOOKUP($A229,'S45'!$C:$BQ,29,0)</f>
        <v>#N/A</v>
      </c>
      <c r="P229" s="115" t="e">
        <f>VLOOKUP($A229,'S45'!$C:$BQ,30,0)</f>
        <v>#N/A</v>
      </c>
      <c r="Q229" s="115" t="e">
        <f>VLOOKUP($A229,'S45'!$C:$BQ,52,0)</f>
        <v>#N/A</v>
      </c>
      <c r="R229" s="115" t="e">
        <f>VLOOKUP($A229,'S45'!$C:$BQ,59,0)</f>
        <v>#N/A</v>
      </c>
      <c r="S229" s="115" t="e">
        <f>VLOOKUP($A229,'S45'!$C:$BQ,60,0)</f>
        <v>#N/A</v>
      </c>
      <c r="T229" s="107" t="e">
        <f>VLOOKUP($A229,'S46'!$C:$BQ,32,0)</f>
        <v>#N/A</v>
      </c>
      <c r="U229" s="107" t="e">
        <f>VLOOKUP($A229,'S46'!$C:$BQ,39,0)</f>
        <v>#N/A</v>
      </c>
      <c r="V229" s="107" t="e">
        <f>VLOOKUP($A229,'S46'!$C:$BQ,40,0)</f>
        <v>#N/A</v>
      </c>
      <c r="W229" s="107" t="e">
        <f>VLOOKUP($A229,'S46'!$C:$BQ,22,0)</f>
        <v>#N/A</v>
      </c>
      <c r="X229" s="115" t="e">
        <f>VLOOKUP($A229,'S46'!$C:$BQ,29,0)</f>
        <v>#N/A</v>
      </c>
      <c r="Y229" s="115" t="e">
        <f>VLOOKUP($A229,'S46'!$C:$BQ,30,0)</f>
        <v>#N/A</v>
      </c>
      <c r="Z229" s="115" t="e">
        <f>VLOOKUP($A229,'S46'!$C:$BQ,52,0)</f>
        <v>#N/A</v>
      </c>
      <c r="AA229" s="115" t="e">
        <f>VLOOKUP($A229,'S46'!$C:$BQ,59,0)</f>
        <v>#N/A</v>
      </c>
      <c r="AB229" s="115" t="e">
        <f>VLOOKUP($A229,'S46'!$C:$BQ,60,0)</f>
        <v>#N/A</v>
      </c>
      <c r="AC229" s="107" t="e">
        <f>VLOOKUP($A229,'S47'!$C:$BQ,32,0)</f>
        <v>#N/A</v>
      </c>
      <c r="AD229" s="107" t="e">
        <f>VLOOKUP($A229,'S47'!$C:$BQ,39,0)</f>
        <v>#N/A</v>
      </c>
      <c r="AE229" s="107" t="e">
        <f>VLOOKUP($A229,'S47'!$C:$BQ,40,0)</f>
        <v>#N/A</v>
      </c>
      <c r="AF229" s="107" t="e">
        <f>VLOOKUP($A229,'S47'!$C:$BQ,22,0)</f>
        <v>#N/A</v>
      </c>
      <c r="AG229" s="115" t="e">
        <f>VLOOKUP($A229,'S47'!$C:$BQ,29,0)</f>
        <v>#N/A</v>
      </c>
      <c r="AH229" s="115" t="e">
        <f>VLOOKUP($A229,'S47'!$C:$BQ,30,0)</f>
        <v>#N/A</v>
      </c>
      <c r="AI229" s="115" t="e">
        <f>VLOOKUP($A229,'S47'!$C:$BQ,52,0)</f>
        <v>#N/A</v>
      </c>
      <c r="AJ229" s="115" t="e">
        <f>VLOOKUP($A229,'S47'!$C:$BQ,59,0)</f>
        <v>#N/A</v>
      </c>
      <c r="AK229" s="115" t="e">
        <f>VLOOKUP($A229,'S47'!$C:$BQ,60,0)</f>
        <v>#N/A</v>
      </c>
      <c r="AL229" s="107" t="e">
        <f>VLOOKUP($A229,'S48'!$C:$BQ,32,0)</f>
        <v>#N/A</v>
      </c>
      <c r="AM229" s="107" t="e">
        <f>VLOOKUP($A229,'S48'!$C:$BQ,39,0)</f>
        <v>#N/A</v>
      </c>
      <c r="AN229" s="107" t="e">
        <f>VLOOKUP($A229,'S48'!$C:$BQ,40,0)</f>
        <v>#N/A</v>
      </c>
      <c r="AO229" s="107" t="e">
        <f>VLOOKUP($A229,'S48'!$C:$BQ,22,0)</f>
        <v>#N/A</v>
      </c>
      <c r="AP229" s="115" t="e">
        <f>VLOOKUP($A229,'S48'!$C:$BQ,29,0)</f>
        <v>#N/A</v>
      </c>
      <c r="AQ229" s="115" t="e">
        <f>VLOOKUP($A229,'S48'!$C:$BQ,30,0)</f>
        <v>#N/A</v>
      </c>
      <c r="AR229" s="115" t="e">
        <f>VLOOKUP($A229,'S48'!$C:$BQ,52,0)</f>
        <v>#N/A</v>
      </c>
      <c r="AS229" s="115" t="e">
        <f>VLOOKUP($A229,'S48'!$C:$BQ,59,0)</f>
        <v>#N/A</v>
      </c>
      <c r="AT229" s="115" t="e">
        <f>VLOOKUP($A229,'S48'!$C:$BQ,60,0)</f>
        <v>#N/A</v>
      </c>
      <c r="AU229" s="107" t="e">
        <f>VLOOKUP($A229,'S49'!$C:$BQ,32,0)</f>
        <v>#N/A</v>
      </c>
      <c r="AV229" s="107" t="e">
        <f>VLOOKUP($A229,'S49'!$C:$BQ,39,0)</f>
        <v>#N/A</v>
      </c>
      <c r="AW229" s="107" t="e">
        <f>VLOOKUP($A229,'S49'!$C:$BQ,40,0)</f>
        <v>#N/A</v>
      </c>
      <c r="AX229" s="107" t="e">
        <f>VLOOKUP($A229,'S49'!$C:$BQ,22,0)</f>
        <v>#N/A</v>
      </c>
      <c r="AY229" s="115" t="e">
        <f>VLOOKUP($A229,'S49'!$C:$BQ,29,0)</f>
        <v>#N/A</v>
      </c>
      <c r="AZ229" s="115" t="e">
        <f>VLOOKUP($A229,'S49'!$C:$BQ,30,0)</f>
        <v>#N/A</v>
      </c>
      <c r="BA229" s="115" t="e">
        <f>VLOOKUP($A229,'S49'!$C:$BQ,52,0)</f>
        <v>#N/A</v>
      </c>
      <c r="BB229" s="115" t="e">
        <f>VLOOKUP($A229,'S49'!$C:$BQ,59,0)</f>
        <v>#N/A</v>
      </c>
      <c r="BC229" s="115" t="e">
        <f>VLOOKUP($A229,'S49'!$C:$BQ,60,0)</f>
        <v>#N/A</v>
      </c>
      <c r="BD229" s="107" t="e">
        <f>VLOOKUP($A229,'S50'!$C:$BQ,32,0)</f>
        <v>#N/A</v>
      </c>
      <c r="BE229" s="107" t="e">
        <f>VLOOKUP($A229,'S50'!$C:$BQ,39,0)</f>
        <v>#N/A</v>
      </c>
      <c r="BF229" s="107" t="e">
        <f>VLOOKUP($A229,'S50'!$C:$BQ,40,0)</f>
        <v>#N/A</v>
      </c>
      <c r="BG229" s="107" t="e">
        <f>VLOOKUP($A229,'S50'!$C:$BQ,22,0)</f>
        <v>#N/A</v>
      </c>
      <c r="BH229" s="115" t="e">
        <f>VLOOKUP($A229,'S50'!$C:$BQ,29,0)</f>
        <v>#N/A</v>
      </c>
      <c r="BI229" s="115" t="e">
        <f>VLOOKUP($A229,'S50'!$C:$BQ,30,0)</f>
        <v>#N/A</v>
      </c>
      <c r="BJ229" s="115" t="e">
        <f>VLOOKUP($A229,'S50'!$C:$BQ,52,0)</f>
        <v>#N/A</v>
      </c>
      <c r="BK229" s="115" t="e">
        <f>VLOOKUP($A229,'S50'!$C:$BQ,59,0)</f>
        <v>#N/A</v>
      </c>
      <c r="BL229" s="115" t="e">
        <f>VLOOKUP($A229,'S50'!$C:$BQ,60,0)</f>
        <v>#N/A</v>
      </c>
    </row>
    <row r="230" spans="1:64" x14ac:dyDescent="0.2">
      <c r="A230" s="106" t="s">
        <v>301</v>
      </c>
      <c r="B230" s="107">
        <f>VLOOKUP($A230,'S0 remplacer avec S44'!$C:$BQ,32,0)</f>
        <v>186.65</v>
      </c>
      <c r="C230" s="107">
        <f>VLOOKUP($A230,'S0 remplacer avec S44'!$C:$BQ,39,0)</f>
        <v>23</v>
      </c>
      <c r="D230" s="107">
        <f>VLOOKUP($A230,'S0 remplacer avec S44'!$C:$BQ,40,0)</f>
        <v>65</v>
      </c>
      <c r="E230" s="107">
        <f>VLOOKUP($A230,'S0 remplacer avec S44'!$C:$BQ,22,0)</f>
        <v>1977.1868300000001</v>
      </c>
      <c r="F230" s="115">
        <f>VLOOKUP($A230,'S0 remplacer avec S44'!$C:$BQ,29,0)</f>
        <v>0</v>
      </c>
      <c r="G230" s="115">
        <f>VLOOKUP($A230,'S0 remplacer avec S44'!$C:$BQ,30,0)</f>
        <v>311</v>
      </c>
      <c r="H230" s="115">
        <f>VLOOKUP($A230,'S0 remplacer avec S44'!$C:$BQ,52,0)</f>
        <v>158.6</v>
      </c>
      <c r="I230" s="115">
        <f>VLOOKUP($A230,'S0 remplacer avec S44'!$C:$BQ,59,0)</f>
        <v>0</v>
      </c>
      <c r="J230" s="115">
        <f>VLOOKUP($A230,'S0 remplacer avec S44'!$C:$BQ,60,0)</f>
        <v>0</v>
      </c>
      <c r="K230" s="107" t="e">
        <f>VLOOKUP($A230,'S45'!$C:$BQ,32,0)</f>
        <v>#N/A</v>
      </c>
      <c r="L230" s="107" t="e">
        <f>VLOOKUP($A230,'S45'!$C:$BQ,39,0)</f>
        <v>#N/A</v>
      </c>
      <c r="M230" s="107" t="e">
        <f>VLOOKUP($A230,'S45'!$C:$BQ,40,0)</f>
        <v>#N/A</v>
      </c>
      <c r="N230" s="107" t="e">
        <f>VLOOKUP($A230,'S45'!$C:$BQ,22,0)</f>
        <v>#N/A</v>
      </c>
      <c r="O230" s="115" t="e">
        <f>VLOOKUP($A230,'S45'!$C:$BQ,29,0)</f>
        <v>#N/A</v>
      </c>
      <c r="P230" s="115" t="e">
        <f>VLOOKUP($A230,'S45'!$C:$BQ,30,0)</f>
        <v>#N/A</v>
      </c>
      <c r="Q230" s="115" t="e">
        <f>VLOOKUP($A230,'S45'!$C:$BQ,52,0)</f>
        <v>#N/A</v>
      </c>
      <c r="R230" s="115" t="e">
        <f>VLOOKUP($A230,'S45'!$C:$BQ,59,0)</f>
        <v>#N/A</v>
      </c>
      <c r="S230" s="115" t="e">
        <f>VLOOKUP($A230,'S45'!$C:$BQ,60,0)</f>
        <v>#N/A</v>
      </c>
      <c r="T230" s="107" t="e">
        <f>VLOOKUP($A230,'S46'!$C:$BQ,32,0)</f>
        <v>#N/A</v>
      </c>
      <c r="U230" s="107" t="e">
        <f>VLOOKUP($A230,'S46'!$C:$BQ,39,0)</f>
        <v>#N/A</v>
      </c>
      <c r="V230" s="107" t="e">
        <f>VLOOKUP($A230,'S46'!$C:$BQ,40,0)</f>
        <v>#N/A</v>
      </c>
      <c r="W230" s="107" t="e">
        <f>VLOOKUP($A230,'S46'!$C:$BQ,22,0)</f>
        <v>#N/A</v>
      </c>
      <c r="X230" s="115" t="e">
        <f>VLOOKUP($A230,'S46'!$C:$BQ,29,0)</f>
        <v>#N/A</v>
      </c>
      <c r="Y230" s="115" t="e">
        <f>VLOOKUP($A230,'S46'!$C:$BQ,30,0)</f>
        <v>#N/A</v>
      </c>
      <c r="Z230" s="115" t="e">
        <f>VLOOKUP($A230,'S46'!$C:$BQ,52,0)</f>
        <v>#N/A</v>
      </c>
      <c r="AA230" s="115" t="e">
        <f>VLOOKUP($A230,'S46'!$C:$BQ,59,0)</f>
        <v>#N/A</v>
      </c>
      <c r="AB230" s="115" t="e">
        <f>VLOOKUP($A230,'S46'!$C:$BQ,60,0)</f>
        <v>#N/A</v>
      </c>
      <c r="AC230" s="107" t="e">
        <f>VLOOKUP($A230,'S47'!$C:$BQ,32,0)</f>
        <v>#N/A</v>
      </c>
      <c r="AD230" s="107" t="e">
        <f>VLOOKUP($A230,'S47'!$C:$BQ,39,0)</f>
        <v>#N/A</v>
      </c>
      <c r="AE230" s="107" t="e">
        <f>VLOOKUP($A230,'S47'!$C:$BQ,40,0)</f>
        <v>#N/A</v>
      </c>
      <c r="AF230" s="107" t="e">
        <f>VLOOKUP($A230,'S47'!$C:$BQ,22,0)</f>
        <v>#N/A</v>
      </c>
      <c r="AG230" s="115" t="e">
        <f>VLOOKUP($A230,'S47'!$C:$BQ,29,0)</f>
        <v>#N/A</v>
      </c>
      <c r="AH230" s="115" t="e">
        <f>VLOOKUP($A230,'S47'!$C:$BQ,30,0)</f>
        <v>#N/A</v>
      </c>
      <c r="AI230" s="115" t="e">
        <f>VLOOKUP($A230,'S47'!$C:$BQ,52,0)</f>
        <v>#N/A</v>
      </c>
      <c r="AJ230" s="115" t="e">
        <f>VLOOKUP($A230,'S47'!$C:$BQ,59,0)</f>
        <v>#N/A</v>
      </c>
      <c r="AK230" s="115" t="e">
        <f>VLOOKUP($A230,'S47'!$C:$BQ,60,0)</f>
        <v>#N/A</v>
      </c>
      <c r="AL230" s="107" t="e">
        <f>VLOOKUP($A230,'S48'!$C:$BQ,32,0)</f>
        <v>#N/A</v>
      </c>
      <c r="AM230" s="107" t="e">
        <f>VLOOKUP($A230,'S48'!$C:$BQ,39,0)</f>
        <v>#N/A</v>
      </c>
      <c r="AN230" s="107" t="e">
        <f>VLOOKUP($A230,'S48'!$C:$BQ,40,0)</f>
        <v>#N/A</v>
      </c>
      <c r="AO230" s="107" t="e">
        <f>VLOOKUP($A230,'S48'!$C:$BQ,22,0)</f>
        <v>#N/A</v>
      </c>
      <c r="AP230" s="115" t="e">
        <f>VLOOKUP($A230,'S48'!$C:$BQ,29,0)</f>
        <v>#N/A</v>
      </c>
      <c r="AQ230" s="115" t="e">
        <f>VLOOKUP($A230,'S48'!$C:$BQ,30,0)</f>
        <v>#N/A</v>
      </c>
      <c r="AR230" s="115" t="e">
        <f>VLOOKUP($A230,'S48'!$C:$BQ,52,0)</f>
        <v>#N/A</v>
      </c>
      <c r="AS230" s="115" t="e">
        <f>VLOOKUP($A230,'S48'!$C:$BQ,59,0)</f>
        <v>#N/A</v>
      </c>
      <c r="AT230" s="115" t="e">
        <f>VLOOKUP($A230,'S48'!$C:$BQ,60,0)</f>
        <v>#N/A</v>
      </c>
      <c r="AU230" s="107" t="e">
        <f>VLOOKUP($A230,'S49'!$C:$BQ,32,0)</f>
        <v>#N/A</v>
      </c>
      <c r="AV230" s="107" t="e">
        <f>VLOOKUP($A230,'S49'!$C:$BQ,39,0)</f>
        <v>#N/A</v>
      </c>
      <c r="AW230" s="107" t="e">
        <f>VLOOKUP($A230,'S49'!$C:$BQ,40,0)</f>
        <v>#N/A</v>
      </c>
      <c r="AX230" s="107" t="e">
        <f>VLOOKUP($A230,'S49'!$C:$BQ,22,0)</f>
        <v>#N/A</v>
      </c>
      <c r="AY230" s="115" t="e">
        <f>VLOOKUP($A230,'S49'!$C:$BQ,29,0)</f>
        <v>#N/A</v>
      </c>
      <c r="AZ230" s="115" t="e">
        <f>VLOOKUP($A230,'S49'!$C:$BQ,30,0)</f>
        <v>#N/A</v>
      </c>
      <c r="BA230" s="115" t="e">
        <f>VLOOKUP($A230,'S49'!$C:$BQ,52,0)</f>
        <v>#N/A</v>
      </c>
      <c r="BB230" s="115" t="e">
        <f>VLOOKUP($A230,'S49'!$C:$BQ,59,0)</f>
        <v>#N/A</v>
      </c>
      <c r="BC230" s="115" t="e">
        <f>VLOOKUP($A230,'S49'!$C:$BQ,60,0)</f>
        <v>#N/A</v>
      </c>
      <c r="BD230" s="107" t="e">
        <f>VLOOKUP($A230,'S50'!$C:$BQ,32,0)</f>
        <v>#N/A</v>
      </c>
      <c r="BE230" s="107" t="e">
        <f>VLOOKUP($A230,'S50'!$C:$BQ,39,0)</f>
        <v>#N/A</v>
      </c>
      <c r="BF230" s="107" t="e">
        <f>VLOOKUP($A230,'S50'!$C:$BQ,40,0)</f>
        <v>#N/A</v>
      </c>
      <c r="BG230" s="107" t="e">
        <f>VLOOKUP($A230,'S50'!$C:$BQ,22,0)</f>
        <v>#N/A</v>
      </c>
      <c r="BH230" s="115" t="e">
        <f>VLOOKUP($A230,'S50'!$C:$BQ,29,0)</f>
        <v>#N/A</v>
      </c>
      <c r="BI230" s="115" t="e">
        <f>VLOOKUP($A230,'S50'!$C:$BQ,30,0)</f>
        <v>#N/A</v>
      </c>
      <c r="BJ230" s="115" t="e">
        <f>VLOOKUP($A230,'S50'!$C:$BQ,52,0)</f>
        <v>#N/A</v>
      </c>
      <c r="BK230" s="115" t="e">
        <f>VLOOKUP($A230,'S50'!$C:$BQ,59,0)</f>
        <v>#N/A</v>
      </c>
      <c r="BL230" s="115" t="e">
        <f>VLOOKUP($A230,'S50'!$C:$BQ,60,0)</f>
        <v>#N/A</v>
      </c>
    </row>
    <row r="231" spans="1:64" x14ac:dyDescent="0.2">
      <c r="A231" s="106" t="s">
        <v>302</v>
      </c>
      <c r="B231" s="107">
        <f>VLOOKUP($A231,'S0 remplacer avec S44'!$C:$BQ,32,0)</f>
        <v>119.8</v>
      </c>
      <c r="C231" s="107">
        <f>VLOOKUP($A231,'S0 remplacer avec S44'!$C:$BQ,39,0)</f>
        <v>24</v>
      </c>
      <c r="D231" s="107">
        <f>VLOOKUP($A231,'S0 remplacer avec S44'!$C:$BQ,40,0)</f>
        <v>53</v>
      </c>
      <c r="E231" s="107">
        <f>VLOOKUP($A231,'S0 remplacer avec S44'!$C:$BQ,22,0)</f>
        <v>1678.911515</v>
      </c>
      <c r="F231" s="115">
        <f>VLOOKUP($A231,'S0 remplacer avec S44'!$C:$BQ,29,0)</f>
        <v>0</v>
      </c>
      <c r="G231" s="115">
        <f>VLOOKUP($A231,'S0 remplacer avec S44'!$C:$BQ,30,0)</f>
        <v>0</v>
      </c>
      <c r="H231" s="115">
        <f>VLOOKUP($A231,'S0 remplacer avec S44'!$C:$BQ,52,0)</f>
        <v>72.599999999999994</v>
      </c>
      <c r="I231" s="115">
        <f>VLOOKUP($A231,'S0 remplacer avec S44'!$C:$BQ,59,0)</f>
        <v>1</v>
      </c>
      <c r="J231" s="115">
        <f>VLOOKUP($A231,'S0 remplacer avec S44'!$C:$BQ,60,0)</f>
        <v>15</v>
      </c>
      <c r="K231" s="107" t="e">
        <f>VLOOKUP($A231,'S45'!$C:$BQ,32,0)</f>
        <v>#N/A</v>
      </c>
      <c r="L231" s="107" t="e">
        <f>VLOOKUP($A231,'S45'!$C:$BQ,39,0)</f>
        <v>#N/A</v>
      </c>
      <c r="M231" s="107" t="e">
        <f>VLOOKUP($A231,'S45'!$C:$BQ,40,0)</f>
        <v>#N/A</v>
      </c>
      <c r="N231" s="107" t="e">
        <f>VLOOKUP($A231,'S45'!$C:$BQ,22,0)</f>
        <v>#N/A</v>
      </c>
      <c r="O231" s="115" t="e">
        <f>VLOOKUP($A231,'S45'!$C:$BQ,29,0)</f>
        <v>#N/A</v>
      </c>
      <c r="P231" s="115" t="e">
        <f>VLOOKUP($A231,'S45'!$C:$BQ,30,0)</f>
        <v>#N/A</v>
      </c>
      <c r="Q231" s="115" t="e">
        <f>VLOOKUP($A231,'S45'!$C:$BQ,52,0)</f>
        <v>#N/A</v>
      </c>
      <c r="R231" s="115" t="e">
        <f>VLOOKUP($A231,'S45'!$C:$BQ,59,0)</f>
        <v>#N/A</v>
      </c>
      <c r="S231" s="115" t="e">
        <f>VLOOKUP($A231,'S45'!$C:$BQ,60,0)</f>
        <v>#N/A</v>
      </c>
      <c r="T231" s="107" t="e">
        <f>VLOOKUP($A231,'S46'!$C:$BQ,32,0)</f>
        <v>#N/A</v>
      </c>
      <c r="U231" s="107" t="e">
        <f>VLOOKUP($A231,'S46'!$C:$BQ,39,0)</f>
        <v>#N/A</v>
      </c>
      <c r="V231" s="107" t="e">
        <f>VLOOKUP($A231,'S46'!$C:$BQ,40,0)</f>
        <v>#N/A</v>
      </c>
      <c r="W231" s="107" t="e">
        <f>VLOOKUP($A231,'S46'!$C:$BQ,22,0)</f>
        <v>#N/A</v>
      </c>
      <c r="X231" s="115" t="e">
        <f>VLOOKUP($A231,'S46'!$C:$BQ,29,0)</f>
        <v>#N/A</v>
      </c>
      <c r="Y231" s="115" t="e">
        <f>VLOOKUP($A231,'S46'!$C:$BQ,30,0)</f>
        <v>#N/A</v>
      </c>
      <c r="Z231" s="115" t="e">
        <f>VLOOKUP($A231,'S46'!$C:$BQ,52,0)</f>
        <v>#N/A</v>
      </c>
      <c r="AA231" s="115" t="e">
        <f>VLOOKUP($A231,'S46'!$C:$BQ,59,0)</f>
        <v>#N/A</v>
      </c>
      <c r="AB231" s="115" t="e">
        <f>VLOOKUP($A231,'S46'!$C:$BQ,60,0)</f>
        <v>#N/A</v>
      </c>
      <c r="AC231" s="107" t="e">
        <f>VLOOKUP($A231,'S47'!$C:$BQ,32,0)</f>
        <v>#N/A</v>
      </c>
      <c r="AD231" s="107" t="e">
        <f>VLOOKUP($A231,'S47'!$C:$BQ,39,0)</f>
        <v>#N/A</v>
      </c>
      <c r="AE231" s="107" t="e">
        <f>VLOOKUP($A231,'S47'!$C:$BQ,40,0)</f>
        <v>#N/A</v>
      </c>
      <c r="AF231" s="107" t="e">
        <f>VLOOKUP($A231,'S47'!$C:$BQ,22,0)</f>
        <v>#N/A</v>
      </c>
      <c r="AG231" s="115" t="e">
        <f>VLOOKUP($A231,'S47'!$C:$BQ,29,0)</f>
        <v>#N/A</v>
      </c>
      <c r="AH231" s="115" t="e">
        <f>VLOOKUP($A231,'S47'!$C:$BQ,30,0)</f>
        <v>#N/A</v>
      </c>
      <c r="AI231" s="115" t="e">
        <f>VLOOKUP($A231,'S47'!$C:$BQ,52,0)</f>
        <v>#N/A</v>
      </c>
      <c r="AJ231" s="115" t="e">
        <f>VLOOKUP($A231,'S47'!$C:$BQ,59,0)</f>
        <v>#N/A</v>
      </c>
      <c r="AK231" s="115" t="e">
        <f>VLOOKUP($A231,'S47'!$C:$BQ,60,0)</f>
        <v>#N/A</v>
      </c>
      <c r="AL231" s="107" t="e">
        <f>VLOOKUP($A231,'S48'!$C:$BQ,32,0)</f>
        <v>#N/A</v>
      </c>
      <c r="AM231" s="107" t="e">
        <f>VLOOKUP($A231,'S48'!$C:$BQ,39,0)</f>
        <v>#N/A</v>
      </c>
      <c r="AN231" s="107" t="e">
        <f>VLOOKUP($A231,'S48'!$C:$BQ,40,0)</f>
        <v>#N/A</v>
      </c>
      <c r="AO231" s="107" t="e">
        <f>VLOOKUP($A231,'S48'!$C:$BQ,22,0)</f>
        <v>#N/A</v>
      </c>
      <c r="AP231" s="115" t="e">
        <f>VLOOKUP($A231,'S48'!$C:$BQ,29,0)</f>
        <v>#N/A</v>
      </c>
      <c r="AQ231" s="115" t="e">
        <f>VLOOKUP($A231,'S48'!$C:$BQ,30,0)</f>
        <v>#N/A</v>
      </c>
      <c r="AR231" s="115" t="e">
        <f>VLOOKUP($A231,'S48'!$C:$BQ,52,0)</f>
        <v>#N/A</v>
      </c>
      <c r="AS231" s="115" t="e">
        <f>VLOOKUP($A231,'S48'!$C:$BQ,59,0)</f>
        <v>#N/A</v>
      </c>
      <c r="AT231" s="115" t="e">
        <f>VLOOKUP($A231,'S48'!$C:$BQ,60,0)</f>
        <v>#N/A</v>
      </c>
      <c r="AU231" s="107" t="e">
        <f>VLOOKUP($A231,'S49'!$C:$BQ,32,0)</f>
        <v>#N/A</v>
      </c>
      <c r="AV231" s="107" t="e">
        <f>VLOOKUP($A231,'S49'!$C:$BQ,39,0)</f>
        <v>#N/A</v>
      </c>
      <c r="AW231" s="107" t="e">
        <f>VLOOKUP($A231,'S49'!$C:$BQ,40,0)</f>
        <v>#N/A</v>
      </c>
      <c r="AX231" s="107" t="e">
        <f>VLOOKUP($A231,'S49'!$C:$BQ,22,0)</f>
        <v>#N/A</v>
      </c>
      <c r="AY231" s="115" t="e">
        <f>VLOOKUP($A231,'S49'!$C:$BQ,29,0)</f>
        <v>#N/A</v>
      </c>
      <c r="AZ231" s="115" t="e">
        <f>VLOOKUP($A231,'S49'!$C:$BQ,30,0)</f>
        <v>#N/A</v>
      </c>
      <c r="BA231" s="115" t="e">
        <f>VLOOKUP($A231,'S49'!$C:$BQ,52,0)</f>
        <v>#N/A</v>
      </c>
      <c r="BB231" s="115" t="e">
        <f>VLOOKUP($A231,'S49'!$C:$BQ,59,0)</f>
        <v>#N/A</v>
      </c>
      <c r="BC231" s="115" t="e">
        <f>VLOOKUP($A231,'S49'!$C:$BQ,60,0)</f>
        <v>#N/A</v>
      </c>
      <c r="BD231" s="107" t="e">
        <f>VLOOKUP($A231,'S50'!$C:$BQ,32,0)</f>
        <v>#N/A</v>
      </c>
      <c r="BE231" s="107" t="e">
        <f>VLOOKUP($A231,'S50'!$C:$BQ,39,0)</f>
        <v>#N/A</v>
      </c>
      <c r="BF231" s="107" t="e">
        <f>VLOOKUP($A231,'S50'!$C:$BQ,40,0)</f>
        <v>#N/A</v>
      </c>
      <c r="BG231" s="107" t="e">
        <f>VLOOKUP($A231,'S50'!$C:$BQ,22,0)</f>
        <v>#N/A</v>
      </c>
      <c r="BH231" s="115" t="e">
        <f>VLOOKUP($A231,'S50'!$C:$BQ,29,0)</f>
        <v>#N/A</v>
      </c>
      <c r="BI231" s="115" t="e">
        <f>VLOOKUP($A231,'S50'!$C:$BQ,30,0)</f>
        <v>#N/A</v>
      </c>
      <c r="BJ231" s="115" t="e">
        <f>VLOOKUP($A231,'S50'!$C:$BQ,52,0)</f>
        <v>#N/A</v>
      </c>
      <c r="BK231" s="115" t="e">
        <f>VLOOKUP($A231,'S50'!$C:$BQ,59,0)</f>
        <v>#N/A</v>
      </c>
      <c r="BL231" s="115" t="e">
        <f>VLOOKUP($A231,'S50'!$C:$BQ,60,0)</f>
        <v>#N/A</v>
      </c>
    </row>
    <row r="232" spans="1:64" x14ac:dyDescent="0.2">
      <c r="A232" s="106" t="s">
        <v>303</v>
      </c>
      <c r="B232" s="107">
        <f>VLOOKUP($A232,'S0 remplacer avec S44'!$C:$BQ,32,0)</f>
        <v>210</v>
      </c>
      <c r="C232" s="107">
        <f>VLOOKUP($A232,'S0 remplacer avec S44'!$C:$BQ,39,0)</f>
        <v>0</v>
      </c>
      <c r="D232" s="107">
        <f>VLOOKUP($A232,'S0 remplacer avec S44'!$C:$BQ,40,0)</f>
        <v>13</v>
      </c>
      <c r="E232" s="107">
        <f>VLOOKUP($A232,'S0 remplacer avec S44'!$C:$BQ,22,0)</f>
        <v>1879.09563</v>
      </c>
      <c r="F232" s="115">
        <f>VLOOKUP($A232,'S0 remplacer avec S44'!$C:$BQ,29,0)</f>
        <v>0</v>
      </c>
      <c r="G232" s="115">
        <f>VLOOKUP($A232,'S0 remplacer avec S44'!$C:$BQ,30,0)</f>
        <v>141</v>
      </c>
      <c r="H232" s="115">
        <f>VLOOKUP($A232,'S0 remplacer avec S44'!$C:$BQ,52,0)</f>
        <v>123.6</v>
      </c>
      <c r="I232" s="115">
        <f>VLOOKUP($A232,'S0 remplacer avec S44'!$C:$BQ,59,0)</f>
        <v>0</v>
      </c>
      <c r="J232" s="115">
        <f>VLOOKUP($A232,'S0 remplacer avec S44'!$C:$BQ,60,0)</f>
        <v>0</v>
      </c>
      <c r="K232" s="107" t="e">
        <f>VLOOKUP($A232,'S45'!$C:$BQ,32,0)</f>
        <v>#N/A</v>
      </c>
      <c r="L232" s="107" t="e">
        <f>VLOOKUP($A232,'S45'!$C:$BQ,39,0)</f>
        <v>#N/A</v>
      </c>
      <c r="M232" s="107" t="e">
        <f>VLOOKUP($A232,'S45'!$C:$BQ,40,0)</f>
        <v>#N/A</v>
      </c>
      <c r="N232" s="107" t="e">
        <f>VLOOKUP($A232,'S45'!$C:$BQ,22,0)</f>
        <v>#N/A</v>
      </c>
      <c r="O232" s="115" t="e">
        <f>VLOOKUP($A232,'S45'!$C:$BQ,29,0)</f>
        <v>#N/A</v>
      </c>
      <c r="P232" s="115" t="e">
        <f>VLOOKUP($A232,'S45'!$C:$BQ,30,0)</f>
        <v>#N/A</v>
      </c>
      <c r="Q232" s="115" t="e">
        <f>VLOOKUP($A232,'S45'!$C:$BQ,52,0)</f>
        <v>#N/A</v>
      </c>
      <c r="R232" s="115" t="e">
        <f>VLOOKUP($A232,'S45'!$C:$BQ,59,0)</f>
        <v>#N/A</v>
      </c>
      <c r="S232" s="115" t="e">
        <f>VLOOKUP($A232,'S45'!$C:$BQ,60,0)</f>
        <v>#N/A</v>
      </c>
      <c r="T232" s="107" t="e">
        <f>VLOOKUP($A232,'S46'!$C:$BQ,32,0)</f>
        <v>#N/A</v>
      </c>
      <c r="U232" s="107" t="e">
        <f>VLOOKUP($A232,'S46'!$C:$BQ,39,0)</f>
        <v>#N/A</v>
      </c>
      <c r="V232" s="107" t="e">
        <f>VLOOKUP($A232,'S46'!$C:$BQ,40,0)</f>
        <v>#N/A</v>
      </c>
      <c r="W232" s="107" t="e">
        <f>VLOOKUP($A232,'S46'!$C:$BQ,22,0)</f>
        <v>#N/A</v>
      </c>
      <c r="X232" s="115" t="e">
        <f>VLOOKUP($A232,'S46'!$C:$BQ,29,0)</f>
        <v>#N/A</v>
      </c>
      <c r="Y232" s="115" t="e">
        <f>VLOOKUP($A232,'S46'!$C:$BQ,30,0)</f>
        <v>#N/A</v>
      </c>
      <c r="Z232" s="115" t="e">
        <f>VLOOKUP($A232,'S46'!$C:$BQ,52,0)</f>
        <v>#N/A</v>
      </c>
      <c r="AA232" s="115" t="e">
        <f>VLOOKUP($A232,'S46'!$C:$BQ,59,0)</f>
        <v>#N/A</v>
      </c>
      <c r="AB232" s="115" t="e">
        <f>VLOOKUP($A232,'S46'!$C:$BQ,60,0)</f>
        <v>#N/A</v>
      </c>
      <c r="AC232" s="107" t="e">
        <f>VLOOKUP($A232,'S47'!$C:$BQ,32,0)</f>
        <v>#N/A</v>
      </c>
      <c r="AD232" s="107" t="e">
        <f>VLOOKUP($A232,'S47'!$C:$BQ,39,0)</f>
        <v>#N/A</v>
      </c>
      <c r="AE232" s="107" t="e">
        <f>VLOOKUP($A232,'S47'!$C:$BQ,40,0)</f>
        <v>#N/A</v>
      </c>
      <c r="AF232" s="107" t="e">
        <f>VLOOKUP($A232,'S47'!$C:$BQ,22,0)</f>
        <v>#N/A</v>
      </c>
      <c r="AG232" s="115" t="e">
        <f>VLOOKUP($A232,'S47'!$C:$BQ,29,0)</f>
        <v>#N/A</v>
      </c>
      <c r="AH232" s="115" t="e">
        <f>VLOOKUP($A232,'S47'!$C:$BQ,30,0)</f>
        <v>#N/A</v>
      </c>
      <c r="AI232" s="115" t="e">
        <f>VLOOKUP($A232,'S47'!$C:$BQ,52,0)</f>
        <v>#N/A</v>
      </c>
      <c r="AJ232" s="115" t="e">
        <f>VLOOKUP($A232,'S47'!$C:$BQ,59,0)</f>
        <v>#N/A</v>
      </c>
      <c r="AK232" s="115" t="e">
        <f>VLOOKUP($A232,'S47'!$C:$BQ,60,0)</f>
        <v>#N/A</v>
      </c>
      <c r="AL232" s="107" t="e">
        <f>VLOOKUP($A232,'S48'!$C:$BQ,32,0)</f>
        <v>#N/A</v>
      </c>
      <c r="AM232" s="107" t="e">
        <f>VLOOKUP($A232,'S48'!$C:$BQ,39,0)</f>
        <v>#N/A</v>
      </c>
      <c r="AN232" s="107" t="e">
        <f>VLOOKUP($A232,'S48'!$C:$BQ,40,0)</f>
        <v>#N/A</v>
      </c>
      <c r="AO232" s="107" t="e">
        <f>VLOOKUP($A232,'S48'!$C:$BQ,22,0)</f>
        <v>#N/A</v>
      </c>
      <c r="AP232" s="115" t="e">
        <f>VLOOKUP($A232,'S48'!$C:$BQ,29,0)</f>
        <v>#N/A</v>
      </c>
      <c r="AQ232" s="115" t="e">
        <f>VLOOKUP($A232,'S48'!$C:$BQ,30,0)</f>
        <v>#N/A</v>
      </c>
      <c r="AR232" s="115" t="e">
        <f>VLOOKUP($A232,'S48'!$C:$BQ,52,0)</f>
        <v>#N/A</v>
      </c>
      <c r="AS232" s="115" t="e">
        <f>VLOOKUP($A232,'S48'!$C:$BQ,59,0)</f>
        <v>#N/A</v>
      </c>
      <c r="AT232" s="115" t="e">
        <f>VLOOKUP($A232,'S48'!$C:$BQ,60,0)</f>
        <v>#N/A</v>
      </c>
      <c r="AU232" s="107" t="e">
        <f>VLOOKUP($A232,'S49'!$C:$BQ,32,0)</f>
        <v>#N/A</v>
      </c>
      <c r="AV232" s="107" t="e">
        <f>VLOOKUP($A232,'S49'!$C:$BQ,39,0)</f>
        <v>#N/A</v>
      </c>
      <c r="AW232" s="107" t="e">
        <f>VLOOKUP($A232,'S49'!$C:$BQ,40,0)</f>
        <v>#N/A</v>
      </c>
      <c r="AX232" s="107" t="e">
        <f>VLOOKUP($A232,'S49'!$C:$BQ,22,0)</f>
        <v>#N/A</v>
      </c>
      <c r="AY232" s="115" t="e">
        <f>VLOOKUP($A232,'S49'!$C:$BQ,29,0)</f>
        <v>#N/A</v>
      </c>
      <c r="AZ232" s="115" t="e">
        <f>VLOOKUP($A232,'S49'!$C:$BQ,30,0)</f>
        <v>#N/A</v>
      </c>
      <c r="BA232" s="115" t="e">
        <f>VLOOKUP($A232,'S49'!$C:$BQ,52,0)</f>
        <v>#N/A</v>
      </c>
      <c r="BB232" s="115" t="e">
        <f>VLOOKUP($A232,'S49'!$C:$BQ,59,0)</f>
        <v>#N/A</v>
      </c>
      <c r="BC232" s="115" t="e">
        <f>VLOOKUP($A232,'S49'!$C:$BQ,60,0)</f>
        <v>#N/A</v>
      </c>
      <c r="BD232" s="107" t="e">
        <f>VLOOKUP($A232,'S50'!$C:$BQ,32,0)</f>
        <v>#N/A</v>
      </c>
      <c r="BE232" s="107" t="e">
        <f>VLOOKUP($A232,'S50'!$C:$BQ,39,0)</f>
        <v>#N/A</v>
      </c>
      <c r="BF232" s="107" t="e">
        <f>VLOOKUP($A232,'S50'!$C:$BQ,40,0)</f>
        <v>#N/A</v>
      </c>
      <c r="BG232" s="107" t="e">
        <f>VLOOKUP($A232,'S50'!$C:$BQ,22,0)</f>
        <v>#N/A</v>
      </c>
      <c r="BH232" s="115" t="e">
        <f>VLOOKUP($A232,'S50'!$C:$BQ,29,0)</f>
        <v>#N/A</v>
      </c>
      <c r="BI232" s="115" t="e">
        <f>VLOOKUP($A232,'S50'!$C:$BQ,30,0)</f>
        <v>#N/A</v>
      </c>
      <c r="BJ232" s="115" t="e">
        <f>VLOOKUP($A232,'S50'!$C:$BQ,52,0)</f>
        <v>#N/A</v>
      </c>
      <c r="BK232" s="115" t="e">
        <f>VLOOKUP($A232,'S50'!$C:$BQ,59,0)</f>
        <v>#N/A</v>
      </c>
      <c r="BL232" s="115" t="e">
        <f>VLOOKUP($A232,'S50'!$C:$BQ,60,0)</f>
        <v>#N/A</v>
      </c>
    </row>
    <row r="233" spans="1:64" x14ac:dyDescent="0.2">
      <c r="A233" s="106" t="s">
        <v>304</v>
      </c>
      <c r="B233" s="107">
        <f>VLOOKUP($A233,'S0 remplacer avec S44'!$C:$BQ,32,0)</f>
        <v>138.30000000000001</v>
      </c>
      <c r="C233" s="107">
        <f>VLOOKUP($A233,'S0 remplacer avec S44'!$C:$BQ,39,0)</f>
        <v>67</v>
      </c>
      <c r="D233" s="107">
        <f>VLOOKUP($A233,'S0 remplacer avec S44'!$C:$BQ,40,0)</f>
        <v>108</v>
      </c>
      <c r="E233" s="107">
        <f>VLOOKUP($A233,'S0 remplacer avec S44'!$C:$BQ,22,0)</f>
        <v>1229.027525</v>
      </c>
      <c r="F233" s="115">
        <f>VLOOKUP($A233,'S0 remplacer avec S44'!$C:$BQ,29,0)</f>
        <v>631</v>
      </c>
      <c r="G233" s="115">
        <f>VLOOKUP($A233,'S0 remplacer avec S44'!$C:$BQ,30,0)</f>
        <v>1003</v>
      </c>
      <c r="H233" s="115">
        <f>VLOOKUP($A233,'S0 remplacer avec S44'!$C:$BQ,52,0)</f>
        <v>79</v>
      </c>
      <c r="I233" s="115">
        <f>VLOOKUP($A233,'S0 remplacer avec S44'!$C:$BQ,59,0)</f>
        <v>25</v>
      </c>
      <c r="J233" s="115">
        <f>VLOOKUP($A233,'S0 remplacer avec S44'!$C:$BQ,60,0)</f>
        <v>46</v>
      </c>
      <c r="K233" s="107" t="e">
        <f>VLOOKUP($A233,'S45'!$C:$BQ,32,0)</f>
        <v>#N/A</v>
      </c>
      <c r="L233" s="107" t="e">
        <f>VLOOKUP($A233,'S45'!$C:$BQ,39,0)</f>
        <v>#N/A</v>
      </c>
      <c r="M233" s="107" t="e">
        <f>VLOOKUP($A233,'S45'!$C:$BQ,40,0)</f>
        <v>#N/A</v>
      </c>
      <c r="N233" s="107" t="e">
        <f>VLOOKUP($A233,'S45'!$C:$BQ,22,0)</f>
        <v>#N/A</v>
      </c>
      <c r="O233" s="115" t="e">
        <f>VLOOKUP($A233,'S45'!$C:$BQ,29,0)</f>
        <v>#N/A</v>
      </c>
      <c r="P233" s="115" t="e">
        <f>VLOOKUP($A233,'S45'!$C:$BQ,30,0)</f>
        <v>#N/A</v>
      </c>
      <c r="Q233" s="115" t="e">
        <f>VLOOKUP($A233,'S45'!$C:$BQ,52,0)</f>
        <v>#N/A</v>
      </c>
      <c r="R233" s="115" t="e">
        <f>VLOOKUP($A233,'S45'!$C:$BQ,59,0)</f>
        <v>#N/A</v>
      </c>
      <c r="S233" s="115" t="e">
        <f>VLOOKUP($A233,'S45'!$C:$BQ,60,0)</f>
        <v>#N/A</v>
      </c>
      <c r="T233" s="107" t="e">
        <f>VLOOKUP($A233,'S46'!$C:$BQ,32,0)</f>
        <v>#N/A</v>
      </c>
      <c r="U233" s="107" t="e">
        <f>VLOOKUP($A233,'S46'!$C:$BQ,39,0)</f>
        <v>#N/A</v>
      </c>
      <c r="V233" s="107" t="e">
        <f>VLOOKUP($A233,'S46'!$C:$BQ,40,0)</f>
        <v>#N/A</v>
      </c>
      <c r="W233" s="107" t="e">
        <f>VLOOKUP($A233,'S46'!$C:$BQ,22,0)</f>
        <v>#N/A</v>
      </c>
      <c r="X233" s="115" t="e">
        <f>VLOOKUP($A233,'S46'!$C:$BQ,29,0)</f>
        <v>#N/A</v>
      </c>
      <c r="Y233" s="115" t="e">
        <f>VLOOKUP($A233,'S46'!$C:$BQ,30,0)</f>
        <v>#N/A</v>
      </c>
      <c r="Z233" s="115" t="e">
        <f>VLOOKUP($A233,'S46'!$C:$BQ,52,0)</f>
        <v>#N/A</v>
      </c>
      <c r="AA233" s="115" t="e">
        <f>VLOOKUP($A233,'S46'!$C:$BQ,59,0)</f>
        <v>#N/A</v>
      </c>
      <c r="AB233" s="115" t="e">
        <f>VLOOKUP($A233,'S46'!$C:$BQ,60,0)</f>
        <v>#N/A</v>
      </c>
      <c r="AC233" s="107" t="e">
        <f>VLOOKUP($A233,'S47'!$C:$BQ,32,0)</f>
        <v>#N/A</v>
      </c>
      <c r="AD233" s="107" t="e">
        <f>VLOOKUP($A233,'S47'!$C:$BQ,39,0)</f>
        <v>#N/A</v>
      </c>
      <c r="AE233" s="107" t="e">
        <f>VLOOKUP($A233,'S47'!$C:$BQ,40,0)</f>
        <v>#N/A</v>
      </c>
      <c r="AF233" s="107" t="e">
        <f>VLOOKUP($A233,'S47'!$C:$BQ,22,0)</f>
        <v>#N/A</v>
      </c>
      <c r="AG233" s="115" t="e">
        <f>VLOOKUP($A233,'S47'!$C:$BQ,29,0)</f>
        <v>#N/A</v>
      </c>
      <c r="AH233" s="115" t="e">
        <f>VLOOKUP($A233,'S47'!$C:$BQ,30,0)</f>
        <v>#N/A</v>
      </c>
      <c r="AI233" s="115" t="e">
        <f>VLOOKUP($A233,'S47'!$C:$BQ,52,0)</f>
        <v>#N/A</v>
      </c>
      <c r="AJ233" s="115" t="e">
        <f>VLOOKUP($A233,'S47'!$C:$BQ,59,0)</f>
        <v>#N/A</v>
      </c>
      <c r="AK233" s="115" t="e">
        <f>VLOOKUP($A233,'S47'!$C:$BQ,60,0)</f>
        <v>#N/A</v>
      </c>
      <c r="AL233" s="107" t="e">
        <f>VLOOKUP($A233,'S48'!$C:$BQ,32,0)</f>
        <v>#N/A</v>
      </c>
      <c r="AM233" s="107" t="e">
        <f>VLOOKUP($A233,'S48'!$C:$BQ,39,0)</f>
        <v>#N/A</v>
      </c>
      <c r="AN233" s="107" t="e">
        <f>VLOOKUP($A233,'S48'!$C:$BQ,40,0)</f>
        <v>#N/A</v>
      </c>
      <c r="AO233" s="107" t="e">
        <f>VLOOKUP($A233,'S48'!$C:$BQ,22,0)</f>
        <v>#N/A</v>
      </c>
      <c r="AP233" s="115" t="e">
        <f>VLOOKUP($A233,'S48'!$C:$BQ,29,0)</f>
        <v>#N/A</v>
      </c>
      <c r="AQ233" s="115" t="e">
        <f>VLOOKUP($A233,'S48'!$C:$BQ,30,0)</f>
        <v>#N/A</v>
      </c>
      <c r="AR233" s="115" t="e">
        <f>VLOOKUP($A233,'S48'!$C:$BQ,52,0)</f>
        <v>#N/A</v>
      </c>
      <c r="AS233" s="115" t="e">
        <f>VLOOKUP($A233,'S48'!$C:$BQ,59,0)</f>
        <v>#N/A</v>
      </c>
      <c r="AT233" s="115" t="e">
        <f>VLOOKUP($A233,'S48'!$C:$BQ,60,0)</f>
        <v>#N/A</v>
      </c>
      <c r="AU233" s="107" t="e">
        <f>VLOOKUP($A233,'S49'!$C:$BQ,32,0)</f>
        <v>#N/A</v>
      </c>
      <c r="AV233" s="107" t="e">
        <f>VLOOKUP($A233,'S49'!$C:$BQ,39,0)</f>
        <v>#N/A</v>
      </c>
      <c r="AW233" s="107" t="e">
        <f>VLOOKUP($A233,'S49'!$C:$BQ,40,0)</f>
        <v>#N/A</v>
      </c>
      <c r="AX233" s="107" t="e">
        <f>VLOOKUP($A233,'S49'!$C:$BQ,22,0)</f>
        <v>#N/A</v>
      </c>
      <c r="AY233" s="115" t="e">
        <f>VLOOKUP($A233,'S49'!$C:$BQ,29,0)</f>
        <v>#N/A</v>
      </c>
      <c r="AZ233" s="115" t="e">
        <f>VLOOKUP($A233,'S49'!$C:$BQ,30,0)</f>
        <v>#N/A</v>
      </c>
      <c r="BA233" s="115" t="e">
        <f>VLOOKUP($A233,'S49'!$C:$BQ,52,0)</f>
        <v>#N/A</v>
      </c>
      <c r="BB233" s="115" t="e">
        <f>VLOOKUP($A233,'S49'!$C:$BQ,59,0)</f>
        <v>#N/A</v>
      </c>
      <c r="BC233" s="115" t="e">
        <f>VLOOKUP($A233,'S49'!$C:$BQ,60,0)</f>
        <v>#N/A</v>
      </c>
      <c r="BD233" s="107" t="e">
        <f>VLOOKUP($A233,'S50'!$C:$BQ,32,0)</f>
        <v>#N/A</v>
      </c>
      <c r="BE233" s="107" t="e">
        <f>VLOOKUP($A233,'S50'!$C:$BQ,39,0)</f>
        <v>#N/A</v>
      </c>
      <c r="BF233" s="107" t="e">
        <f>VLOOKUP($A233,'S50'!$C:$BQ,40,0)</f>
        <v>#N/A</v>
      </c>
      <c r="BG233" s="107" t="e">
        <f>VLOOKUP($A233,'S50'!$C:$BQ,22,0)</f>
        <v>#N/A</v>
      </c>
      <c r="BH233" s="115" t="e">
        <f>VLOOKUP($A233,'S50'!$C:$BQ,29,0)</f>
        <v>#N/A</v>
      </c>
      <c r="BI233" s="115" t="e">
        <f>VLOOKUP($A233,'S50'!$C:$BQ,30,0)</f>
        <v>#N/A</v>
      </c>
      <c r="BJ233" s="115" t="e">
        <f>VLOOKUP($A233,'S50'!$C:$BQ,52,0)</f>
        <v>#N/A</v>
      </c>
      <c r="BK233" s="115" t="e">
        <f>VLOOKUP($A233,'S50'!$C:$BQ,59,0)</f>
        <v>#N/A</v>
      </c>
      <c r="BL233" s="115" t="e">
        <f>VLOOKUP($A233,'S50'!$C:$BQ,60,0)</f>
        <v>#N/A</v>
      </c>
    </row>
    <row r="234" spans="1:64" x14ac:dyDescent="0.2">
      <c r="A234" s="106" t="s">
        <v>305</v>
      </c>
      <c r="B234" s="107">
        <f>VLOOKUP($A234,'S0 remplacer avec S44'!$C:$BQ,32,0)</f>
        <v>181.5</v>
      </c>
      <c r="C234" s="107">
        <f>VLOOKUP($A234,'S0 remplacer avec S44'!$C:$BQ,39,0)</f>
        <v>0</v>
      </c>
      <c r="D234" s="107">
        <f>VLOOKUP($A234,'S0 remplacer avec S44'!$C:$BQ,40,0)</f>
        <v>35</v>
      </c>
      <c r="E234" s="107">
        <f>VLOOKUP($A234,'S0 remplacer avec S44'!$C:$BQ,22,0)</f>
        <v>1640.8411599999999</v>
      </c>
      <c r="F234" s="115">
        <f>VLOOKUP($A234,'S0 remplacer avec S44'!$C:$BQ,29,0)</f>
        <v>0</v>
      </c>
      <c r="G234" s="115">
        <f>VLOOKUP($A234,'S0 remplacer avec S44'!$C:$BQ,30,0)</f>
        <v>323</v>
      </c>
      <c r="H234" s="115">
        <f>VLOOKUP($A234,'S0 remplacer avec S44'!$C:$BQ,52,0)</f>
        <v>131.6</v>
      </c>
      <c r="I234" s="115">
        <f>VLOOKUP($A234,'S0 remplacer avec S44'!$C:$BQ,59,0)</f>
        <v>0</v>
      </c>
      <c r="J234" s="115">
        <f>VLOOKUP($A234,'S0 remplacer avec S44'!$C:$BQ,60,0)</f>
        <v>0</v>
      </c>
      <c r="K234" s="107" t="e">
        <f>VLOOKUP($A234,'S45'!$C:$BQ,32,0)</f>
        <v>#N/A</v>
      </c>
      <c r="L234" s="107" t="e">
        <f>VLOOKUP($A234,'S45'!$C:$BQ,39,0)</f>
        <v>#N/A</v>
      </c>
      <c r="M234" s="107" t="e">
        <f>VLOOKUP($A234,'S45'!$C:$BQ,40,0)</f>
        <v>#N/A</v>
      </c>
      <c r="N234" s="107" t="e">
        <f>VLOOKUP($A234,'S45'!$C:$BQ,22,0)</f>
        <v>#N/A</v>
      </c>
      <c r="O234" s="115" t="e">
        <f>VLOOKUP($A234,'S45'!$C:$BQ,29,0)</f>
        <v>#N/A</v>
      </c>
      <c r="P234" s="115" t="e">
        <f>VLOOKUP($A234,'S45'!$C:$BQ,30,0)</f>
        <v>#N/A</v>
      </c>
      <c r="Q234" s="115" t="e">
        <f>VLOOKUP($A234,'S45'!$C:$BQ,52,0)</f>
        <v>#N/A</v>
      </c>
      <c r="R234" s="115" t="e">
        <f>VLOOKUP($A234,'S45'!$C:$BQ,59,0)</f>
        <v>#N/A</v>
      </c>
      <c r="S234" s="115" t="e">
        <f>VLOOKUP($A234,'S45'!$C:$BQ,60,0)</f>
        <v>#N/A</v>
      </c>
      <c r="T234" s="107" t="e">
        <f>VLOOKUP($A234,'S46'!$C:$BQ,32,0)</f>
        <v>#N/A</v>
      </c>
      <c r="U234" s="107" t="e">
        <f>VLOOKUP($A234,'S46'!$C:$BQ,39,0)</f>
        <v>#N/A</v>
      </c>
      <c r="V234" s="107" t="e">
        <f>VLOOKUP($A234,'S46'!$C:$BQ,40,0)</f>
        <v>#N/A</v>
      </c>
      <c r="W234" s="107" t="e">
        <f>VLOOKUP($A234,'S46'!$C:$BQ,22,0)</f>
        <v>#N/A</v>
      </c>
      <c r="X234" s="115" t="e">
        <f>VLOOKUP($A234,'S46'!$C:$BQ,29,0)</f>
        <v>#N/A</v>
      </c>
      <c r="Y234" s="115" t="e">
        <f>VLOOKUP($A234,'S46'!$C:$BQ,30,0)</f>
        <v>#N/A</v>
      </c>
      <c r="Z234" s="115" t="e">
        <f>VLOOKUP($A234,'S46'!$C:$BQ,52,0)</f>
        <v>#N/A</v>
      </c>
      <c r="AA234" s="115" t="e">
        <f>VLOOKUP($A234,'S46'!$C:$BQ,59,0)</f>
        <v>#N/A</v>
      </c>
      <c r="AB234" s="115" t="e">
        <f>VLOOKUP($A234,'S46'!$C:$BQ,60,0)</f>
        <v>#N/A</v>
      </c>
      <c r="AC234" s="107" t="e">
        <f>VLOOKUP($A234,'S47'!$C:$BQ,32,0)</f>
        <v>#N/A</v>
      </c>
      <c r="AD234" s="107" t="e">
        <f>VLOOKUP($A234,'S47'!$C:$BQ,39,0)</f>
        <v>#N/A</v>
      </c>
      <c r="AE234" s="107" t="e">
        <f>VLOOKUP($A234,'S47'!$C:$BQ,40,0)</f>
        <v>#N/A</v>
      </c>
      <c r="AF234" s="107" t="e">
        <f>VLOOKUP($A234,'S47'!$C:$BQ,22,0)</f>
        <v>#N/A</v>
      </c>
      <c r="AG234" s="115" t="e">
        <f>VLOOKUP($A234,'S47'!$C:$BQ,29,0)</f>
        <v>#N/A</v>
      </c>
      <c r="AH234" s="115" t="e">
        <f>VLOOKUP($A234,'S47'!$C:$BQ,30,0)</f>
        <v>#N/A</v>
      </c>
      <c r="AI234" s="115" t="e">
        <f>VLOOKUP($A234,'S47'!$C:$BQ,52,0)</f>
        <v>#N/A</v>
      </c>
      <c r="AJ234" s="115" t="e">
        <f>VLOOKUP($A234,'S47'!$C:$BQ,59,0)</f>
        <v>#N/A</v>
      </c>
      <c r="AK234" s="115" t="e">
        <f>VLOOKUP($A234,'S47'!$C:$BQ,60,0)</f>
        <v>#N/A</v>
      </c>
      <c r="AL234" s="107" t="e">
        <f>VLOOKUP($A234,'S48'!$C:$BQ,32,0)</f>
        <v>#N/A</v>
      </c>
      <c r="AM234" s="107" t="e">
        <f>VLOOKUP($A234,'S48'!$C:$BQ,39,0)</f>
        <v>#N/A</v>
      </c>
      <c r="AN234" s="107" t="e">
        <f>VLOOKUP($A234,'S48'!$C:$BQ,40,0)</f>
        <v>#N/A</v>
      </c>
      <c r="AO234" s="107" t="e">
        <f>VLOOKUP($A234,'S48'!$C:$BQ,22,0)</f>
        <v>#N/A</v>
      </c>
      <c r="AP234" s="115" t="e">
        <f>VLOOKUP($A234,'S48'!$C:$BQ,29,0)</f>
        <v>#N/A</v>
      </c>
      <c r="AQ234" s="115" t="e">
        <f>VLOOKUP($A234,'S48'!$C:$BQ,30,0)</f>
        <v>#N/A</v>
      </c>
      <c r="AR234" s="115" t="e">
        <f>VLOOKUP($A234,'S48'!$C:$BQ,52,0)</f>
        <v>#N/A</v>
      </c>
      <c r="AS234" s="115" t="e">
        <f>VLOOKUP($A234,'S48'!$C:$BQ,59,0)</f>
        <v>#N/A</v>
      </c>
      <c r="AT234" s="115" t="e">
        <f>VLOOKUP($A234,'S48'!$C:$BQ,60,0)</f>
        <v>#N/A</v>
      </c>
      <c r="AU234" s="107" t="e">
        <f>VLOOKUP($A234,'S49'!$C:$BQ,32,0)</f>
        <v>#N/A</v>
      </c>
      <c r="AV234" s="107" t="e">
        <f>VLOOKUP($A234,'S49'!$C:$BQ,39,0)</f>
        <v>#N/A</v>
      </c>
      <c r="AW234" s="107" t="e">
        <f>VLOOKUP($A234,'S49'!$C:$BQ,40,0)</f>
        <v>#N/A</v>
      </c>
      <c r="AX234" s="107" t="e">
        <f>VLOOKUP($A234,'S49'!$C:$BQ,22,0)</f>
        <v>#N/A</v>
      </c>
      <c r="AY234" s="115" t="e">
        <f>VLOOKUP($A234,'S49'!$C:$BQ,29,0)</f>
        <v>#N/A</v>
      </c>
      <c r="AZ234" s="115" t="e">
        <f>VLOOKUP($A234,'S49'!$C:$BQ,30,0)</f>
        <v>#N/A</v>
      </c>
      <c r="BA234" s="115" t="e">
        <f>VLOOKUP($A234,'S49'!$C:$BQ,52,0)</f>
        <v>#N/A</v>
      </c>
      <c r="BB234" s="115" t="e">
        <f>VLOOKUP($A234,'S49'!$C:$BQ,59,0)</f>
        <v>#N/A</v>
      </c>
      <c r="BC234" s="115" t="e">
        <f>VLOOKUP($A234,'S49'!$C:$BQ,60,0)</f>
        <v>#N/A</v>
      </c>
      <c r="BD234" s="107" t="e">
        <f>VLOOKUP($A234,'S50'!$C:$BQ,32,0)</f>
        <v>#N/A</v>
      </c>
      <c r="BE234" s="107" t="e">
        <f>VLOOKUP($A234,'S50'!$C:$BQ,39,0)</f>
        <v>#N/A</v>
      </c>
      <c r="BF234" s="107" t="e">
        <f>VLOOKUP($A234,'S50'!$C:$BQ,40,0)</f>
        <v>#N/A</v>
      </c>
      <c r="BG234" s="107" t="e">
        <f>VLOOKUP($A234,'S50'!$C:$BQ,22,0)</f>
        <v>#N/A</v>
      </c>
      <c r="BH234" s="115" t="e">
        <f>VLOOKUP($A234,'S50'!$C:$BQ,29,0)</f>
        <v>#N/A</v>
      </c>
      <c r="BI234" s="115" t="e">
        <f>VLOOKUP($A234,'S50'!$C:$BQ,30,0)</f>
        <v>#N/A</v>
      </c>
      <c r="BJ234" s="115" t="e">
        <f>VLOOKUP($A234,'S50'!$C:$BQ,52,0)</f>
        <v>#N/A</v>
      </c>
      <c r="BK234" s="115" t="e">
        <f>VLOOKUP($A234,'S50'!$C:$BQ,59,0)</f>
        <v>#N/A</v>
      </c>
      <c r="BL234" s="115" t="e">
        <f>VLOOKUP($A234,'S50'!$C:$BQ,60,0)</f>
        <v>#N/A</v>
      </c>
    </row>
    <row r="235" spans="1:64" x14ac:dyDescent="0.2">
      <c r="A235" s="106" t="s">
        <v>306</v>
      </c>
      <c r="B235" s="107">
        <f>VLOOKUP($A235,'S0 remplacer avec S44'!$C:$BQ,32,0)</f>
        <v>525.79999999999995</v>
      </c>
      <c r="C235" s="107">
        <f>VLOOKUP($A235,'S0 remplacer avec S44'!$C:$BQ,39,0)</f>
        <v>54</v>
      </c>
      <c r="D235" s="107">
        <f>VLOOKUP($A235,'S0 remplacer avec S44'!$C:$BQ,40,0)</f>
        <v>170</v>
      </c>
      <c r="E235" s="107">
        <f>VLOOKUP($A235,'S0 remplacer avec S44'!$C:$BQ,22,0)</f>
        <v>5144.4683949999999</v>
      </c>
      <c r="F235" s="115">
        <f>VLOOKUP($A235,'S0 remplacer avec S44'!$C:$BQ,29,0)</f>
        <v>128</v>
      </c>
      <c r="G235" s="115">
        <f>VLOOKUP($A235,'S0 remplacer avec S44'!$C:$BQ,30,0)</f>
        <v>1183</v>
      </c>
      <c r="H235" s="115">
        <f>VLOOKUP($A235,'S0 remplacer avec S44'!$C:$BQ,52,0)</f>
        <v>356</v>
      </c>
      <c r="I235" s="115">
        <f>VLOOKUP($A235,'S0 remplacer avec S44'!$C:$BQ,59,0)</f>
        <v>0</v>
      </c>
      <c r="J235" s="115">
        <f>VLOOKUP($A235,'S0 remplacer avec S44'!$C:$BQ,60,0)</f>
        <v>0</v>
      </c>
      <c r="K235" s="107" t="e">
        <f>VLOOKUP($A235,'S45'!$C:$BQ,32,0)</f>
        <v>#N/A</v>
      </c>
      <c r="L235" s="107" t="e">
        <f>VLOOKUP($A235,'S45'!$C:$BQ,39,0)</f>
        <v>#N/A</v>
      </c>
      <c r="M235" s="107" t="e">
        <f>VLOOKUP($A235,'S45'!$C:$BQ,40,0)</f>
        <v>#N/A</v>
      </c>
      <c r="N235" s="107" t="e">
        <f>VLOOKUP($A235,'S45'!$C:$BQ,22,0)</f>
        <v>#N/A</v>
      </c>
      <c r="O235" s="115" t="e">
        <f>VLOOKUP($A235,'S45'!$C:$BQ,29,0)</f>
        <v>#N/A</v>
      </c>
      <c r="P235" s="115" t="e">
        <f>VLOOKUP($A235,'S45'!$C:$BQ,30,0)</f>
        <v>#N/A</v>
      </c>
      <c r="Q235" s="115" t="e">
        <f>VLOOKUP($A235,'S45'!$C:$BQ,52,0)</f>
        <v>#N/A</v>
      </c>
      <c r="R235" s="115" t="e">
        <f>VLOOKUP($A235,'S45'!$C:$BQ,59,0)</f>
        <v>#N/A</v>
      </c>
      <c r="S235" s="115" t="e">
        <f>VLOOKUP($A235,'S45'!$C:$BQ,60,0)</f>
        <v>#N/A</v>
      </c>
      <c r="T235" s="107" t="e">
        <f>VLOOKUP($A235,'S46'!$C:$BQ,32,0)</f>
        <v>#N/A</v>
      </c>
      <c r="U235" s="107" t="e">
        <f>VLOOKUP($A235,'S46'!$C:$BQ,39,0)</f>
        <v>#N/A</v>
      </c>
      <c r="V235" s="107" t="e">
        <f>VLOOKUP($A235,'S46'!$C:$BQ,40,0)</f>
        <v>#N/A</v>
      </c>
      <c r="W235" s="107" t="e">
        <f>VLOOKUP($A235,'S46'!$C:$BQ,22,0)</f>
        <v>#N/A</v>
      </c>
      <c r="X235" s="115" t="e">
        <f>VLOOKUP($A235,'S46'!$C:$BQ,29,0)</f>
        <v>#N/A</v>
      </c>
      <c r="Y235" s="115" t="e">
        <f>VLOOKUP($A235,'S46'!$C:$BQ,30,0)</f>
        <v>#N/A</v>
      </c>
      <c r="Z235" s="115" t="e">
        <f>VLOOKUP($A235,'S46'!$C:$BQ,52,0)</f>
        <v>#N/A</v>
      </c>
      <c r="AA235" s="115" t="e">
        <f>VLOOKUP($A235,'S46'!$C:$BQ,59,0)</f>
        <v>#N/A</v>
      </c>
      <c r="AB235" s="115" t="e">
        <f>VLOOKUP($A235,'S46'!$C:$BQ,60,0)</f>
        <v>#N/A</v>
      </c>
      <c r="AC235" s="107" t="e">
        <f>VLOOKUP($A235,'S47'!$C:$BQ,32,0)</f>
        <v>#N/A</v>
      </c>
      <c r="AD235" s="107" t="e">
        <f>VLOOKUP($A235,'S47'!$C:$BQ,39,0)</f>
        <v>#N/A</v>
      </c>
      <c r="AE235" s="107" t="e">
        <f>VLOOKUP($A235,'S47'!$C:$BQ,40,0)</f>
        <v>#N/A</v>
      </c>
      <c r="AF235" s="107" t="e">
        <f>VLOOKUP($A235,'S47'!$C:$BQ,22,0)</f>
        <v>#N/A</v>
      </c>
      <c r="AG235" s="115" t="e">
        <f>VLOOKUP($A235,'S47'!$C:$BQ,29,0)</f>
        <v>#N/A</v>
      </c>
      <c r="AH235" s="115" t="e">
        <f>VLOOKUP($A235,'S47'!$C:$BQ,30,0)</f>
        <v>#N/A</v>
      </c>
      <c r="AI235" s="115" t="e">
        <f>VLOOKUP($A235,'S47'!$C:$BQ,52,0)</f>
        <v>#N/A</v>
      </c>
      <c r="AJ235" s="115" t="e">
        <f>VLOOKUP($A235,'S47'!$C:$BQ,59,0)</f>
        <v>#N/A</v>
      </c>
      <c r="AK235" s="115" t="e">
        <f>VLOOKUP($A235,'S47'!$C:$BQ,60,0)</f>
        <v>#N/A</v>
      </c>
      <c r="AL235" s="107" t="e">
        <f>VLOOKUP($A235,'S48'!$C:$BQ,32,0)</f>
        <v>#N/A</v>
      </c>
      <c r="AM235" s="107" t="e">
        <f>VLOOKUP($A235,'S48'!$C:$BQ,39,0)</f>
        <v>#N/A</v>
      </c>
      <c r="AN235" s="107" t="e">
        <f>VLOOKUP($A235,'S48'!$C:$BQ,40,0)</f>
        <v>#N/A</v>
      </c>
      <c r="AO235" s="107" t="e">
        <f>VLOOKUP($A235,'S48'!$C:$BQ,22,0)</f>
        <v>#N/A</v>
      </c>
      <c r="AP235" s="115" t="e">
        <f>VLOOKUP($A235,'S48'!$C:$BQ,29,0)</f>
        <v>#N/A</v>
      </c>
      <c r="AQ235" s="115" t="e">
        <f>VLOOKUP($A235,'S48'!$C:$BQ,30,0)</f>
        <v>#N/A</v>
      </c>
      <c r="AR235" s="115" t="e">
        <f>VLOOKUP($A235,'S48'!$C:$BQ,52,0)</f>
        <v>#N/A</v>
      </c>
      <c r="AS235" s="115" t="e">
        <f>VLOOKUP($A235,'S48'!$C:$BQ,59,0)</f>
        <v>#N/A</v>
      </c>
      <c r="AT235" s="115" t="e">
        <f>VLOOKUP($A235,'S48'!$C:$BQ,60,0)</f>
        <v>#N/A</v>
      </c>
      <c r="AU235" s="107" t="e">
        <f>VLOOKUP($A235,'S49'!$C:$BQ,32,0)</f>
        <v>#N/A</v>
      </c>
      <c r="AV235" s="107" t="e">
        <f>VLOOKUP($A235,'S49'!$C:$BQ,39,0)</f>
        <v>#N/A</v>
      </c>
      <c r="AW235" s="107" t="e">
        <f>VLOOKUP($A235,'S49'!$C:$BQ,40,0)</f>
        <v>#N/A</v>
      </c>
      <c r="AX235" s="107" t="e">
        <f>VLOOKUP($A235,'S49'!$C:$BQ,22,0)</f>
        <v>#N/A</v>
      </c>
      <c r="AY235" s="115" t="e">
        <f>VLOOKUP($A235,'S49'!$C:$BQ,29,0)</f>
        <v>#N/A</v>
      </c>
      <c r="AZ235" s="115" t="e">
        <f>VLOOKUP($A235,'S49'!$C:$BQ,30,0)</f>
        <v>#N/A</v>
      </c>
      <c r="BA235" s="115" t="e">
        <f>VLOOKUP($A235,'S49'!$C:$BQ,52,0)</f>
        <v>#N/A</v>
      </c>
      <c r="BB235" s="115" t="e">
        <f>VLOOKUP($A235,'S49'!$C:$BQ,59,0)</f>
        <v>#N/A</v>
      </c>
      <c r="BC235" s="115" t="e">
        <f>VLOOKUP($A235,'S49'!$C:$BQ,60,0)</f>
        <v>#N/A</v>
      </c>
      <c r="BD235" s="107" t="e">
        <f>VLOOKUP($A235,'S50'!$C:$BQ,32,0)</f>
        <v>#N/A</v>
      </c>
      <c r="BE235" s="107" t="e">
        <f>VLOOKUP($A235,'S50'!$C:$BQ,39,0)</f>
        <v>#N/A</v>
      </c>
      <c r="BF235" s="107" t="e">
        <f>VLOOKUP($A235,'S50'!$C:$BQ,40,0)</f>
        <v>#N/A</v>
      </c>
      <c r="BG235" s="107" t="e">
        <f>VLOOKUP($A235,'S50'!$C:$BQ,22,0)</f>
        <v>#N/A</v>
      </c>
      <c r="BH235" s="115" t="e">
        <f>VLOOKUP($A235,'S50'!$C:$BQ,29,0)</f>
        <v>#N/A</v>
      </c>
      <c r="BI235" s="115" t="e">
        <f>VLOOKUP($A235,'S50'!$C:$BQ,30,0)</f>
        <v>#N/A</v>
      </c>
      <c r="BJ235" s="115" t="e">
        <f>VLOOKUP($A235,'S50'!$C:$BQ,52,0)</f>
        <v>#N/A</v>
      </c>
      <c r="BK235" s="115" t="e">
        <f>VLOOKUP($A235,'S50'!$C:$BQ,59,0)</f>
        <v>#N/A</v>
      </c>
      <c r="BL235" s="115" t="e">
        <f>VLOOKUP($A235,'S50'!$C:$BQ,60,0)</f>
        <v>#N/A</v>
      </c>
    </row>
    <row r="236" spans="1:64" x14ac:dyDescent="0.2">
      <c r="A236" s="106" t="s">
        <v>307</v>
      </c>
      <c r="B236" s="107">
        <f>VLOOKUP($A236,'S0 remplacer avec S44'!$C:$BQ,32,0)</f>
        <v>85.7</v>
      </c>
      <c r="C236" s="107">
        <f>VLOOKUP($A236,'S0 remplacer avec S44'!$C:$BQ,39,0)</f>
        <v>72</v>
      </c>
      <c r="D236" s="107">
        <f>VLOOKUP($A236,'S0 remplacer avec S44'!$C:$BQ,40,0)</f>
        <v>103</v>
      </c>
      <c r="E236" s="107">
        <f>VLOOKUP($A236,'S0 remplacer avec S44'!$C:$BQ,22,0)</f>
        <v>1639.890635</v>
      </c>
      <c r="F236" s="115">
        <f>VLOOKUP($A236,'S0 remplacer avec S44'!$C:$BQ,29,0)</f>
        <v>0</v>
      </c>
      <c r="G236" s="115">
        <f>VLOOKUP($A236,'S0 remplacer avec S44'!$C:$BQ,30,0)</f>
        <v>76</v>
      </c>
      <c r="H236" s="115">
        <f>VLOOKUP($A236,'S0 remplacer avec S44'!$C:$BQ,52,0)</f>
        <v>87</v>
      </c>
      <c r="I236" s="115">
        <f>VLOOKUP($A236,'S0 remplacer avec S44'!$C:$BQ,59,0)</f>
        <v>0</v>
      </c>
      <c r="J236" s="115">
        <f>VLOOKUP($A236,'S0 remplacer avec S44'!$C:$BQ,60,0)</f>
        <v>9</v>
      </c>
      <c r="K236" s="107" t="e">
        <f>VLOOKUP($A236,'S45'!$C:$BQ,32,0)</f>
        <v>#N/A</v>
      </c>
      <c r="L236" s="107" t="e">
        <f>VLOOKUP($A236,'S45'!$C:$BQ,39,0)</f>
        <v>#N/A</v>
      </c>
      <c r="M236" s="107" t="e">
        <f>VLOOKUP($A236,'S45'!$C:$BQ,40,0)</f>
        <v>#N/A</v>
      </c>
      <c r="N236" s="107" t="e">
        <f>VLOOKUP($A236,'S45'!$C:$BQ,22,0)</f>
        <v>#N/A</v>
      </c>
      <c r="O236" s="115" t="e">
        <f>VLOOKUP($A236,'S45'!$C:$BQ,29,0)</f>
        <v>#N/A</v>
      </c>
      <c r="P236" s="115" t="e">
        <f>VLOOKUP($A236,'S45'!$C:$BQ,30,0)</f>
        <v>#N/A</v>
      </c>
      <c r="Q236" s="115" t="e">
        <f>VLOOKUP($A236,'S45'!$C:$BQ,52,0)</f>
        <v>#N/A</v>
      </c>
      <c r="R236" s="115" t="e">
        <f>VLOOKUP($A236,'S45'!$C:$BQ,59,0)</f>
        <v>#N/A</v>
      </c>
      <c r="S236" s="115" t="e">
        <f>VLOOKUP($A236,'S45'!$C:$BQ,60,0)</f>
        <v>#N/A</v>
      </c>
      <c r="T236" s="107" t="e">
        <f>VLOOKUP($A236,'S46'!$C:$BQ,32,0)</f>
        <v>#N/A</v>
      </c>
      <c r="U236" s="107" t="e">
        <f>VLOOKUP($A236,'S46'!$C:$BQ,39,0)</f>
        <v>#N/A</v>
      </c>
      <c r="V236" s="107" t="e">
        <f>VLOOKUP($A236,'S46'!$C:$BQ,40,0)</f>
        <v>#N/A</v>
      </c>
      <c r="W236" s="107" t="e">
        <f>VLOOKUP($A236,'S46'!$C:$BQ,22,0)</f>
        <v>#N/A</v>
      </c>
      <c r="X236" s="115" t="e">
        <f>VLOOKUP($A236,'S46'!$C:$BQ,29,0)</f>
        <v>#N/A</v>
      </c>
      <c r="Y236" s="115" t="e">
        <f>VLOOKUP($A236,'S46'!$C:$BQ,30,0)</f>
        <v>#N/A</v>
      </c>
      <c r="Z236" s="115" t="e">
        <f>VLOOKUP($A236,'S46'!$C:$BQ,52,0)</f>
        <v>#N/A</v>
      </c>
      <c r="AA236" s="115" t="e">
        <f>VLOOKUP($A236,'S46'!$C:$BQ,59,0)</f>
        <v>#N/A</v>
      </c>
      <c r="AB236" s="115" t="e">
        <f>VLOOKUP($A236,'S46'!$C:$BQ,60,0)</f>
        <v>#N/A</v>
      </c>
      <c r="AC236" s="107" t="e">
        <f>VLOOKUP($A236,'S47'!$C:$BQ,32,0)</f>
        <v>#N/A</v>
      </c>
      <c r="AD236" s="107" t="e">
        <f>VLOOKUP($A236,'S47'!$C:$BQ,39,0)</f>
        <v>#N/A</v>
      </c>
      <c r="AE236" s="107" t="e">
        <f>VLOOKUP($A236,'S47'!$C:$BQ,40,0)</f>
        <v>#N/A</v>
      </c>
      <c r="AF236" s="107" t="e">
        <f>VLOOKUP($A236,'S47'!$C:$BQ,22,0)</f>
        <v>#N/A</v>
      </c>
      <c r="AG236" s="115" t="e">
        <f>VLOOKUP($A236,'S47'!$C:$BQ,29,0)</f>
        <v>#N/A</v>
      </c>
      <c r="AH236" s="115" t="e">
        <f>VLOOKUP($A236,'S47'!$C:$BQ,30,0)</f>
        <v>#N/A</v>
      </c>
      <c r="AI236" s="115" t="e">
        <f>VLOOKUP($A236,'S47'!$C:$BQ,52,0)</f>
        <v>#N/A</v>
      </c>
      <c r="AJ236" s="115" t="e">
        <f>VLOOKUP($A236,'S47'!$C:$BQ,59,0)</f>
        <v>#N/A</v>
      </c>
      <c r="AK236" s="115" t="e">
        <f>VLOOKUP($A236,'S47'!$C:$BQ,60,0)</f>
        <v>#N/A</v>
      </c>
      <c r="AL236" s="107" t="e">
        <f>VLOOKUP($A236,'S48'!$C:$BQ,32,0)</f>
        <v>#N/A</v>
      </c>
      <c r="AM236" s="107" t="e">
        <f>VLOOKUP($A236,'S48'!$C:$BQ,39,0)</f>
        <v>#N/A</v>
      </c>
      <c r="AN236" s="107" t="e">
        <f>VLOOKUP($A236,'S48'!$C:$BQ,40,0)</f>
        <v>#N/A</v>
      </c>
      <c r="AO236" s="107" t="e">
        <f>VLOOKUP($A236,'S48'!$C:$BQ,22,0)</f>
        <v>#N/A</v>
      </c>
      <c r="AP236" s="115" t="e">
        <f>VLOOKUP($A236,'S48'!$C:$BQ,29,0)</f>
        <v>#N/A</v>
      </c>
      <c r="AQ236" s="115" t="e">
        <f>VLOOKUP($A236,'S48'!$C:$BQ,30,0)</f>
        <v>#N/A</v>
      </c>
      <c r="AR236" s="115" t="e">
        <f>VLOOKUP($A236,'S48'!$C:$BQ,52,0)</f>
        <v>#N/A</v>
      </c>
      <c r="AS236" s="115" t="e">
        <f>VLOOKUP($A236,'S48'!$C:$BQ,59,0)</f>
        <v>#N/A</v>
      </c>
      <c r="AT236" s="115" t="e">
        <f>VLOOKUP($A236,'S48'!$C:$BQ,60,0)</f>
        <v>#N/A</v>
      </c>
      <c r="AU236" s="107" t="e">
        <f>VLOOKUP($A236,'S49'!$C:$BQ,32,0)</f>
        <v>#N/A</v>
      </c>
      <c r="AV236" s="107" t="e">
        <f>VLOOKUP($A236,'S49'!$C:$BQ,39,0)</f>
        <v>#N/A</v>
      </c>
      <c r="AW236" s="107" t="e">
        <f>VLOOKUP($A236,'S49'!$C:$BQ,40,0)</f>
        <v>#N/A</v>
      </c>
      <c r="AX236" s="107" t="e">
        <f>VLOOKUP($A236,'S49'!$C:$BQ,22,0)</f>
        <v>#N/A</v>
      </c>
      <c r="AY236" s="115" t="e">
        <f>VLOOKUP($A236,'S49'!$C:$BQ,29,0)</f>
        <v>#N/A</v>
      </c>
      <c r="AZ236" s="115" t="e">
        <f>VLOOKUP($A236,'S49'!$C:$BQ,30,0)</f>
        <v>#N/A</v>
      </c>
      <c r="BA236" s="115" t="e">
        <f>VLOOKUP($A236,'S49'!$C:$BQ,52,0)</f>
        <v>#N/A</v>
      </c>
      <c r="BB236" s="115" t="e">
        <f>VLOOKUP($A236,'S49'!$C:$BQ,59,0)</f>
        <v>#N/A</v>
      </c>
      <c r="BC236" s="115" t="e">
        <f>VLOOKUP($A236,'S49'!$C:$BQ,60,0)</f>
        <v>#N/A</v>
      </c>
      <c r="BD236" s="107" t="e">
        <f>VLOOKUP($A236,'S50'!$C:$BQ,32,0)</f>
        <v>#N/A</v>
      </c>
      <c r="BE236" s="107" t="e">
        <f>VLOOKUP($A236,'S50'!$C:$BQ,39,0)</f>
        <v>#N/A</v>
      </c>
      <c r="BF236" s="107" t="e">
        <f>VLOOKUP($A236,'S50'!$C:$BQ,40,0)</f>
        <v>#N/A</v>
      </c>
      <c r="BG236" s="107" t="e">
        <f>VLOOKUP($A236,'S50'!$C:$BQ,22,0)</f>
        <v>#N/A</v>
      </c>
      <c r="BH236" s="115" t="e">
        <f>VLOOKUP($A236,'S50'!$C:$BQ,29,0)</f>
        <v>#N/A</v>
      </c>
      <c r="BI236" s="115" t="e">
        <f>VLOOKUP($A236,'S50'!$C:$BQ,30,0)</f>
        <v>#N/A</v>
      </c>
      <c r="BJ236" s="115" t="e">
        <f>VLOOKUP($A236,'S50'!$C:$BQ,52,0)</f>
        <v>#N/A</v>
      </c>
      <c r="BK236" s="115" t="e">
        <f>VLOOKUP($A236,'S50'!$C:$BQ,59,0)</f>
        <v>#N/A</v>
      </c>
      <c r="BL236" s="115" t="e">
        <f>VLOOKUP($A236,'S50'!$C:$BQ,60,0)</f>
        <v>#N/A</v>
      </c>
    </row>
    <row r="237" spans="1:64" x14ac:dyDescent="0.2">
      <c r="A237" s="106" t="s">
        <v>308</v>
      </c>
      <c r="B237" s="107">
        <f>VLOOKUP($A237,'S0 remplacer avec S44'!$C:$BQ,32,0)</f>
        <v>96.2</v>
      </c>
      <c r="C237" s="107">
        <f>VLOOKUP($A237,'S0 remplacer avec S44'!$C:$BQ,39,0)</f>
        <v>68</v>
      </c>
      <c r="D237" s="107">
        <f>VLOOKUP($A237,'S0 remplacer avec S44'!$C:$BQ,40,0)</f>
        <v>101</v>
      </c>
      <c r="E237" s="107">
        <f>VLOOKUP($A237,'S0 remplacer avec S44'!$C:$BQ,22,0)</f>
        <v>1076.60023</v>
      </c>
      <c r="F237" s="115">
        <f>VLOOKUP($A237,'S0 remplacer avec S44'!$C:$BQ,29,0)</f>
        <v>414</v>
      </c>
      <c r="G237" s="115">
        <f>VLOOKUP($A237,'S0 remplacer avec S44'!$C:$BQ,30,0)</f>
        <v>712</v>
      </c>
      <c r="H237" s="115">
        <f>VLOOKUP($A237,'S0 remplacer avec S44'!$C:$BQ,52,0)</f>
        <v>72.400000000000006</v>
      </c>
      <c r="I237" s="115">
        <f>VLOOKUP($A237,'S0 remplacer avec S44'!$C:$BQ,59,0)</f>
        <v>11</v>
      </c>
      <c r="J237" s="115">
        <f>VLOOKUP($A237,'S0 remplacer avec S44'!$C:$BQ,60,0)</f>
        <v>28</v>
      </c>
      <c r="K237" s="107" t="e">
        <f>VLOOKUP($A237,'S45'!$C:$BQ,32,0)</f>
        <v>#N/A</v>
      </c>
      <c r="L237" s="107" t="e">
        <f>VLOOKUP($A237,'S45'!$C:$BQ,39,0)</f>
        <v>#N/A</v>
      </c>
      <c r="M237" s="107" t="e">
        <f>VLOOKUP($A237,'S45'!$C:$BQ,40,0)</f>
        <v>#N/A</v>
      </c>
      <c r="N237" s="107" t="e">
        <f>VLOOKUP($A237,'S45'!$C:$BQ,22,0)</f>
        <v>#N/A</v>
      </c>
      <c r="O237" s="115" t="e">
        <f>VLOOKUP($A237,'S45'!$C:$BQ,29,0)</f>
        <v>#N/A</v>
      </c>
      <c r="P237" s="115" t="e">
        <f>VLOOKUP($A237,'S45'!$C:$BQ,30,0)</f>
        <v>#N/A</v>
      </c>
      <c r="Q237" s="115" t="e">
        <f>VLOOKUP($A237,'S45'!$C:$BQ,52,0)</f>
        <v>#N/A</v>
      </c>
      <c r="R237" s="115" t="e">
        <f>VLOOKUP($A237,'S45'!$C:$BQ,59,0)</f>
        <v>#N/A</v>
      </c>
      <c r="S237" s="115" t="e">
        <f>VLOOKUP($A237,'S45'!$C:$BQ,60,0)</f>
        <v>#N/A</v>
      </c>
      <c r="T237" s="107" t="e">
        <f>VLOOKUP($A237,'S46'!$C:$BQ,32,0)</f>
        <v>#N/A</v>
      </c>
      <c r="U237" s="107" t="e">
        <f>VLOOKUP($A237,'S46'!$C:$BQ,39,0)</f>
        <v>#N/A</v>
      </c>
      <c r="V237" s="107" t="e">
        <f>VLOOKUP($A237,'S46'!$C:$BQ,40,0)</f>
        <v>#N/A</v>
      </c>
      <c r="W237" s="107" t="e">
        <f>VLOOKUP($A237,'S46'!$C:$BQ,22,0)</f>
        <v>#N/A</v>
      </c>
      <c r="X237" s="115" t="e">
        <f>VLOOKUP($A237,'S46'!$C:$BQ,29,0)</f>
        <v>#N/A</v>
      </c>
      <c r="Y237" s="115" t="e">
        <f>VLOOKUP($A237,'S46'!$C:$BQ,30,0)</f>
        <v>#N/A</v>
      </c>
      <c r="Z237" s="115" t="e">
        <f>VLOOKUP($A237,'S46'!$C:$BQ,52,0)</f>
        <v>#N/A</v>
      </c>
      <c r="AA237" s="115" t="e">
        <f>VLOOKUP($A237,'S46'!$C:$BQ,59,0)</f>
        <v>#N/A</v>
      </c>
      <c r="AB237" s="115" t="e">
        <f>VLOOKUP($A237,'S46'!$C:$BQ,60,0)</f>
        <v>#N/A</v>
      </c>
      <c r="AC237" s="107" t="e">
        <f>VLOOKUP($A237,'S47'!$C:$BQ,32,0)</f>
        <v>#N/A</v>
      </c>
      <c r="AD237" s="107" t="e">
        <f>VLOOKUP($A237,'S47'!$C:$BQ,39,0)</f>
        <v>#N/A</v>
      </c>
      <c r="AE237" s="107" t="e">
        <f>VLOOKUP($A237,'S47'!$C:$BQ,40,0)</f>
        <v>#N/A</v>
      </c>
      <c r="AF237" s="107" t="e">
        <f>VLOOKUP($A237,'S47'!$C:$BQ,22,0)</f>
        <v>#N/A</v>
      </c>
      <c r="AG237" s="115" t="e">
        <f>VLOOKUP($A237,'S47'!$C:$BQ,29,0)</f>
        <v>#N/A</v>
      </c>
      <c r="AH237" s="115" t="e">
        <f>VLOOKUP($A237,'S47'!$C:$BQ,30,0)</f>
        <v>#N/A</v>
      </c>
      <c r="AI237" s="115" t="e">
        <f>VLOOKUP($A237,'S47'!$C:$BQ,52,0)</f>
        <v>#N/A</v>
      </c>
      <c r="AJ237" s="115" t="e">
        <f>VLOOKUP($A237,'S47'!$C:$BQ,59,0)</f>
        <v>#N/A</v>
      </c>
      <c r="AK237" s="115" t="e">
        <f>VLOOKUP($A237,'S47'!$C:$BQ,60,0)</f>
        <v>#N/A</v>
      </c>
      <c r="AL237" s="107" t="e">
        <f>VLOOKUP($A237,'S48'!$C:$BQ,32,0)</f>
        <v>#N/A</v>
      </c>
      <c r="AM237" s="107" t="e">
        <f>VLOOKUP($A237,'S48'!$C:$BQ,39,0)</f>
        <v>#N/A</v>
      </c>
      <c r="AN237" s="107" t="e">
        <f>VLOOKUP($A237,'S48'!$C:$BQ,40,0)</f>
        <v>#N/A</v>
      </c>
      <c r="AO237" s="107" t="e">
        <f>VLOOKUP($A237,'S48'!$C:$BQ,22,0)</f>
        <v>#N/A</v>
      </c>
      <c r="AP237" s="115" t="e">
        <f>VLOOKUP($A237,'S48'!$C:$BQ,29,0)</f>
        <v>#N/A</v>
      </c>
      <c r="AQ237" s="115" t="e">
        <f>VLOOKUP($A237,'S48'!$C:$BQ,30,0)</f>
        <v>#N/A</v>
      </c>
      <c r="AR237" s="115" t="e">
        <f>VLOOKUP($A237,'S48'!$C:$BQ,52,0)</f>
        <v>#N/A</v>
      </c>
      <c r="AS237" s="115" t="e">
        <f>VLOOKUP($A237,'S48'!$C:$BQ,59,0)</f>
        <v>#N/A</v>
      </c>
      <c r="AT237" s="115" t="e">
        <f>VLOOKUP($A237,'S48'!$C:$BQ,60,0)</f>
        <v>#N/A</v>
      </c>
      <c r="AU237" s="107" t="e">
        <f>VLOOKUP($A237,'S49'!$C:$BQ,32,0)</f>
        <v>#N/A</v>
      </c>
      <c r="AV237" s="107" t="e">
        <f>VLOOKUP($A237,'S49'!$C:$BQ,39,0)</f>
        <v>#N/A</v>
      </c>
      <c r="AW237" s="107" t="e">
        <f>VLOOKUP($A237,'S49'!$C:$BQ,40,0)</f>
        <v>#N/A</v>
      </c>
      <c r="AX237" s="107" t="e">
        <f>VLOOKUP($A237,'S49'!$C:$BQ,22,0)</f>
        <v>#N/A</v>
      </c>
      <c r="AY237" s="115" t="e">
        <f>VLOOKUP($A237,'S49'!$C:$BQ,29,0)</f>
        <v>#N/A</v>
      </c>
      <c r="AZ237" s="115" t="e">
        <f>VLOOKUP($A237,'S49'!$C:$BQ,30,0)</f>
        <v>#N/A</v>
      </c>
      <c r="BA237" s="115" t="e">
        <f>VLOOKUP($A237,'S49'!$C:$BQ,52,0)</f>
        <v>#N/A</v>
      </c>
      <c r="BB237" s="115" t="e">
        <f>VLOOKUP($A237,'S49'!$C:$BQ,59,0)</f>
        <v>#N/A</v>
      </c>
      <c r="BC237" s="115" t="e">
        <f>VLOOKUP($A237,'S49'!$C:$BQ,60,0)</f>
        <v>#N/A</v>
      </c>
      <c r="BD237" s="107" t="e">
        <f>VLOOKUP($A237,'S50'!$C:$BQ,32,0)</f>
        <v>#N/A</v>
      </c>
      <c r="BE237" s="107" t="e">
        <f>VLOOKUP($A237,'S50'!$C:$BQ,39,0)</f>
        <v>#N/A</v>
      </c>
      <c r="BF237" s="107" t="e">
        <f>VLOOKUP($A237,'S50'!$C:$BQ,40,0)</f>
        <v>#N/A</v>
      </c>
      <c r="BG237" s="107" t="e">
        <f>VLOOKUP($A237,'S50'!$C:$BQ,22,0)</f>
        <v>#N/A</v>
      </c>
      <c r="BH237" s="115" t="e">
        <f>VLOOKUP($A237,'S50'!$C:$BQ,29,0)</f>
        <v>#N/A</v>
      </c>
      <c r="BI237" s="115" t="e">
        <f>VLOOKUP($A237,'S50'!$C:$BQ,30,0)</f>
        <v>#N/A</v>
      </c>
      <c r="BJ237" s="115" t="e">
        <f>VLOOKUP($A237,'S50'!$C:$BQ,52,0)</f>
        <v>#N/A</v>
      </c>
      <c r="BK237" s="115" t="e">
        <f>VLOOKUP($A237,'S50'!$C:$BQ,59,0)</f>
        <v>#N/A</v>
      </c>
      <c r="BL237" s="115" t="e">
        <f>VLOOKUP($A237,'S50'!$C:$BQ,60,0)</f>
        <v>#N/A</v>
      </c>
    </row>
    <row r="238" spans="1:64" x14ac:dyDescent="0.2">
      <c r="A238" s="106" t="s">
        <v>309</v>
      </c>
      <c r="B238" s="107">
        <f>VLOOKUP($A238,'S0 remplacer avec S44'!$C:$BQ,32,0)</f>
        <v>205.2</v>
      </c>
      <c r="C238" s="107">
        <f>VLOOKUP($A238,'S0 remplacer avec S44'!$C:$BQ,39,0)</f>
        <v>7</v>
      </c>
      <c r="D238" s="107">
        <f>VLOOKUP($A238,'S0 remplacer avec S44'!$C:$BQ,40,0)</f>
        <v>50</v>
      </c>
      <c r="E238" s="107">
        <f>VLOOKUP($A238,'S0 remplacer avec S44'!$C:$BQ,22,0)</f>
        <v>1718.711845</v>
      </c>
      <c r="F238" s="115">
        <f>VLOOKUP($A238,'S0 remplacer avec S44'!$C:$BQ,29,0)</f>
        <v>209</v>
      </c>
      <c r="G238" s="115">
        <f>VLOOKUP($A238,'S0 remplacer avec S44'!$C:$BQ,30,0)</f>
        <v>594</v>
      </c>
      <c r="H238" s="115">
        <f>VLOOKUP($A238,'S0 remplacer avec S44'!$C:$BQ,52,0)</f>
        <v>139</v>
      </c>
      <c r="I238" s="115">
        <f>VLOOKUP($A238,'S0 remplacer avec S44'!$C:$BQ,59,0)</f>
        <v>0</v>
      </c>
      <c r="J238" s="115">
        <f>VLOOKUP($A238,'S0 remplacer avec S44'!$C:$BQ,60,0)</f>
        <v>0</v>
      </c>
      <c r="K238" s="107" t="e">
        <f>VLOOKUP($A238,'S45'!$C:$BQ,32,0)</f>
        <v>#N/A</v>
      </c>
      <c r="L238" s="107" t="e">
        <f>VLOOKUP($A238,'S45'!$C:$BQ,39,0)</f>
        <v>#N/A</v>
      </c>
      <c r="M238" s="107" t="e">
        <f>VLOOKUP($A238,'S45'!$C:$BQ,40,0)</f>
        <v>#N/A</v>
      </c>
      <c r="N238" s="107" t="e">
        <f>VLOOKUP($A238,'S45'!$C:$BQ,22,0)</f>
        <v>#N/A</v>
      </c>
      <c r="O238" s="115" t="e">
        <f>VLOOKUP($A238,'S45'!$C:$BQ,29,0)</f>
        <v>#N/A</v>
      </c>
      <c r="P238" s="115" t="e">
        <f>VLOOKUP($A238,'S45'!$C:$BQ,30,0)</f>
        <v>#N/A</v>
      </c>
      <c r="Q238" s="115" t="e">
        <f>VLOOKUP($A238,'S45'!$C:$BQ,52,0)</f>
        <v>#N/A</v>
      </c>
      <c r="R238" s="115" t="e">
        <f>VLOOKUP($A238,'S45'!$C:$BQ,59,0)</f>
        <v>#N/A</v>
      </c>
      <c r="S238" s="115" t="e">
        <f>VLOOKUP($A238,'S45'!$C:$BQ,60,0)</f>
        <v>#N/A</v>
      </c>
      <c r="T238" s="107" t="e">
        <f>VLOOKUP($A238,'S46'!$C:$BQ,32,0)</f>
        <v>#N/A</v>
      </c>
      <c r="U238" s="107" t="e">
        <f>VLOOKUP($A238,'S46'!$C:$BQ,39,0)</f>
        <v>#N/A</v>
      </c>
      <c r="V238" s="107" t="e">
        <f>VLOOKUP($A238,'S46'!$C:$BQ,40,0)</f>
        <v>#N/A</v>
      </c>
      <c r="W238" s="107" t="e">
        <f>VLOOKUP($A238,'S46'!$C:$BQ,22,0)</f>
        <v>#N/A</v>
      </c>
      <c r="X238" s="115" t="e">
        <f>VLOOKUP($A238,'S46'!$C:$BQ,29,0)</f>
        <v>#N/A</v>
      </c>
      <c r="Y238" s="115" t="e">
        <f>VLOOKUP($A238,'S46'!$C:$BQ,30,0)</f>
        <v>#N/A</v>
      </c>
      <c r="Z238" s="115" t="e">
        <f>VLOOKUP($A238,'S46'!$C:$BQ,52,0)</f>
        <v>#N/A</v>
      </c>
      <c r="AA238" s="115" t="e">
        <f>VLOOKUP($A238,'S46'!$C:$BQ,59,0)</f>
        <v>#N/A</v>
      </c>
      <c r="AB238" s="115" t="e">
        <f>VLOOKUP($A238,'S46'!$C:$BQ,60,0)</f>
        <v>#N/A</v>
      </c>
      <c r="AC238" s="107" t="e">
        <f>VLOOKUP($A238,'S47'!$C:$BQ,32,0)</f>
        <v>#N/A</v>
      </c>
      <c r="AD238" s="107" t="e">
        <f>VLOOKUP($A238,'S47'!$C:$BQ,39,0)</f>
        <v>#N/A</v>
      </c>
      <c r="AE238" s="107" t="e">
        <f>VLOOKUP($A238,'S47'!$C:$BQ,40,0)</f>
        <v>#N/A</v>
      </c>
      <c r="AF238" s="107" t="e">
        <f>VLOOKUP($A238,'S47'!$C:$BQ,22,0)</f>
        <v>#N/A</v>
      </c>
      <c r="AG238" s="115" t="e">
        <f>VLOOKUP($A238,'S47'!$C:$BQ,29,0)</f>
        <v>#N/A</v>
      </c>
      <c r="AH238" s="115" t="e">
        <f>VLOOKUP($A238,'S47'!$C:$BQ,30,0)</f>
        <v>#N/A</v>
      </c>
      <c r="AI238" s="115" t="e">
        <f>VLOOKUP($A238,'S47'!$C:$BQ,52,0)</f>
        <v>#N/A</v>
      </c>
      <c r="AJ238" s="115" t="e">
        <f>VLOOKUP($A238,'S47'!$C:$BQ,59,0)</f>
        <v>#N/A</v>
      </c>
      <c r="AK238" s="115" t="e">
        <f>VLOOKUP($A238,'S47'!$C:$BQ,60,0)</f>
        <v>#N/A</v>
      </c>
      <c r="AL238" s="107" t="e">
        <f>VLOOKUP($A238,'S48'!$C:$BQ,32,0)</f>
        <v>#N/A</v>
      </c>
      <c r="AM238" s="107" t="e">
        <f>VLOOKUP($A238,'S48'!$C:$BQ,39,0)</f>
        <v>#N/A</v>
      </c>
      <c r="AN238" s="107" t="e">
        <f>VLOOKUP($A238,'S48'!$C:$BQ,40,0)</f>
        <v>#N/A</v>
      </c>
      <c r="AO238" s="107" t="e">
        <f>VLOOKUP($A238,'S48'!$C:$BQ,22,0)</f>
        <v>#N/A</v>
      </c>
      <c r="AP238" s="115" t="e">
        <f>VLOOKUP($A238,'S48'!$C:$BQ,29,0)</f>
        <v>#N/A</v>
      </c>
      <c r="AQ238" s="115" t="e">
        <f>VLOOKUP($A238,'S48'!$C:$BQ,30,0)</f>
        <v>#N/A</v>
      </c>
      <c r="AR238" s="115" t="e">
        <f>VLOOKUP($A238,'S48'!$C:$BQ,52,0)</f>
        <v>#N/A</v>
      </c>
      <c r="AS238" s="115" t="e">
        <f>VLOOKUP($A238,'S48'!$C:$BQ,59,0)</f>
        <v>#N/A</v>
      </c>
      <c r="AT238" s="115" t="e">
        <f>VLOOKUP($A238,'S48'!$C:$BQ,60,0)</f>
        <v>#N/A</v>
      </c>
      <c r="AU238" s="107" t="e">
        <f>VLOOKUP($A238,'S49'!$C:$BQ,32,0)</f>
        <v>#N/A</v>
      </c>
      <c r="AV238" s="107" t="e">
        <f>VLOOKUP($A238,'S49'!$C:$BQ,39,0)</f>
        <v>#N/A</v>
      </c>
      <c r="AW238" s="107" t="e">
        <f>VLOOKUP($A238,'S49'!$C:$BQ,40,0)</f>
        <v>#N/A</v>
      </c>
      <c r="AX238" s="107" t="e">
        <f>VLOOKUP($A238,'S49'!$C:$BQ,22,0)</f>
        <v>#N/A</v>
      </c>
      <c r="AY238" s="115" t="e">
        <f>VLOOKUP($A238,'S49'!$C:$BQ,29,0)</f>
        <v>#N/A</v>
      </c>
      <c r="AZ238" s="115" t="e">
        <f>VLOOKUP($A238,'S49'!$C:$BQ,30,0)</f>
        <v>#N/A</v>
      </c>
      <c r="BA238" s="115" t="e">
        <f>VLOOKUP($A238,'S49'!$C:$BQ,52,0)</f>
        <v>#N/A</v>
      </c>
      <c r="BB238" s="115" t="e">
        <f>VLOOKUP($A238,'S49'!$C:$BQ,59,0)</f>
        <v>#N/A</v>
      </c>
      <c r="BC238" s="115" t="e">
        <f>VLOOKUP($A238,'S49'!$C:$BQ,60,0)</f>
        <v>#N/A</v>
      </c>
      <c r="BD238" s="107" t="e">
        <f>VLOOKUP($A238,'S50'!$C:$BQ,32,0)</f>
        <v>#N/A</v>
      </c>
      <c r="BE238" s="107" t="e">
        <f>VLOOKUP($A238,'S50'!$C:$BQ,39,0)</f>
        <v>#N/A</v>
      </c>
      <c r="BF238" s="107" t="e">
        <f>VLOOKUP($A238,'S50'!$C:$BQ,40,0)</f>
        <v>#N/A</v>
      </c>
      <c r="BG238" s="107" t="e">
        <f>VLOOKUP($A238,'S50'!$C:$BQ,22,0)</f>
        <v>#N/A</v>
      </c>
      <c r="BH238" s="115" t="e">
        <f>VLOOKUP($A238,'S50'!$C:$BQ,29,0)</f>
        <v>#N/A</v>
      </c>
      <c r="BI238" s="115" t="e">
        <f>VLOOKUP($A238,'S50'!$C:$BQ,30,0)</f>
        <v>#N/A</v>
      </c>
      <c r="BJ238" s="115" t="e">
        <f>VLOOKUP($A238,'S50'!$C:$BQ,52,0)</f>
        <v>#N/A</v>
      </c>
      <c r="BK238" s="115" t="e">
        <f>VLOOKUP($A238,'S50'!$C:$BQ,59,0)</f>
        <v>#N/A</v>
      </c>
      <c r="BL238" s="115" t="e">
        <f>VLOOKUP($A238,'S50'!$C:$BQ,60,0)</f>
        <v>#N/A</v>
      </c>
    </row>
    <row r="239" spans="1:64" x14ac:dyDescent="0.2">
      <c r="A239" s="106" t="s">
        <v>310</v>
      </c>
      <c r="B239" s="107">
        <f>VLOOKUP($A239,'S0 remplacer avec S44'!$C:$BQ,32,0)</f>
        <v>150.69999999999999</v>
      </c>
      <c r="C239" s="107">
        <f>VLOOKUP($A239,'S0 remplacer avec S44'!$C:$BQ,39,0)</f>
        <v>0</v>
      </c>
      <c r="D239" s="107">
        <f>VLOOKUP($A239,'S0 remplacer avec S44'!$C:$BQ,40,0)</f>
        <v>25</v>
      </c>
      <c r="E239" s="107">
        <f>VLOOKUP($A239,'S0 remplacer avec S44'!$C:$BQ,22,0)</f>
        <v>1304.2176850000001</v>
      </c>
      <c r="F239" s="115">
        <f>VLOOKUP($A239,'S0 remplacer avec S44'!$C:$BQ,29,0)</f>
        <v>24</v>
      </c>
      <c r="G239" s="115">
        <f>VLOOKUP($A239,'S0 remplacer avec S44'!$C:$BQ,30,0)</f>
        <v>290</v>
      </c>
      <c r="H239" s="115">
        <f>VLOOKUP($A239,'S0 remplacer avec S44'!$C:$BQ,52,0)</f>
        <v>109.2</v>
      </c>
      <c r="I239" s="115">
        <f>VLOOKUP($A239,'S0 remplacer avec S44'!$C:$BQ,59,0)</f>
        <v>0</v>
      </c>
      <c r="J239" s="115">
        <f>VLOOKUP($A239,'S0 remplacer avec S44'!$C:$BQ,60,0)</f>
        <v>0</v>
      </c>
      <c r="K239" s="107" t="e">
        <f>VLOOKUP($A239,'S45'!$C:$BQ,32,0)</f>
        <v>#N/A</v>
      </c>
      <c r="L239" s="107" t="e">
        <f>VLOOKUP($A239,'S45'!$C:$BQ,39,0)</f>
        <v>#N/A</v>
      </c>
      <c r="M239" s="107" t="e">
        <f>VLOOKUP($A239,'S45'!$C:$BQ,40,0)</f>
        <v>#N/A</v>
      </c>
      <c r="N239" s="107" t="e">
        <f>VLOOKUP($A239,'S45'!$C:$BQ,22,0)</f>
        <v>#N/A</v>
      </c>
      <c r="O239" s="115" t="e">
        <f>VLOOKUP($A239,'S45'!$C:$BQ,29,0)</f>
        <v>#N/A</v>
      </c>
      <c r="P239" s="115" t="e">
        <f>VLOOKUP($A239,'S45'!$C:$BQ,30,0)</f>
        <v>#N/A</v>
      </c>
      <c r="Q239" s="115" t="e">
        <f>VLOOKUP($A239,'S45'!$C:$BQ,52,0)</f>
        <v>#N/A</v>
      </c>
      <c r="R239" s="115" t="e">
        <f>VLOOKUP($A239,'S45'!$C:$BQ,59,0)</f>
        <v>#N/A</v>
      </c>
      <c r="S239" s="115" t="e">
        <f>VLOOKUP($A239,'S45'!$C:$BQ,60,0)</f>
        <v>#N/A</v>
      </c>
      <c r="T239" s="107" t="e">
        <f>VLOOKUP($A239,'S46'!$C:$BQ,32,0)</f>
        <v>#N/A</v>
      </c>
      <c r="U239" s="107" t="e">
        <f>VLOOKUP($A239,'S46'!$C:$BQ,39,0)</f>
        <v>#N/A</v>
      </c>
      <c r="V239" s="107" t="e">
        <f>VLOOKUP($A239,'S46'!$C:$BQ,40,0)</f>
        <v>#N/A</v>
      </c>
      <c r="W239" s="107" t="e">
        <f>VLOOKUP($A239,'S46'!$C:$BQ,22,0)</f>
        <v>#N/A</v>
      </c>
      <c r="X239" s="115" t="e">
        <f>VLOOKUP($A239,'S46'!$C:$BQ,29,0)</f>
        <v>#N/A</v>
      </c>
      <c r="Y239" s="115" t="e">
        <f>VLOOKUP($A239,'S46'!$C:$BQ,30,0)</f>
        <v>#N/A</v>
      </c>
      <c r="Z239" s="115" t="e">
        <f>VLOOKUP($A239,'S46'!$C:$BQ,52,0)</f>
        <v>#N/A</v>
      </c>
      <c r="AA239" s="115" t="e">
        <f>VLOOKUP($A239,'S46'!$C:$BQ,59,0)</f>
        <v>#N/A</v>
      </c>
      <c r="AB239" s="115" t="e">
        <f>VLOOKUP($A239,'S46'!$C:$BQ,60,0)</f>
        <v>#N/A</v>
      </c>
      <c r="AC239" s="107" t="e">
        <f>VLOOKUP($A239,'S47'!$C:$BQ,32,0)</f>
        <v>#N/A</v>
      </c>
      <c r="AD239" s="107" t="e">
        <f>VLOOKUP($A239,'S47'!$C:$BQ,39,0)</f>
        <v>#N/A</v>
      </c>
      <c r="AE239" s="107" t="e">
        <f>VLOOKUP($A239,'S47'!$C:$BQ,40,0)</f>
        <v>#N/A</v>
      </c>
      <c r="AF239" s="107" t="e">
        <f>VLOOKUP($A239,'S47'!$C:$BQ,22,0)</f>
        <v>#N/A</v>
      </c>
      <c r="AG239" s="115" t="e">
        <f>VLOOKUP($A239,'S47'!$C:$BQ,29,0)</f>
        <v>#N/A</v>
      </c>
      <c r="AH239" s="115" t="e">
        <f>VLOOKUP($A239,'S47'!$C:$BQ,30,0)</f>
        <v>#N/A</v>
      </c>
      <c r="AI239" s="115" t="e">
        <f>VLOOKUP($A239,'S47'!$C:$BQ,52,0)</f>
        <v>#N/A</v>
      </c>
      <c r="AJ239" s="115" t="e">
        <f>VLOOKUP($A239,'S47'!$C:$BQ,59,0)</f>
        <v>#N/A</v>
      </c>
      <c r="AK239" s="115" t="e">
        <f>VLOOKUP($A239,'S47'!$C:$BQ,60,0)</f>
        <v>#N/A</v>
      </c>
      <c r="AL239" s="107" t="e">
        <f>VLOOKUP($A239,'S48'!$C:$BQ,32,0)</f>
        <v>#N/A</v>
      </c>
      <c r="AM239" s="107" t="e">
        <f>VLOOKUP($A239,'S48'!$C:$BQ,39,0)</f>
        <v>#N/A</v>
      </c>
      <c r="AN239" s="107" t="e">
        <f>VLOOKUP($A239,'S48'!$C:$BQ,40,0)</f>
        <v>#N/A</v>
      </c>
      <c r="AO239" s="107" t="e">
        <f>VLOOKUP($A239,'S48'!$C:$BQ,22,0)</f>
        <v>#N/A</v>
      </c>
      <c r="AP239" s="115" t="e">
        <f>VLOOKUP($A239,'S48'!$C:$BQ,29,0)</f>
        <v>#N/A</v>
      </c>
      <c r="AQ239" s="115" t="e">
        <f>VLOOKUP($A239,'S48'!$C:$BQ,30,0)</f>
        <v>#N/A</v>
      </c>
      <c r="AR239" s="115" t="e">
        <f>VLOOKUP($A239,'S48'!$C:$BQ,52,0)</f>
        <v>#N/A</v>
      </c>
      <c r="AS239" s="115" t="e">
        <f>VLOOKUP($A239,'S48'!$C:$BQ,59,0)</f>
        <v>#N/A</v>
      </c>
      <c r="AT239" s="115" t="e">
        <f>VLOOKUP($A239,'S48'!$C:$BQ,60,0)</f>
        <v>#N/A</v>
      </c>
      <c r="AU239" s="107" t="e">
        <f>VLOOKUP($A239,'S49'!$C:$BQ,32,0)</f>
        <v>#N/A</v>
      </c>
      <c r="AV239" s="107" t="e">
        <f>VLOOKUP($A239,'S49'!$C:$BQ,39,0)</f>
        <v>#N/A</v>
      </c>
      <c r="AW239" s="107" t="e">
        <f>VLOOKUP($A239,'S49'!$C:$BQ,40,0)</f>
        <v>#N/A</v>
      </c>
      <c r="AX239" s="107" t="e">
        <f>VLOOKUP($A239,'S49'!$C:$BQ,22,0)</f>
        <v>#N/A</v>
      </c>
      <c r="AY239" s="115" t="e">
        <f>VLOOKUP($A239,'S49'!$C:$BQ,29,0)</f>
        <v>#N/A</v>
      </c>
      <c r="AZ239" s="115" t="e">
        <f>VLOOKUP($A239,'S49'!$C:$BQ,30,0)</f>
        <v>#N/A</v>
      </c>
      <c r="BA239" s="115" t="e">
        <f>VLOOKUP($A239,'S49'!$C:$BQ,52,0)</f>
        <v>#N/A</v>
      </c>
      <c r="BB239" s="115" t="e">
        <f>VLOOKUP($A239,'S49'!$C:$BQ,59,0)</f>
        <v>#N/A</v>
      </c>
      <c r="BC239" s="115" t="e">
        <f>VLOOKUP($A239,'S49'!$C:$BQ,60,0)</f>
        <v>#N/A</v>
      </c>
      <c r="BD239" s="107" t="e">
        <f>VLOOKUP($A239,'S50'!$C:$BQ,32,0)</f>
        <v>#N/A</v>
      </c>
      <c r="BE239" s="107" t="e">
        <f>VLOOKUP($A239,'S50'!$C:$BQ,39,0)</f>
        <v>#N/A</v>
      </c>
      <c r="BF239" s="107" t="e">
        <f>VLOOKUP($A239,'S50'!$C:$BQ,40,0)</f>
        <v>#N/A</v>
      </c>
      <c r="BG239" s="107" t="e">
        <f>VLOOKUP($A239,'S50'!$C:$BQ,22,0)</f>
        <v>#N/A</v>
      </c>
      <c r="BH239" s="115" t="e">
        <f>VLOOKUP($A239,'S50'!$C:$BQ,29,0)</f>
        <v>#N/A</v>
      </c>
      <c r="BI239" s="115" t="e">
        <f>VLOOKUP($A239,'S50'!$C:$BQ,30,0)</f>
        <v>#N/A</v>
      </c>
      <c r="BJ239" s="115" t="e">
        <f>VLOOKUP($A239,'S50'!$C:$BQ,52,0)</f>
        <v>#N/A</v>
      </c>
      <c r="BK239" s="115" t="e">
        <f>VLOOKUP($A239,'S50'!$C:$BQ,59,0)</f>
        <v>#N/A</v>
      </c>
      <c r="BL239" s="115" t="e">
        <f>VLOOKUP($A239,'S50'!$C:$BQ,60,0)</f>
        <v>#N/A</v>
      </c>
    </row>
    <row r="240" spans="1:64" x14ac:dyDescent="0.2">
      <c r="A240" s="106" t="s">
        <v>311</v>
      </c>
      <c r="B240" s="107">
        <f>VLOOKUP($A240,'S0 remplacer avec S44'!$C:$BQ,32,0)</f>
        <v>117.55</v>
      </c>
      <c r="C240" s="107">
        <f>VLOOKUP($A240,'S0 remplacer avec S44'!$C:$BQ,39,0)</f>
        <v>59</v>
      </c>
      <c r="D240" s="107">
        <f>VLOOKUP($A240,'S0 remplacer avec S44'!$C:$BQ,40,0)</f>
        <v>94</v>
      </c>
      <c r="E240" s="107">
        <f>VLOOKUP($A240,'S0 remplacer avec S44'!$C:$BQ,22,0)</f>
        <v>2007.08969</v>
      </c>
      <c r="F240" s="115">
        <f>VLOOKUP($A240,'S0 remplacer avec S44'!$C:$BQ,29,0)</f>
        <v>0</v>
      </c>
      <c r="G240" s="115">
        <f>VLOOKUP($A240,'S0 remplacer avec S44'!$C:$BQ,30,0)</f>
        <v>0</v>
      </c>
      <c r="H240" s="115">
        <f>VLOOKUP($A240,'S0 remplacer avec S44'!$C:$BQ,52,0)</f>
        <v>94.2</v>
      </c>
      <c r="I240" s="115">
        <f>VLOOKUP($A240,'S0 remplacer avec S44'!$C:$BQ,59,0)</f>
        <v>0</v>
      </c>
      <c r="J240" s="115">
        <f>VLOOKUP($A240,'S0 remplacer avec S44'!$C:$BQ,60,0)</f>
        <v>13</v>
      </c>
      <c r="K240" s="107" t="e">
        <f>VLOOKUP($A240,'S45'!$C:$BQ,32,0)</f>
        <v>#N/A</v>
      </c>
      <c r="L240" s="107" t="e">
        <f>VLOOKUP($A240,'S45'!$C:$BQ,39,0)</f>
        <v>#N/A</v>
      </c>
      <c r="M240" s="107" t="e">
        <f>VLOOKUP($A240,'S45'!$C:$BQ,40,0)</f>
        <v>#N/A</v>
      </c>
      <c r="N240" s="107" t="e">
        <f>VLOOKUP($A240,'S45'!$C:$BQ,22,0)</f>
        <v>#N/A</v>
      </c>
      <c r="O240" s="115" t="e">
        <f>VLOOKUP($A240,'S45'!$C:$BQ,29,0)</f>
        <v>#N/A</v>
      </c>
      <c r="P240" s="115" t="e">
        <f>VLOOKUP($A240,'S45'!$C:$BQ,30,0)</f>
        <v>#N/A</v>
      </c>
      <c r="Q240" s="115" t="e">
        <f>VLOOKUP($A240,'S45'!$C:$BQ,52,0)</f>
        <v>#N/A</v>
      </c>
      <c r="R240" s="115" t="e">
        <f>VLOOKUP($A240,'S45'!$C:$BQ,59,0)</f>
        <v>#N/A</v>
      </c>
      <c r="S240" s="115" t="e">
        <f>VLOOKUP($A240,'S45'!$C:$BQ,60,0)</f>
        <v>#N/A</v>
      </c>
      <c r="T240" s="107" t="e">
        <f>VLOOKUP($A240,'S46'!$C:$BQ,32,0)</f>
        <v>#N/A</v>
      </c>
      <c r="U240" s="107" t="e">
        <f>VLOOKUP($A240,'S46'!$C:$BQ,39,0)</f>
        <v>#N/A</v>
      </c>
      <c r="V240" s="107" t="e">
        <f>VLOOKUP($A240,'S46'!$C:$BQ,40,0)</f>
        <v>#N/A</v>
      </c>
      <c r="W240" s="107" t="e">
        <f>VLOOKUP($A240,'S46'!$C:$BQ,22,0)</f>
        <v>#N/A</v>
      </c>
      <c r="X240" s="115" t="e">
        <f>VLOOKUP($A240,'S46'!$C:$BQ,29,0)</f>
        <v>#N/A</v>
      </c>
      <c r="Y240" s="115" t="e">
        <f>VLOOKUP($A240,'S46'!$C:$BQ,30,0)</f>
        <v>#N/A</v>
      </c>
      <c r="Z240" s="115" t="e">
        <f>VLOOKUP($A240,'S46'!$C:$BQ,52,0)</f>
        <v>#N/A</v>
      </c>
      <c r="AA240" s="115" t="e">
        <f>VLOOKUP($A240,'S46'!$C:$BQ,59,0)</f>
        <v>#N/A</v>
      </c>
      <c r="AB240" s="115" t="e">
        <f>VLOOKUP($A240,'S46'!$C:$BQ,60,0)</f>
        <v>#N/A</v>
      </c>
      <c r="AC240" s="107" t="e">
        <f>VLOOKUP($A240,'S47'!$C:$BQ,32,0)</f>
        <v>#N/A</v>
      </c>
      <c r="AD240" s="107" t="e">
        <f>VLOOKUP($A240,'S47'!$C:$BQ,39,0)</f>
        <v>#N/A</v>
      </c>
      <c r="AE240" s="107" t="e">
        <f>VLOOKUP($A240,'S47'!$C:$BQ,40,0)</f>
        <v>#N/A</v>
      </c>
      <c r="AF240" s="107" t="e">
        <f>VLOOKUP($A240,'S47'!$C:$BQ,22,0)</f>
        <v>#N/A</v>
      </c>
      <c r="AG240" s="115" t="e">
        <f>VLOOKUP($A240,'S47'!$C:$BQ,29,0)</f>
        <v>#N/A</v>
      </c>
      <c r="AH240" s="115" t="e">
        <f>VLOOKUP($A240,'S47'!$C:$BQ,30,0)</f>
        <v>#N/A</v>
      </c>
      <c r="AI240" s="115" t="e">
        <f>VLOOKUP($A240,'S47'!$C:$BQ,52,0)</f>
        <v>#N/A</v>
      </c>
      <c r="AJ240" s="115" t="e">
        <f>VLOOKUP($A240,'S47'!$C:$BQ,59,0)</f>
        <v>#N/A</v>
      </c>
      <c r="AK240" s="115" t="e">
        <f>VLOOKUP($A240,'S47'!$C:$BQ,60,0)</f>
        <v>#N/A</v>
      </c>
      <c r="AL240" s="107" t="e">
        <f>VLOOKUP($A240,'S48'!$C:$BQ,32,0)</f>
        <v>#N/A</v>
      </c>
      <c r="AM240" s="107" t="e">
        <f>VLOOKUP($A240,'S48'!$C:$BQ,39,0)</f>
        <v>#N/A</v>
      </c>
      <c r="AN240" s="107" t="e">
        <f>VLOOKUP($A240,'S48'!$C:$BQ,40,0)</f>
        <v>#N/A</v>
      </c>
      <c r="AO240" s="107" t="e">
        <f>VLOOKUP($A240,'S48'!$C:$BQ,22,0)</f>
        <v>#N/A</v>
      </c>
      <c r="AP240" s="115" t="e">
        <f>VLOOKUP($A240,'S48'!$C:$BQ,29,0)</f>
        <v>#N/A</v>
      </c>
      <c r="AQ240" s="115" t="e">
        <f>VLOOKUP($A240,'S48'!$C:$BQ,30,0)</f>
        <v>#N/A</v>
      </c>
      <c r="AR240" s="115" t="e">
        <f>VLOOKUP($A240,'S48'!$C:$BQ,52,0)</f>
        <v>#N/A</v>
      </c>
      <c r="AS240" s="115" t="e">
        <f>VLOOKUP($A240,'S48'!$C:$BQ,59,0)</f>
        <v>#N/A</v>
      </c>
      <c r="AT240" s="115" t="e">
        <f>VLOOKUP($A240,'S48'!$C:$BQ,60,0)</f>
        <v>#N/A</v>
      </c>
      <c r="AU240" s="107" t="e">
        <f>VLOOKUP($A240,'S49'!$C:$BQ,32,0)</f>
        <v>#N/A</v>
      </c>
      <c r="AV240" s="107" t="e">
        <f>VLOOKUP($A240,'S49'!$C:$BQ,39,0)</f>
        <v>#N/A</v>
      </c>
      <c r="AW240" s="107" t="e">
        <f>VLOOKUP($A240,'S49'!$C:$BQ,40,0)</f>
        <v>#N/A</v>
      </c>
      <c r="AX240" s="107" t="e">
        <f>VLOOKUP($A240,'S49'!$C:$BQ,22,0)</f>
        <v>#N/A</v>
      </c>
      <c r="AY240" s="115" t="e">
        <f>VLOOKUP($A240,'S49'!$C:$BQ,29,0)</f>
        <v>#N/A</v>
      </c>
      <c r="AZ240" s="115" t="e">
        <f>VLOOKUP($A240,'S49'!$C:$BQ,30,0)</f>
        <v>#N/A</v>
      </c>
      <c r="BA240" s="115" t="e">
        <f>VLOOKUP($A240,'S49'!$C:$BQ,52,0)</f>
        <v>#N/A</v>
      </c>
      <c r="BB240" s="115" t="e">
        <f>VLOOKUP($A240,'S49'!$C:$BQ,59,0)</f>
        <v>#N/A</v>
      </c>
      <c r="BC240" s="115" t="e">
        <f>VLOOKUP($A240,'S49'!$C:$BQ,60,0)</f>
        <v>#N/A</v>
      </c>
      <c r="BD240" s="107" t="e">
        <f>VLOOKUP($A240,'S50'!$C:$BQ,32,0)</f>
        <v>#N/A</v>
      </c>
      <c r="BE240" s="107" t="e">
        <f>VLOOKUP($A240,'S50'!$C:$BQ,39,0)</f>
        <v>#N/A</v>
      </c>
      <c r="BF240" s="107" t="e">
        <f>VLOOKUP($A240,'S50'!$C:$BQ,40,0)</f>
        <v>#N/A</v>
      </c>
      <c r="BG240" s="107" t="e">
        <f>VLOOKUP($A240,'S50'!$C:$BQ,22,0)</f>
        <v>#N/A</v>
      </c>
      <c r="BH240" s="115" t="e">
        <f>VLOOKUP($A240,'S50'!$C:$BQ,29,0)</f>
        <v>#N/A</v>
      </c>
      <c r="BI240" s="115" t="e">
        <f>VLOOKUP($A240,'S50'!$C:$BQ,30,0)</f>
        <v>#N/A</v>
      </c>
      <c r="BJ240" s="115" t="e">
        <f>VLOOKUP($A240,'S50'!$C:$BQ,52,0)</f>
        <v>#N/A</v>
      </c>
      <c r="BK240" s="115" t="e">
        <f>VLOOKUP($A240,'S50'!$C:$BQ,59,0)</f>
        <v>#N/A</v>
      </c>
      <c r="BL240" s="115" t="e">
        <f>VLOOKUP($A240,'S50'!$C:$BQ,60,0)</f>
        <v>#N/A</v>
      </c>
    </row>
    <row r="241" spans="1:64" x14ac:dyDescent="0.2">
      <c r="A241" s="106" t="s">
        <v>312</v>
      </c>
      <c r="B241" s="107">
        <f>VLOOKUP($A241,'S0 remplacer avec S44'!$C:$BQ,32,0)</f>
        <v>170.05</v>
      </c>
      <c r="C241" s="107">
        <f>VLOOKUP($A241,'S0 remplacer avec S44'!$C:$BQ,39,0)</f>
        <v>56</v>
      </c>
      <c r="D241" s="107">
        <f>VLOOKUP($A241,'S0 remplacer avec S44'!$C:$BQ,40,0)</f>
        <v>101</v>
      </c>
      <c r="E241" s="107">
        <f>VLOOKUP($A241,'S0 remplacer avec S44'!$C:$BQ,22,0)</f>
        <v>2013.4589000000001</v>
      </c>
      <c r="F241" s="115">
        <f>VLOOKUP($A241,'S0 remplacer avec S44'!$C:$BQ,29,0)</f>
        <v>37</v>
      </c>
      <c r="G241" s="115">
        <f>VLOOKUP($A241,'S0 remplacer avec S44'!$C:$BQ,30,0)</f>
        <v>448</v>
      </c>
      <c r="H241" s="115">
        <f>VLOOKUP($A241,'S0 remplacer avec S44'!$C:$BQ,52,0)</f>
        <v>117.8</v>
      </c>
      <c r="I241" s="115">
        <f>VLOOKUP($A241,'S0 remplacer avec S44'!$C:$BQ,59,0)</f>
        <v>0</v>
      </c>
      <c r="J241" s="115">
        <f>VLOOKUP($A241,'S0 remplacer avec S44'!$C:$BQ,60,0)</f>
        <v>20</v>
      </c>
      <c r="K241" s="107" t="e">
        <f>VLOOKUP($A241,'S45'!$C:$BQ,32,0)</f>
        <v>#N/A</v>
      </c>
      <c r="L241" s="107" t="e">
        <f>VLOOKUP($A241,'S45'!$C:$BQ,39,0)</f>
        <v>#N/A</v>
      </c>
      <c r="M241" s="107" t="e">
        <f>VLOOKUP($A241,'S45'!$C:$BQ,40,0)</f>
        <v>#N/A</v>
      </c>
      <c r="N241" s="107" t="e">
        <f>VLOOKUP($A241,'S45'!$C:$BQ,22,0)</f>
        <v>#N/A</v>
      </c>
      <c r="O241" s="115" t="e">
        <f>VLOOKUP($A241,'S45'!$C:$BQ,29,0)</f>
        <v>#N/A</v>
      </c>
      <c r="P241" s="115" t="e">
        <f>VLOOKUP($A241,'S45'!$C:$BQ,30,0)</f>
        <v>#N/A</v>
      </c>
      <c r="Q241" s="115" t="e">
        <f>VLOOKUP($A241,'S45'!$C:$BQ,52,0)</f>
        <v>#N/A</v>
      </c>
      <c r="R241" s="115" t="e">
        <f>VLOOKUP($A241,'S45'!$C:$BQ,59,0)</f>
        <v>#N/A</v>
      </c>
      <c r="S241" s="115" t="e">
        <f>VLOOKUP($A241,'S45'!$C:$BQ,60,0)</f>
        <v>#N/A</v>
      </c>
      <c r="T241" s="107" t="e">
        <f>VLOOKUP($A241,'S46'!$C:$BQ,32,0)</f>
        <v>#N/A</v>
      </c>
      <c r="U241" s="107" t="e">
        <f>VLOOKUP($A241,'S46'!$C:$BQ,39,0)</f>
        <v>#N/A</v>
      </c>
      <c r="V241" s="107" t="e">
        <f>VLOOKUP($A241,'S46'!$C:$BQ,40,0)</f>
        <v>#N/A</v>
      </c>
      <c r="W241" s="107" t="e">
        <f>VLOOKUP($A241,'S46'!$C:$BQ,22,0)</f>
        <v>#N/A</v>
      </c>
      <c r="X241" s="115" t="e">
        <f>VLOOKUP($A241,'S46'!$C:$BQ,29,0)</f>
        <v>#N/A</v>
      </c>
      <c r="Y241" s="115" t="e">
        <f>VLOOKUP($A241,'S46'!$C:$BQ,30,0)</f>
        <v>#N/A</v>
      </c>
      <c r="Z241" s="115" t="e">
        <f>VLOOKUP($A241,'S46'!$C:$BQ,52,0)</f>
        <v>#N/A</v>
      </c>
      <c r="AA241" s="115" t="e">
        <f>VLOOKUP($A241,'S46'!$C:$BQ,59,0)</f>
        <v>#N/A</v>
      </c>
      <c r="AB241" s="115" t="e">
        <f>VLOOKUP($A241,'S46'!$C:$BQ,60,0)</f>
        <v>#N/A</v>
      </c>
      <c r="AC241" s="107" t="e">
        <f>VLOOKUP($A241,'S47'!$C:$BQ,32,0)</f>
        <v>#N/A</v>
      </c>
      <c r="AD241" s="107" t="e">
        <f>VLOOKUP($A241,'S47'!$C:$BQ,39,0)</f>
        <v>#N/A</v>
      </c>
      <c r="AE241" s="107" t="e">
        <f>VLOOKUP($A241,'S47'!$C:$BQ,40,0)</f>
        <v>#N/A</v>
      </c>
      <c r="AF241" s="107" t="e">
        <f>VLOOKUP($A241,'S47'!$C:$BQ,22,0)</f>
        <v>#N/A</v>
      </c>
      <c r="AG241" s="115" t="e">
        <f>VLOOKUP($A241,'S47'!$C:$BQ,29,0)</f>
        <v>#N/A</v>
      </c>
      <c r="AH241" s="115" t="e">
        <f>VLOOKUP($A241,'S47'!$C:$BQ,30,0)</f>
        <v>#N/A</v>
      </c>
      <c r="AI241" s="115" t="e">
        <f>VLOOKUP($A241,'S47'!$C:$BQ,52,0)</f>
        <v>#N/A</v>
      </c>
      <c r="AJ241" s="115" t="e">
        <f>VLOOKUP($A241,'S47'!$C:$BQ,59,0)</f>
        <v>#N/A</v>
      </c>
      <c r="AK241" s="115" t="e">
        <f>VLOOKUP($A241,'S47'!$C:$BQ,60,0)</f>
        <v>#N/A</v>
      </c>
      <c r="AL241" s="107" t="e">
        <f>VLOOKUP($A241,'S48'!$C:$BQ,32,0)</f>
        <v>#N/A</v>
      </c>
      <c r="AM241" s="107" t="e">
        <f>VLOOKUP($A241,'S48'!$C:$BQ,39,0)</f>
        <v>#N/A</v>
      </c>
      <c r="AN241" s="107" t="e">
        <f>VLOOKUP($A241,'S48'!$C:$BQ,40,0)</f>
        <v>#N/A</v>
      </c>
      <c r="AO241" s="107" t="e">
        <f>VLOOKUP($A241,'S48'!$C:$BQ,22,0)</f>
        <v>#N/A</v>
      </c>
      <c r="AP241" s="115" t="e">
        <f>VLOOKUP($A241,'S48'!$C:$BQ,29,0)</f>
        <v>#N/A</v>
      </c>
      <c r="AQ241" s="115" t="e">
        <f>VLOOKUP($A241,'S48'!$C:$BQ,30,0)</f>
        <v>#N/A</v>
      </c>
      <c r="AR241" s="115" t="e">
        <f>VLOOKUP($A241,'S48'!$C:$BQ,52,0)</f>
        <v>#N/A</v>
      </c>
      <c r="AS241" s="115" t="e">
        <f>VLOOKUP($A241,'S48'!$C:$BQ,59,0)</f>
        <v>#N/A</v>
      </c>
      <c r="AT241" s="115" t="e">
        <f>VLOOKUP($A241,'S48'!$C:$BQ,60,0)</f>
        <v>#N/A</v>
      </c>
      <c r="AU241" s="107" t="e">
        <f>VLOOKUP($A241,'S49'!$C:$BQ,32,0)</f>
        <v>#N/A</v>
      </c>
      <c r="AV241" s="107" t="e">
        <f>VLOOKUP($A241,'S49'!$C:$BQ,39,0)</f>
        <v>#N/A</v>
      </c>
      <c r="AW241" s="107" t="e">
        <f>VLOOKUP($A241,'S49'!$C:$BQ,40,0)</f>
        <v>#N/A</v>
      </c>
      <c r="AX241" s="107" t="e">
        <f>VLOOKUP($A241,'S49'!$C:$BQ,22,0)</f>
        <v>#N/A</v>
      </c>
      <c r="AY241" s="115" t="e">
        <f>VLOOKUP($A241,'S49'!$C:$BQ,29,0)</f>
        <v>#N/A</v>
      </c>
      <c r="AZ241" s="115" t="e">
        <f>VLOOKUP($A241,'S49'!$C:$BQ,30,0)</f>
        <v>#N/A</v>
      </c>
      <c r="BA241" s="115" t="e">
        <f>VLOOKUP($A241,'S49'!$C:$BQ,52,0)</f>
        <v>#N/A</v>
      </c>
      <c r="BB241" s="115" t="e">
        <f>VLOOKUP($A241,'S49'!$C:$BQ,59,0)</f>
        <v>#N/A</v>
      </c>
      <c r="BC241" s="115" t="e">
        <f>VLOOKUP($A241,'S49'!$C:$BQ,60,0)</f>
        <v>#N/A</v>
      </c>
      <c r="BD241" s="107" t="e">
        <f>VLOOKUP($A241,'S50'!$C:$BQ,32,0)</f>
        <v>#N/A</v>
      </c>
      <c r="BE241" s="107" t="e">
        <f>VLOOKUP($A241,'S50'!$C:$BQ,39,0)</f>
        <v>#N/A</v>
      </c>
      <c r="BF241" s="107" t="e">
        <f>VLOOKUP($A241,'S50'!$C:$BQ,40,0)</f>
        <v>#N/A</v>
      </c>
      <c r="BG241" s="107" t="e">
        <f>VLOOKUP($A241,'S50'!$C:$BQ,22,0)</f>
        <v>#N/A</v>
      </c>
      <c r="BH241" s="115" t="e">
        <f>VLOOKUP($A241,'S50'!$C:$BQ,29,0)</f>
        <v>#N/A</v>
      </c>
      <c r="BI241" s="115" t="e">
        <f>VLOOKUP($A241,'S50'!$C:$BQ,30,0)</f>
        <v>#N/A</v>
      </c>
      <c r="BJ241" s="115" t="e">
        <f>VLOOKUP($A241,'S50'!$C:$BQ,52,0)</f>
        <v>#N/A</v>
      </c>
      <c r="BK241" s="115" t="e">
        <f>VLOOKUP($A241,'S50'!$C:$BQ,59,0)</f>
        <v>#N/A</v>
      </c>
      <c r="BL241" s="115" t="e">
        <f>VLOOKUP($A241,'S50'!$C:$BQ,60,0)</f>
        <v>#N/A</v>
      </c>
    </row>
    <row r="242" spans="1:64" x14ac:dyDescent="0.2">
      <c r="A242" s="106" t="s">
        <v>313</v>
      </c>
      <c r="B242" s="107">
        <f>VLOOKUP($A242,'S0 remplacer avec S44'!$C:$BQ,32,0)</f>
        <v>84.6</v>
      </c>
      <c r="C242" s="107">
        <f>VLOOKUP($A242,'S0 remplacer avec S44'!$C:$BQ,39,0)</f>
        <v>110</v>
      </c>
      <c r="D242" s="107">
        <f>VLOOKUP($A242,'S0 remplacer avec S44'!$C:$BQ,40,0)</f>
        <v>149</v>
      </c>
      <c r="E242" s="107">
        <f>VLOOKUP($A242,'S0 remplacer avec S44'!$C:$BQ,22,0)</f>
        <v>1091.3798200000001</v>
      </c>
      <c r="F242" s="115">
        <f>VLOOKUP($A242,'S0 remplacer avec S44'!$C:$BQ,29,0)</f>
        <v>674</v>
      </c>
      <c r="G242" s="115">
        <f>VLOOKUP($A242,'S0 remplacer avec S44'!$C:$BQ,30,0)</f>
        <v>1027</v>
      </c>
      <c r="H242" s="115">
        <f>VLOOKUP($A242,'S0 remplacer avec S44'!$C:$BQ,52,0)</f>
        <v>92.4</v>
      </c>
      <c r="I242" s="115">
        <f>VLOOKUP($A242,'S0 remplacer avec S44'!$C:$BQ,59,0)</f>
        <v>7</v>
      </c>
      <c r="J242" s="115">
        <f>VLOOKUP($A242,'S0 remplacer avec S44'!$C:$BQ,60,0)</f>
        <v>26</v>
      </c>
      <c r="K242" s="107" t="e">
        <f>VLOOKUP($A242,'S45'!$C:$BQ,32,0)</f>
        <v>#N/A</v>
      </c>
      <c r="L242" s="107" t="e">
        <f>VLOOKUP($A242,'S45'!$C:$BQ,39,0)</f>
        <v>#N/A</v>
      </c>
      <c r="M242" s="107" t="e">
        <f>VLOOKUP($A242,'S45'!$C:$BQ,40,0)</f>
        <v>#N/A</v>
      </c>
      <c r="N242" s="107" t="e">
        <f>VLOOKUP($A242,'S45'!$C:$BQ,22,0)</f>
        <v>#N/A</v>
      </c>
      <c r="O242" s="115" t="e">
        <f>VLOOKUP($A242,'S45'!$C:$BQ,29,0)</f>
        <v>#N/A</v>
      </c>
      <c r="P242" s="115" t="e">
        <f>VLOOKUP($A242,'S45'!$C:$BQ,30,0)</f>
        <v>#N/A</v>
      </c>
      <c r="Q242" s="115" t="e">
        <f>VLOOKUP($A242,'S45'!$C:$BQ,52,0)</f>
        <v>#N/A</v>
      </c>
      <c r="R242" s="115" t="e">
        <f>VLOOKUP($A242,'S45'!$C:$BQ,59,0)</f>
        <v>#N/A</v>
      </c>
      <c r="S242" s="115" t="e">
        <f>VLOOKUP($A242,'S45'!$C:$BQ,60,0)</f>
        <v>#N/A</v>
      </c>
      <c r="T242" s="107" t="e">
        <f>VLOOKUP($A242,'S46'!$C:$BQ,32,0)</f>
        <v>#N/A</v>
      </c>
      <c r="U242" s="107" t="e">
        <f>VLOOKUP($A242,'S46'!$C:$BQ,39,0)</f>
        <v>#N/A</v>
      </c>
      <c r="V242" s="107" t="e">
        <f>VLOOKUP($A242,'S46'!$C:$BQ,40,0)</f>
        <v>#N/A</v>
      </c>
      <c r="W242" s="107" t="e">
        <f>VLOOKUP($A242,'S46'!$C:$BQ,22,0)</f>
        <v>#N/A</v>
      </c>
      <c r="X242" s="115" t="e">
        <f>VLOOKUP($A242,'S46'!$C:$BQ,29,0)</f>
        <v>#N/A</v>
      </c>
      <c r="Y242" s="115" t="e">
        <f>VLOOKUP($A242,'S46'!$C:$BQ,30,0)</f>
        <v>#N/A</v>
      </c>
      <c r="Z242" s="115" t="e">
        <f>VLOOKUP($A242,'S46'!$C:$BQ,52,0)</f>
        <v>#N/A</v>
      </c>
      <c r="AA242" s="115" t="e">
        <f>VLOOKUP($A242,'S46'!$C:$BQ,59,0)</f>
        <v>#N/A</v>
      </c>
      <c r="AB242" s="115" t="e">
        <f>VLOOKUP($A242,'S46'!$C:$BQ,60,0)</f>
        <v>#N/A</v>
      </c>
      <c r="AC242" s="107" t="e">
        <f>VLOOKUP($A242,'S47'!$C:$BQ,32,0)</f>
        <v>#N/A</v>
      </c>
      <c r="AD242" s="107" t="e">
        <f>VLOOKUP($A242,'S47'!$C:$BQ,39,0)</f>
        <v>#N/A</v>
      </c>
      <c r="AE242" s="107" t="e">
        <f>VLOOKUP($A242,'S47'!$C:$BQ,40,0)</f>
        <v>#N/A</v>
      </c>
      <c r="AF242" s="107" t="e">
        <f>VLOOKUP($A242,'S47'!$C:$BQ,22,0)</f>
        <v>#N/A</v>
      </c>
      <c r="AG242" s="115" t="e">
        <f>VLOOKUP($A242,'S47'!$C:$BQ,29,0)</f>
        <v>#N/A</v>
      </c>
      <c r="AH242" s="115" t="e">
        <f>VLOOKUP($A242,'S47'!$C:$BQ,30,0)</f>
        <v>#N/A</v>
      </c>
      <c r="AI242" s="115" t="e">
        <f>VLOOKUP($A242,'S47'!$C:$BQ,52,0)</f>
        <v>#N/A</v>
      </c>
      <c r="AJ242" s="115" t="e">
        <f>VLOOKUP($A242,'S47'!$C:$BQ,59,0)</f>
        <v>#N/A</v>
      </c>
      <c r="AK242" s="115" t="e">
        <f>VLOOKUP($A242,'S47'!$C:$BQ,60,0)</f>
        <v>#N/A</v>
      </c>
      <c r="AL242" s="107" t="e">
        <f>VLOOKUP($A242,'S48'!$C:$BQ,32,0)</f>
        <v>#N/A</v>
      </c>
      <c r="AM242" s="107" t="e">
        <f>VLOOKUP($A242,'S48'!$C:$BQ,39,0)</f>
        <v>#N/A</v>
      </c>
      <c r="AN242" s="107" t="e">
        <f>VLOOKUP($A242,'S48'!$C:$BQ,40,0)</f>
        <v>#N/A</v>
      </c>
      <c r="AO242" s="107" t="e">
        <f>VLOOKUP($A242,'S48'!$C:$BQ,22,0)</f>
        <v>#N/A</v>
      </c>
      <c r="AP242" s="115" t="e">
        <f>VLOOKUP($A242,'S48'!$C:$BQ,29,0)</f>
        <v>#N/A</v>
      </c>
      <c r="AQ242" s="115" t="e">
        <f>VLOOKUP($A242,'S48'!$C:$BQ,30,0)</f>
        <v>#N/A</v>
      </c>
      <c r="AR242" s="115" t="e">
        <f>VLOOKUP($A242,'S48'!$C:$BQ,52,0)</f>
        <v>#N/A</v>
      </c>
      <c r="AS242" s="115" t="e">
        <f>VLOOKUP($A242,'S48'!$C:$BQ,59,0)</f>
        <v>#N/A</v>
      </c>
      <c r="AT242" s="115" t="e">
        <f>VLOOKUP($A242,'S48'!$C:$BQ,60,0)</f>
        <v>#N/A</v>
      </c>
      <c r="AU242" s="107" t="e">
        <f>VLOOKUP($A242,'S49'!$C:$BQ,32,0)</f>
        <v>#N/A</v>
      </c>
      <c r="AV242" s="107" t="e">
        <f>VLOOKUP($A242,'S49'!$C:$BQ,39,0)</f>
        <v>#N/A</v>
      </c>
      <c r="AW242" s="107" t="e">
        <f>VLOOKUP($A242,'S49'!$C:$BQ,40,0)</f>
        <v>#N/A</v>
      </c>
      <c r="AX242" s="107" t="e">
        <f>VLOOKUP($A242,'S49'!$C:$BQ,22,0)</f>
        <v>#N/A</v>
      </c>
      <c r="AY242" s="115" t="e">
        <f>VLOOKUP($A242,'S49'!$C:$BQ,29,0)</f>
        <v>#N/A</v>
      </c>
      <c r="AZ242" s="115" t="e">
        <f>VLOOKUP($A242,'S49'!$C:$BQ,30,0)</f>
        <v>#N/A</v>
      </c>
      <c r="BA242" s="115" t="e">
        <f>VLOOKUP($A242,'S49'!$C:$BQ,52,0)</f>
        <v>#N/A</v>
      </c>
      <c r="BB242" s="115" t="e">
        <f>VLOOKUP($A242,'S49'!$C:$BQ,59,0)</f>
        <v>#N/A</v>
      </c>
      <c r="BC242" s="115" t="e">
        <f>VLOOKUP($A242,'S49'!$C:$BQ,60,0)</f>
        <v>#N/A</v>
      </c>
      <c r="BD242" s="107" t="e">
        <f>VLOOKUP($A242,'S50'!$C:$BQ,32,0)</f>
        <v>#N/A</v>
      </c>
      <c r="BE242" s="107" t="e">
        <f>VLOOKUP($A242,'S50'!$C:$BQ,39,0)</f>
        <v>#N/A</v>
      </c>
      <c r="BF242" s="107" t="e">
        <f>VLOOKUP($A242,'S50'!$C:$BQ,40,0)</f>
        <v>#N/A</v>
      </c>
      <c r="BG242" s="107" t="e">
        <f>VLOOKUP($A242,'S50'!$C:$BQ,22,0)</f>
        <v>#N/A</v>
      </c>
      <c r="BH242" s="115" t="e">
        <f>VLOOKUP($A242,'S50'!$C:$BQ,29,0)</f>
        <v>#N/A</v>
      </c>
      <c r="BI242" s="115" t="e">
        <f>VLOOKUP($A242,'S50'!$C:$BQ,30,0)</f>
        <v>#N/A</v>
      </c>
      <c r="BJ242" s="115" t="e">
        <f>VLOOKUP($A242,'S50'!$C:$BQ,52,0)</f>
        <v>#N/A</v>
      </c>
      <c r="BK242" s="115" t="e">
        <f>VLOOKUP($A242,'S50'!$C:$BQ,59,0)</f>
        <v>#N/A</v>
      </c>
      <c r="BL242" s="115" t="e">
        <f>VLOOKUP($A242,'S50'!$C:$BQ,60,0)</f>
        <v>#N/A</v>
      </c>
    </row>
    <row r="243" spans="1:64" x14ac:dyDescent="0.2">
      <c r="A243" s="106" t="s">
        <v>314</v>
      </c>
      <c r="B243" s="107">
        <f>VLOOKUP($A243,'S0 remplacer avec S44'!$C:$BQ,32,0)</f>
        <v>319.25</v>
      </c>
      <c r="C243" s="107">
        <f>VLOOKUP($A243,'S0 remplacer avec S44'!$C:$BQ,39,0)</f>
        <v>60</v>
      </c>
      <c r="D243" s="107">
        <f>VLOOKUP($A243,'S0 remplacer avec S44'!$C:$BQ,40,0)</f>
        <v>136</v>
      </c>
      <c r="E243" s="107">
        <f>VLOOKUP($A243,'S0 remplacer avec S44'!$C:$BQ,22,0)</f>
        <v>3495.6385449999998</v>
      </c>
      <c r="F243" s="115">
        <f>VLOOKUP($A243,'S0 remplacer avec S44'!$C:$BQ,29,0)</f>
        <v>0</v>
      </c>
      <c r="G243" s="115">
        <f>VLOOKUP($A243,'S0 remplacer avec S44'!$C:$BQ,30,0)</f>
        <v>639</v>
      </c>
      <c r="H243" s="115">
        <f>VLOOKUP($A243,'S0 remplacer avec S44'!$C:$BQ,52,0)</f>
        <v>215.2</v>
      </c>
      <c r="I243" s="115">
        <f>VLOOKUP($A243,'S0 remplacer avec S44'!$C:$BQ,59,0)</f>
        <v>0</v>
      </c>
      <c r="J243" s="115">
        <f>VLOOKUP($A243,'S0 remplacer avec S44'!$C:$BQ,60,0)</f>
        <v>16</v>
      </c>
      <c r="K243" s="107" t="e">
        <f>VLOOKUP($A243,'S45'!$C:$BQ,32,0)</f>
        <v>#N/A</v>
      </c>
      <c r="L243" s="107" t="e">
        <f>VLOOKUP($A243,'S45'!$C:$BQ,39,0)</f>
        <v>#N/A</v>
      </c>
      <c r="M243" s="107" t="e">
        <f>VLOOKUP($A243,'S45'!$C:$BQ,40,0)</f>
        <v>#N/A</v>
      </c>
      <c r="N243" s="107" t="e">
        <f>VLOOKUP($A243,'S45'!$C:$BQ,22,0)</f>
        <v>#N/A</v>
      </c>
      <c r="O243" s="115" t="e">
        <f>VLOOKUP($A243,'S45'!$C:$BQ,29,0)</f>
        <v>#N/A</v>
      </c>
      <c r="P243" s="115" t="e">
        <f>VLOOKUP($A243,'S45'!$C:$BQ,30,0)</f>
        <v>#N/A</v>
      </c>
      <c r="Q243" s="115" t="e">
        <f>VLOOKUP($A243,'S45'!$C:$BQ,52,0)</f>
        <v>#N/A</v>
      </c>
      <c r="R243" s="115" t="e">
        <f>VLOOKUP($A243,'S45'!$C:$BQ,59,0)</f>
        <v>#N/A</v>
      </c>
      <c r="S243" s="115" t="e">
        <f>VLOOKUP($A243,'S45'!$C:$BQ,60,0)</f>
        <v>#N/A</v>
      </c>
      <c r="T243" s="107" t="e">
        <f>VLOOKUP($A243,'S46'!$C:$BQ,32,0)</f>
        <v>#N/A</v>
      </c>
      <c r="U243" s="107" t="e">
        <f>VLOOKUP($A243,'S46'!$C:$BQ,39,0)</f>
        <v>#N/A</v>
      </c>
      <c r="V243" s="107" t="e">
        <f>VLOOKUP($A243,'S46'!$C:$BQ,40,0)</f>
        <v>#N/A</v>
      </c>
      <c r="W243" s="107" t="e">
        <f>VLOOKUP($A243,'S46'!$C:$BQ,22,0)</f>
        <v>#N/A</v>
      </c>
      <c r="X243" s="115" t="e">
        <f>VLOOKUP($A243,'S46'!$C:$BQ,29,0)</f>
        <v>#N/A</v>
      </c>
      <c r="Y243" s="115" t="e">
        <f>VLOOKUP($A243,'S46'!$C:$BQ,30,0)</f>
        <v>#N/A</v>
      </c>
      <c r="Z243" s="115" t="e">
        <f>VLOOKUP($A243,'S46'!$C:$BQ,52,0)</f>
        <v>#N/A</v>
      </c>
      <c r="AA243" s="115" t="e">
        <f>VLOOKUP($A243,'S46'!$C:$BQ,59,0)</f>
        <v>#N/A</v>
      </c>
      <c r="AB243" s="115" t="e">
        <f>VLOOKUP($A243,'S46'!$C:$BQ,60,0)</f>
        <v>#N/A</v>
      </c>
      <c r="AC243" s="107" t="e">
        <f>VLOOKUP($A243,'S47'!$C:$BQ,32,0)</f>
        <v>#N/A</v>
      </c>
      <c r="AD243" s="107" t="e">
        <f>VLOOKUP($A243,'S47'!$C:$BQ,39,0)</f>
        <v>#N/A</v>
      </c>
      <c r="AE243" s="107" t="e">
        <f>VLOOKUP($A243,'S47'!$C:$BQ,40,0)</f>
        <v>#N/A</v>
      </c>
      <c r="AF243" s="107" t="e">
        <f>VLOOKUP($A243,'S47'!$C:$BQ,22,0)</f>
        <v>#N/A</v>
      </c>
      <c r="AG243" s="115" t="e">
        <f>VLOOKUP($A243,'S47'!$C:$BQ,29,0)</f>
        <v>#N/A</v>
      </c>
      <c r="AH243" s="115" t="e">
        <f>VLOOKUP($A243,'S47'!$C:$BQ,30,0)</f>
        <v>#N/A</v>
      </c>
      <c r="AI243" s="115" t="e">
        <f>VLOOKUP($A243,'S47'!$C:$BQ,52,0)</f>
        <v>#N/A</v>
      </c>
      <c r="AJ243" s="115" t="e">
        <f>VLOOKUP($A243,'S47'!$C:$BQ,59,0)</f>
        <v>#N/A</v>
      </c>
      <c r="AK243" s="115" t="e">
        <f>VLOOKUP($A243,'S47'!$C:$BQ,60,0)</f>
        <v>#N/A</v>
      </c>
      <c r="AL243" s="107" t="e">
        <f>VLOOKUP($A243,'S48'!$C:$BQ,32,0)</f>
        <v>#N/A</v>
      </c>
      <c r="AM243" s="107" t="e">
        <f>VLOOKUP($A243,'S48'!$C:$BQ,39,0)</f>
        <v>#N/A</v>
      </c>
      <c r="AN243" s="107" t="e">
        <f>VLOOKUP($A243,'S48'!$C:$BQ,40,0)</f>
        <v>#N/A</v>
      </c>
      <c r="AO243" s="107" t="e">
        <f>VLOOKUP($A243,'S48'!$C:$BQ,22,0)</f>
        <v>#N/A</v>
      </c>
      <c r="AP243" s="115" t="e">
        <f>VLOOKUP($A243,'S48'!$C:$BQ,29,0)</f>
        <v>#N/A</v>
      </c>
      <c r="AQ243" s="115" t="e">
        <f>VLOOKUP($A243,'S48'!$C:$BQ,30,0)</f>
        <v>#N/A</v>
      </c>
      <c r="AR243" s="115" t="e">
        <f>VLOOKUP($A243,'S48'!$C:$BQ,52,0)</f>
        <v>#N/A</v>
      </c>
      <c r="AS243" s="115" t="e">
        <f>VLOOKUP($A243,'S48'!$C:$BQ,59,0)</f>
        <v>#N/A</v>
      </c>
      <c r="AT243" s="115" t="e">
        <f>VLOOKUP($A243,'S48'!$C:$BQ,60,0)</f>
        <v>#N/A</v>
      </c>
      <c r="AU243" s="107" t="e">
        <f>VLOOKUP($A243,'S49'!$C:$BQ,32,0)</f>
        <v>#N/A</v>
      </c>
      <c r="AV243" s="107" t="e">
        <f>VLOOKUP($A243,'S49'!$C:$BQ,39,0)</f>
        <v>#N/A</v>
      </c>
      <c r="AW243" s="107" t="e">
        <f>VLOOKUP($A243,'S49'!$C:$BQ,40,0)</f>
        <v>#N/A</v>
      </c>
      <c r="AX243" s="107" t="e">
        <f>VLOOKUP($A243,'S49'!$C:$BQ,22,0)</f>
        <v>#N/A</v>
      </c>
      <c r="AY243" s="115" t="e">
        <f>VLOOKUP($A243,'S49'!$C:$BQ,29,0)</f>
        <v>#N/A</v>
      </c>
      <c r="AZ243" s="115" t="e">
        <f>VLOOKUP($A243,'S49'!$C:$BQ,30,0)</f>
        <v>#N/A</v>
      </c>
      <c r="BA243" s="115" t="e">
        <f>VLOOKUP($A243,'S49'!$C:$BQ,52,0)</f>
        <v>#N/A</v>
      </c>
      <c r="BB243" s="115" t="e">
        <f>VLOOKUP($A243,'S49'!$C:$BQ,59,0)</f>
        <v>#N/A</v>
      </c>
      <c r="BC243" s="115" t="e">
        <f>VLOOKUP($A243,'S49'!$C:$BQ,60,0)</f>
        <v>#N/A</v>
      </c>
      <c r="BD243" s="107" t="e">
        <f>VLOOKUP($A243,'S50'!$C:$BQ,32,0)</f>
        <v>#N/A</v>
      </c>
      <c r="BE243" s="107" t="e">
        <f>VLOOKUP($A243,'S50'!$C:$BQ,39,0)</f>
        <v>#N/A</v>
      </c>
      <c r="BF243" s="107" t="e">
        <f>VLOOKUP($A243,'S50'!$C:$BQ,40,0)</f>
        <v>#N/A</v>
      </c>
      <c r="BG243" s="107" t="e">
        <f>VLOOKUP($A243,'S50'!$C:$BQ,22,0)</f>
        <v>#N/A</v>
      </c>
      <c r="BH243" s="115" t="e">
        <f>VLOOKUP($A243,'S50'!$C:$BQ,29,0)</f>
        <v>#N/A</v>
      </c>
      <c r="BI243" s="115" t="e">
        <f>VLOOKUP($A243,'S50'!$C:$BQ,30,0)</f>
        <v>#N/A</v>
      </c>
      <c r="BJ243" s="115" t="e">
        <f>VLOOKUP($A243,'S50'!$C:$BQ,52,0)</f>
        <v>#N/A</v>
      </c>
      <c r="BK243" s="115" t="e">
        <f>VLOOKUP($A243,'S50'!$C:$BQ,59,0)</f>
        <v>#N/A</v>
      </c>
      <c r="BL243" s="115" t="e">
        <f>VLOOKUP($A243,'S50'!$C:$BQ,60,0)</f>
        <v>#N/A</v>
      </c>
    </row>
    <row r="244" spans="1:64" x14ac:dyDescent="0.2">
      <c r="A244" s="106" t="s">
        <v>315</v>
      </c>
      <c r="B244" s="107">
        <f>VLOOKUP($A244,'S0 remplacer avec S44'!$C:$BQ,32,0)</f>
        <v>279.89999999999998</v>
      </c>
      <c r="C244" s="107">
        <f>VLOOKUP($A244,'S0 remplacer avec S44'!$C:$BQ,39,0)</f>
        <v>260</v>
      </c>
      <c r="D244" s="107">
        <f>VLOOKUP($A244,'S0 remplacer avec S44'!$C:$BQ,40,0)</f>
        <v>367</v>
      </c>
      <c r="E244" s="107">
        <f>VLOOKUP($A244,'S0 remplacer avec S44'!$C:$BQ,22,0)</f>
        <v>4687.2063950000002</v>
      </c>
      <c r="F244" s="115">
        <f>VLOOKUP($A244,'S0 remplacer avec S44'!$C:$BQ,29,0)</f>
        <v>216</v>
      </c>
      <c r="G244" s="115">
        <f>VLOOKUP($A244,'S0 remplacer avec S44'!$C:$BQ,30,0)</f>
        <v>1197</v>
      </c>
      <c r="H244" s="115">
        <f>VLOOKUP($A244,'S0 remplacer avec S44'!$C:$BQ,52,0)</f>
        <v>245.6</v>
      </c>
      <c r="I244" s="115">
        <f>VLOOKUP($A244,'S0 remplacer avec S44'!$C:$BQ,59,0)</f>
        <v>29</v>
      </c>
      <c r="J244" s="115">
        <f>VLOOKUP($A244,'S0 remplacer avec S44'!$C:$BQ,60,0)</f>
        <v>83</v>
      </c>
      <c r="K244" s="107" t="e">
        <f>VLOOKUP($A244,'S45'!$C:$BQ,32,0)</f>
        <v>#N/A</v>
      </c>
      <c r="L244" s="107" t="e">
        <f>VLOOKUP($A244,'S45'!$C:$BQ,39,0)</f>
        <v>#N/A</v>
      </c>
      <c r="M244" s="107" t="e">
        <f>VLOOKUP($A244,'S45'!$C:$BQ,40,0)</f>
        <v>#N/A</v>
      </c>
      <c r="N244" s="107" t="e">
        <f>VLOOKUP($A244,'S45'!$C:$BQ,22,0)</f>
        <v>#N/A</v>
      </c>
      <c r="O244" s="115" t="e">
        <f>VLOOKUP($A244,'S45'!$C:$BQ,29,0)</f>
        <v>#N/A</v>
      </c>
      <c r="P244" s="115" t="e">
        <f>VLOOKUP($A244,'S45'!$C:$BQ,30,0)</f>
        <v>#N/A</v>
      </c>
      <c r="Q244" s="115" t="e">
        <f>VLOOKUP($A244,'S45'!$C:$BQ,52,0)</f>
        <v>#N/A</v>
      </c>
      <c r="R244" s="115" t="e">
        <f>VLOOKUP($A244,'S45'!$C:$BQ,59,0)</f>
        <v>#N/A</v>
      </c>
      <c r="S244" s="115" t="e">
        <f>VLOOKUP($A244,'S45'!$C:$BQ,60,0)</f>
        <v>#N/A</v>
      </c>
      <c r="T244" s="107" t="e">
        <f>VLOOKUP($A244,'S46'!$C:$BQ,32,0)</f>
        <v>#N/A</v>
      </c>
      <c r="U244" s="107" t="e">
        <f>VLOOKUP($A244,'S46'!$C:$BQ,39,0)</f>
        <v>#N/A</v>
      </c>
      <c r="V244" s="107" t="e">
        <f>VLOOKUP($A244,'S46'!$C:$BQ,40,0)</f>
        <v>#N/A</v>
      </c>
      <c r="W244" s="107" t="e">
        <f>VLOOKUP($A244,'S46'!$C:$BQ,22,0)</f>
        <v>#N/A</v>
      </c>
      <c r="X244" s="115" t="e">
        <f>VLOOKUP($A244,'S46'!$C:$BQ,29,0)</f>
        <v>#N/A</v>
      </c>
      <c r="Y244" s="115" t="e">
        <f>VLOOKUP($A244,'S46'!$C:$BQ,30,0)</f>
        <v>#N/A</v>
      </c>
      <c r="Z244" s="115" t="e">
        <f>VLOOKUP($A244,'S46'!$C:$BQ,52,0)</f>
        <v>#N/A</v>
      </c>
      <c r="AA244" s="115" t="e">
        <f>VLOOKUP($A244,'S46'!$C:$BQ,59,0)</f>
        <v>#N/A</v>
      </c>
      <c r="AB244" s="115" t="e">
        <f>VLOOKUP($A244,'S46'!$C:$BQ,60,0)</f>
        <v>#N/A</v>
      </c>
      <c r="AC244" s="107" t="e">
        <f>VLOOKUP($A244,'S47'!$C:$BQ,32,0)</f>
        <v>#N/A</v>
      </c>
      <c r="AD244" s="107" t="e">
        <f>VLOOKUP($A244,'S47'!$C:$BQ,39,0)</f>
        <v>#N/A</v>
      </c>
      <c r="AE244" s="107" t="e">
        <f>VLOOKUP($A244,'S47'!$C:$BQ,40,0)</f>
        <v>#N/A</v>
      </c>
      <c r="AF244" s="107" t="e">
        <f>VLOOKUP($A244,'S47'!$C:$BQ,22,0)</f>
        <v>#N/A</v>
      </c>
      <c r="AG244" s="115" t="e">
        <f>VLOOKUP($A244,'S47'!$C:$BQ,29,0)</f>
        <v>#N/A</v>
      </c>
      <c r="AH244" s="115" t="e">
        <f>VLOOKUP($A244,'S47'!$C:$BQ,30,0)</f>
        <v>#N/A</v>
      </c>
      <c r="AI244" s="115" t="e">
        <f>VLOOKUP($A244,'S47'!$C:$BQ,52,0)</f>
        <v>#N/A</v>
      </c>
      <c r="AJ244" s="115" t="e">
        <f>VLOOKUP($A244,'S47'!$C:$BQ,59,0)</f>
        <v>#N/A</v>
      </c>
      <c r="AK244" s="115" t="e">
        <f>VLOOKUP($A244,'S47'!$C:$BQ,60,0)</f>
        <v>#N/A</v>
      </c>
      <c r="AL244" s="107" t="e">
        <f>VLOOKUP($A244,'S48'!$C:$BQ,32,0)</f>
        <v>#N/A</v>
      </c>
      <c r="AM244" s="107" t="e">
        <f>VLOOKUP($A244,'S48'!$C:$BQ,39,0)</f>
        <v>#N/A</v>
      </c>
      <c r="AN244" s="107" t="e">
        <f>VLOOKUP($A244,'S48'!$C:$BQ,40,0)</f>
        <v>#N/A</v>
      </c>
      <c r="AO244" s="107" t="e">
        <f>VLOOKUP($A244,'S48'!$C:$BQ,22,0)</f>
        <v>#N/A</v>
      </c>
      <c r="AP244" s="115" t="e">
        <f>VLOOKUP($A244,'S48'!$C:$BQ,29,0)</f>
        <v>#N/A</v>
      </c>
      <c r="AQ244" s="115" t="e">
        <f>VLOOKUP($A244,'S48'!$C:$BQ,30,0)</f>
        <v>#N/A</v>
      </c>
      <c r="AR244" s="115" t="e">
        <f>VLOOKUP($A244,'S48'!$C:$BQ,52,0)</f>
        <v>#N/A</v>
      </c>
      <c r="AS244" s="115" t="e">
        <f>VLOOKUP($A244,'S48'!$C:$BQ,59,0)</f>
        <v>#N/A</v>
      </c>
      <c r="AT244" s="115" t="e">
        <f>VLOOKUP($A244,'S48'!$C:$BQ,60,0)</f>
        <v>#N/A</v>
      </c>
      <c r="AU244" s="107" t="e">
        <f>VLOOKUP($A244,'S49'!$C:$BQ,32,0)</f>
        <v>#N/A</v>
      </c>
      <c r="AV244" s="107" t="e">
        <f>VLOOKUP($A244,'S49'!$C:$BQ,39,0)</f>
        <v>#N/A</v>
      </c>
      <c r="AW244" s="107" t="e">
        <f>VLOOKUP($A244,'S49'!$C:$BQ,40,0)</f>
        <v>#N/A</v>
      </c>
      <c r="AX244" s="107" t="e">
        <f>VLOOKUP($A244,'S49'!$C:$BQ,22,0)</f>
        <v>#N/A</v>
      </c>
      <c r="AY244" s="115" t="e">
        <f>VLOOKUP($A244,'S49'!$C:$BQ,29,0)</f>
        <v>#N/A</v>
      </c>
      <c r="AZ244" s="115" t="e">
        <f>VLOOKUP($A244,'S49'!$C:$BQ,30,0)</f>
        <v>#N/A</v>
      </c>
      <c r="BA244" s="115" t="e">
        <f>VLOOKUP($A244,'S49'!$C:$BQ,52,0)</f>
        <v>#N/A</v>
      </c>
      <c r="BB244" s="115" t="e">
        <f>VLOOKUP($A244,'S49'!$C:$BQ,59,0)</f>
        <v>#N/A</v>
      </c>
      <c r="BC244" s="115" t="e">
        <f>VLOOKUP($A244,'S49'!$C:$BQ,60,0)</f>
        <v>#N/A</v>
      </c>
      <c r="BD244" s="107" t="e">
        <f>VLOOKUP($A244,'S50'!$C:$BQ,32,0)</f>
        <v>#N/A</v>
      </c>
      <c r="BE244" s="107" t="e">
        <f>VLOOKUP($A244,'S50'!$C:$BQ,39,0)</f>
        <v>#N/A</v>
      </c>
      <c r="BF244" s="107" t="e">
        <f>VLOOKUP($A244,'S50'!$C:$BQ,40,0)</f>
        <v>#N/A</v>
      </c>
      <c r="BG244" s="107" t="e">
        <f>VLOOKUP($A244,'S50'!$C:$BQ,22,0)</f>
        <v>#N/A</v>
      </c>
      <c r="BH244" s="115" t="e">
        <f>VLOOKUP($A244,'S50'!$C:$BQ,29,0)</f>
        <v>#N/A</v>
      </c>
      <c r="BI244" s="115" t="e">
        <f>VLOOKUP($A244,'S50'!$C:$BQ,30,0)</f>
        <v>#N/A</v>
      </c>
      <c r="BJ244" s="115" t="e">
        <f>VLOOKUP($A244,'S50'!$C:$BQ,52,0)</f>
        <v>#N/A</v>
      </c>
      <c r="BK244" s="115" t="e">
        <f>VLOOKUP($A244,'S50'!$C:$BQ,59,0)</f>
        <v>#N/A</v>
      </c>
      <c r="BL244" s="115" t="e">
        <f>VLOOKUP($A244,'S50'!$C:$BQ,60,0)</f>
        <v>#N/A</v>
      </c>
    </row>
    <row r="245" spans="1:64" x14ac:dyDescent="0.2">
      <c r="A245" s="106" t="s">
        <v>316</v>
      </c>
      <c r="B245" s="107">
        <f>VLOOKUP($A245,'S0 remplacer avec S44'!$C:$BQ,32,0)</f>
        <v>311.8</v>
      </c>
      <c r="C245" s="107">
        <f>VLOOKUP($A245,'S0 remplacer avec S44'!$C:$BQ,39,0)</f>
        <v>172</v>
      </c>
      <c r="D245" s="107">
        <f>VLOOKUP($A245,'S0 remplacer avec S44'!$C:$BQ,40,0)</f>
        <v>268</v>
      </c>
      <c r="E245" s="107">
        <f>VLOOKUP($A245,'S0 remplacer avec S44'!$C:$BQ,22,0)</f>
        <v>3412.0310599999998</v>
      </c>
      <c r="F245" s="115">
        <f>VLOOKUP($A245,'S0 remplacer avec S44'!$C:$BQ,29,0)</f>
        <v>980</v>
      </c>
      <c r="G245" s="115">
        <f>VLOOKUP($A245,'S0 remplacer avec S44'!$C:$BQ,30,0)</f>
        <v>1858</v>
      </c>
      <c r="H245" s="115">
        <f>VLOOKUP($A245,'S0 remplacer avec S44'!$C:$BQ,52,0)</f>
        <v>186.2</v>
      </c>
      <c r="I245" s="115">
        <f>VLOOKUP($A245,'S0 remplacer avec S44'!$C:$BQ,59,0)</f>
        <v>60</v>
      </c>
      <c r="J245" s="115">
        <f>VLOOKUP($A245,'S0 remplacer avec S44'!$C:$BQ,60,0)</f>
        <v>109</v>
      </c>
      <c r="K245" s="107" t="e">
        <f>VLOOKUP($A245,'S45'!$C:$BQ,32,0)</f>
        <v>#N/A</v>
      </c>
      <c r="L245" s="107" t="e">
        <f>VLOOKUP($A245,'S45'!$C:$BQ,39,0)</f>
        <v>#N/A</v>
      </c>
      <c r="M245" s="107" t="e">
        <f>VLOOKUP($A245,'S45'!$C:$BQ,40,0)</f>
        <v>#N/A</v>
      </c>
      <c r="N245" s="107" t="e">
        <f>VLOOKUP($A245,'S45'!$C:$BQ,22,0)</f>
        <v>#N/A</v>
      </c>
      <c r="O245" s="115" t="e">
        <f>VLOOKUP($A245,'S45'!$C:$BQ,29,0)</f>
        <v>#N/A</v>
      </c>
      <c r="P245" s="115" t="e">
        <f>VLOOKUP($A245,'S45'!$C:$BQ,30,0)</f>
        <v>#N/A</v>
      </c>
      <c r="Q245" s="115" t="e">
        <f>VLOOKUP($A245,'S45'!$C:$BQ,52,0)</f>
        <v>#N/A</v>
      </c>
      <c r="R245" s="115" t="e">
        <f>VLOOKUP($A245,'S45'!$C:$BQ,59,0)</f>
        <v>#N/A</v>
      </c>
      <c r="S245" s="115" t="e">
        <f>VLOOKUP($A245,'S45'!$C:$BQ,60,0)</f>
        <v>#N/A</v>
      </c>
      <c r="T245" s="107" t="e">
        <f>VLOOKUP($A245,'S46'!$C:$BQ,32,0)</f>
        <v>#N/A</v>
      </c>
      <c r="U245" s="107" t="e">
        <f>VLOOKUP($A245,'S46'!$C:$BQ,39,0)</f>
        <v>#N/A</v>
      </c>
      <c r="V245" s="107" t="e">
        <f>VLOOKUP($A245,'S46'!$C:$BQ,40,0)</f>
        <v>#N/A</v>
      </c>
      <c r="W245" s="107" t="e">
        <f>VLOOKUP($A245,'S46'!$C:$BQ,22,0)</f>
        <v>#N/A</v>
      </c>
      <c r="X245" s="115" t="e">
        <f>VLOOKUP($A245,'S46'!$C:$BQ,29,0)</f>
        <v>#N/A</v>
      </c>
      <c r="Y245" s="115" t="e">
        <f>VLOOKUP($A245,'S46'!$C:$BQ,30,0)</f>
        <v>#N/A</v>
      </c>
      <c r="Z245" s="115" t="e">
        <f>VLOOKUP($A245,'S46'!$C:$BQ,52,0)</f>
        <v>#N/A</v>
      </c>
      <c r="AA245" s="115" t="e">
        <f>VLOOKUP($A245,'S46'!$C:$BQ,59,0)</f>
        <v>#N/A</v>
      </c>
      <c r="AB245" s="115" t="e">
        <f>VLOOKUP($A245,'S46'!$C:$BQ,60,0)</f>
        <v>#N/A</v>
      </c>
      <c r="AC245" s="107" t="e">
        <f>VLOOKUP($A245,'S47'!$C:$BQ,32,0)</f>
        <v>#N/A</v>
      </c>
      <c r="AD245" s="107" t="e">
        <f>VLOOKUP($A245,'S47'!$C:$BQ,39,0)</f>
        <v>#N/A</v>
      </c>
      <c r="AE245" s="107" t="e">
        <f>VLOOKUP($A245,'S47'!$C:$BQ,40,0)</f>
        <v>#N/A</v>
      </c>
      <c r="AF245" s="107" t="e">
        <f>VLOOKUP($A245,'S47'!$C:$BQ,22,0)</f>
        <v>#N/A</v>
      </c>
      <c r="AG245" s="115" t="e">
        <f>VLOOKUP($A245,'S47'!$C:$BQ,29,0)</f>
        <v>#N/A</v>
      </c>
      <c r="AH245" s="115" t="e">
        <f>VLOOKUP($A245,'S47'!$C:$BQ,30,0)</f>
        <v>#N/A</v>
      </c>
      <c r="AI245" s="115" t="e">
        <f>VLOOKUP($A245,'S47'!$C:$BQ,52,0)</f>
        <v>#N/A</v>
      </c>
      <c r="AJ245" s="115" t="e">
        <f>VLOOKUP($A245,'S47'!$C:$BQ,59,0)</f>
        <v>#N/A</v>
      </c>
      <c r="AK245" s="115" t="e">
        <f>VLOOKUP($A245,'S47'!$C:$BQ,60,0)</f>
        <v>#N/A</v>
      </c>
      <c r="AL245" s="107" t="e">
        <f>VLOOKUP($A245,'S48'!$C:$BQ,32,0)</f>
        <v>#N/A</v>
      </c>
      <c r="AM245" s="107" t="e">
        <f>VLOOKUP($A245,'S48'!$C:$BQ,39,0)</f>
        <v>#N/A</v>
      </c>
      <c r="AN245" s="107" t="e">
        <f>VLOOKUP($A245,'S48'!$C:$BQ,40,0)</f>
        <v>#N/A</v>
      </c>
      <c r="AO245" s="107" t="e">
        <f>VLOOKUP($A245,'S48'!$C:$BQ,22,0)</f>
        <v>#N/A</v>
      </c>
      <c r="AP245" s="115" t="e">
        <f>VLOOKUP($A245,'S48'!$C:$BQ,29,0)</f>
        <v>#N/A</v>
      </c>
      <c r="AQ245" s="115" t="e">
        <f>VLOOKUP($A245,'S48'!$C:$BQ,30,0)</f>
        <v>#N/A</v>
      </c>
      <c r="AR245" s="115" t="e">
        <f>VLOOKUP($A245,'S48'!$C:$BQ,52,0)</f>
        <v>#N/A</v>
      </c>
      <c r="AS245" s="115" t="e">
        <f>VLOOKUP($A245,'S48'!$C:$BQ,59,0)</f>
        <v>#N/A</v>
      </c>
      <c r="AT245" s="115" t="e">
        <f>VLOOKUP($A245,'S48'!$C:$BQ,60,0)</f>
        <v>#N/A</v>
      </c>
      <c r="AU245" s="107" t="e">
        <f>VLOOKUP($A245,'S49'!$C:$BQ,32,0)</f>
        <v>#N/A</v>
      </c>
      <c r="AV245" s="107" t="e">
        <f>VLOOKUP($A245,'S49'!$C:$BQ,39,0)</f>
        <v>#N/A</v>
      </c>
      <c r="AW245" s="107" t="e">
        <f>VLOOKUP($A245,'S49'!$C:$BQ,40,0)</f>
        <v>#N/A</v>
      </c>
      <c r="AX245" s="107" t="e">
        <f>VLOOKUP($A245,'S49'!$C:$BQ,22,0)</f>
        <v>#N/A</v>
      </c>
      <c r="AY245" s="115" t="e">
        <f>VLOOKUP($A245,'S49'!$C:$BQ,29,0)</f>
        <v>#N/A</v>
      </c>
      <c r="AZ245" s="115" t="e">
        <f>VLOOKUP($A245,'S49'!$C:$BQ,30,0)</f>
        <v>#N/A</v>
      </c>
      <c r="BA245" s="115" t="e">
        <f>VLOOKUP($A245,'S49'!$C:$BQ,52,0)</f>
        <v>#N/A</v>
      </c>
      <c r="BB245" s="115" t="e">
        <f>VLOOKUP($A245,'S49'!$C:$BQ,59,0)</f>
        <v>#N/A</v>
      </c>
      <c r="BC245" s="115" t="e">
        <f>VLOOKUP($A245,'S49'!$C:$BQ,60,0)</f>
        <v>#N/A</v>
      </c>
      <c r="BD245" s="107" t="e">
        <f>VLOOKUP($A245,'S50'!$C:$BQ,32,0)</f>
        <v>#N/A</v>
      </c>
      <c r="BE245" s="107" t="e">
        <f>VLOOKUP($A245,'S50'!$C:$BQ,39,0)</f>
        <v>#N/A</v>
      </c>
      <c r="BF245" s="107" t="e">
        <f>VLOOKUP($A245,'S50'!$C:$BQ,40,0)</f>
        <v>#N/A</v>
      </c>
      <c r="BG245" s="107" t="e">
        <f>VLOOKUP($A245,'S50'!$C:$BQ,22,0)</f>
        <v>#N/A</v>
      </c>
      <c r="BH245" s="115" t="e">
        <f>VLOOKUP($A245,'S50'!$C:$BQ,29,0)</f>
        <v>#N/A</v>
      </c>
      <c r="BI245" s="115" t="e">
        <f>VLOOKUP($A245,'S50'!$C:$BQ,30,0)</f>
        <v>#N/A</v>
      </c>
      <c r="BJ245" s="115" t="e">
        <f>VLOOKUP($A245,'S50'!$C:$BQ,52,0)</f>
        <v>#N/A</v>
      </c>
      <c r="BK245" s="115" t="e">
        <f>VLOOKUP($A245,'S50'!$C:$BQ,59,0)</f>
        <v>#N/A</v>
      </c>
      <c r="BL245" s="115" t="e">
        <f>VLOOKUP($A245,'S50'!$C:$BQ,60,0)</f>
        <v>#N/A</v>
      </c>
    </row>
    <row r="246" spans="1:64" x14ac:dyDescent="0.2">
      <c r="A246" s="106" t="s">
        <v>317</v>
      </c>
      <c r="B246" s="107">
        <f>VLOOKUP($A246,'S0 remplacer avec S44'!$C:$BQ,32,0)</f>
        <v>145.69999999999999</v>
      </c>
      <c r="C246" s="107">
        <f>VLOOKUP($A246,'S0 remplacer avec S44'!$C:$BQ,39,0)</f>
        <v>118</v>
      </c>
      <c r="D246" s="107">
        <f>VLOOKUP($A246,'S0 remplacer avec S44'!$C:$BQ,40,0)</f>
        <v>170</v>
      </c>
      <c r="E246" s="107">
        <f>VLOOKUP($A246,'S0 remplacer avec S44'!$C:$BQ,22,0)</f>
        <v>2254.0992249999999</v>
      </c>
      <c r="F246" s="115">
        <f>VLOOKUP($A246,'S0 remplacer avec S44'!$C:$BQ,29,0)</f>
        <v>138</v>
      </c>
      <c r="G246" s="115">
        <f>VLOOKUP($A246,'S0 remplacer avec S44'!$C:$BQ,30,0)</f>
        <v>617</v>
      </c>
      <c r="H246" s="115">
        <f>VLOOKUP($A246,'S0 remplacer avec S44'!$C:$BQ,52,0)</f>
        <v>126.4</v>
      </c>
      <c r="I246" s="115">
        <f>VLOOKUP($A246,'S0 remplacer avec S44'!$C:$BQ,59,0)</f>
        <v>8</v>
      </c>
      <c r="J246" s="115">
        <f>VLOOKUP($A246,'S0 remplacer avec S44'!$C:$BQ,60,0)</f>
        <v>34</v>
      </c>
      <c r="K246" s="107" t="e">
        <f>VLOOKUP($A246,'S45'!$C:$BQ,32,0)</f>
        <v>#N/A</v>
      </c>
      <c r="L246" s="107" t="e">
        <f>VLOOKUP($A246,'S45'!$C:$BQ,39,0)</f>
        <v>#N/A</v>
      </c>
      <c r="M246" s="107" t="e">
        <f>VLOOKUP($A246,'S45'!$C:$BQ,40,0)</f>
        <v>#N/A</v>
      </c>
      <c r="N246" s="107" t="e">
        <f>VLOOKUP($A246,'S45'!$C:$BQ,22,0)</f>
        <v>#N/A</v>
      </c>
      <c r="O246" s="115" t="e">
        <f>VLOOKUP($A246,'S45'!$C:$BQ,29,0)</f>
        <v>#N/A</v>
      </c>
      <c r="P246" s="115" t="e">
        <f>VLOOKUP($A246,'S45'!$C:$BQ,30,0)</f>
        <v>#N/A</v>
      </c>
      <c r="Q246" s="115" t="e">
        <f>VLOOKUP($A246,'S45'!$C:$BQ,52,0)</f>
        <v>#N/A</v>
      </c>
      <c r="R246" s="115" t="e">
        <f>VLOOKUP($A246,'S45'!$C:$BQ,59,0)</f>
        <v>#N/A</v>
      </c>
      <c r="S246" s="115" t="e">
        <f>VLOOKUP($A246,'S45'!$C:$BQ,60,0)</f>
        <v>#N/A</v>
      </c>
      <c r="T246" s="107" t="e">
        <f>VLOOKUP($A246,'S46'!$C:$BQ,32,0)</f>
        <v>#N/A</v>
      </c>
      <c r="U246" s="107" t="e">
        <f>VLOOKUP($A246,'S46'!$C:$BQ,39,0)</f>
        <v>#N/A</v>
      </c>
      <c r="V246" s="107" t="e">
        <f>VLOOKUP($A246,'S46'!$C:$BQ,40,0)</f>
        <v>#N/A</v>
      </c>
      <c r="W246" s="107" t="e">
        <f>VLOOKUP($A246,'S46'!$C:$BQ,22,0)</f>
        <v>#N/A</v>
      </c>
      <c r="X246" s="115" t="e">
        <f>VLOOKUP($A246,'S46'!$C:$BQ,29,0)</f>
        <v>#N/A</v>
      </c>
      <c r="Y246" s="115" t="e">
        <f>VLOOKUP($A246,'S46'!$C:$BQ,30,0)</f>
        <v>#N/A</v>
      </c>
      <c r="Z246" s="115" t="e">
        <f>VLOOKUP($A246,'S46'!$C:$BQ,52,0)</f>
        <v>#N/A</v>
      </c>
      <c r="AA246" s="115" t="e">
        <f>VLOOKUP($A246,'S46'!$C:$BQ,59,0)</f>
        <v>#N/A</v>
      </c>
      <c r="AB246" s="115" t="e">
        <f>VLOOKUP($A246,'S46'!$C:$BQ,60,0)</f>
        <v>#N/A</v>
      </c>
      <c r="AC246" s="107" t="e">
        <f>VLOOKUP($A246,'S47'!$C:$BQ,32,0)</f>
        <v>#N/A</v>
      </c>
      <c r="AD246" s="107" t="e">
        <f>VLOOKUP($A246,'S47'!$C:$BQ,39,0)</f>
        <v>#N/A</v>
      </c>
      <c r="AE246" s="107" t="e">
        <f>VLOOKUP($A246,'S47'!$C:$BQ,40,0)</f>
        <v>#N/A</v>
      </c>
      <c r="AF246" s="107" t="e">
        <f>VLOOKUP($A246,'S47'!$C:$BQ,22,0)</f>
        <v>#N/A</v>
      </c>
      <c r="AG246" s="115" t="e">
        <f>VLOOKUP($A246,'S47'!$C:$BQ,29,0)</f>
        <v>#N/A</v>
      </c>
      <c r="AH246" s="115" t="e">
        <f>VLOOKUP($A246,'S47'!$C:$BQ,30,0)</f>
        <v>#N/A</v>
      </c>
      <c r="AI246" s="115" t="e">
        <f>VLOOKUP($A246,'S47'!$C:$BQ,52,0)</f>
        <v>#N/A</v>
      </c>
      <c r="AJ246" s="115" t="e">
        <f>VLOOKUP($A246,'S47'!$C:$BQ,59,0)</f>
        <v>#N/A</v>
      </c>
      <c r="AK246" s="115" t="e">
        <f>VLOOKUP($A246,'S47'!$C:$BQ,60,0)</f>
        <v>#N/A</v>
      </c>
      <c r="AL246" s="107" t="e">
        <f>VLOOKUP($A246,'S48'!$C:$BQ,32,0)</f>
        <v>#N/A</v>
      </c>
      <c r="AM246" s="107" t="e">
        <f>VLOOKUP($A246,'S48'!$C:$BQ,39,0)</f>
        <v>#N/A</v>
      </c>
      <c r="AN246" s="107" t="e">
        <f>VLOOKUP($A246,'S48'!$C:$BQ,40,0)</f>
        <v>#N/A</v>
      </c>
      <c r="AO246" s="107" t="e">
        <f>VLOOKUP($A246,'S48'!$C:$BQ,22,0)</f>
        <v>#N/A</v>
      </c>
      <c r="AP246" s="115" t="e">
        <f>VLOOKUP($A246,'S48'!$C:$BQ,29,0)</f>
        <v>#N/A</v>
      </c>
      <c r="AQ246" s="115" t="e">
        <f>VLOOKUP($A246,'S48'!$C:$BQ,30,0)</f>
        <v>#N/A</v>
      </c>
      <c r="AR246" s="115" t="e">
        <f>VLOOKUP($A246,'S48'!$C:$BQ,52,0)</f>
        <v>#N/A</v>
      </c>
      <c r="AS246" s="115" t="e">
        <f>VLOOKUP($A246,'S48'!$C:$BQ,59,0)</f>
        <v>#N/A</v>
      </c>
      <c r="AT246" s="115" t="e">
        <f>VLOOKUP($A246,'S48'!$C:$BQ,60,0)</f>
        <v>#N/A</v>
      </c>
      <c r="AU246" s="107" t="e">
        <f>VLOOKUP($A246,'S49'!$C:$BQ,32,0)</f>
        <v>#N/A</v>
      </c>
      <c r="AV246" s="107" t="e">
        <f>VLOOKUP($A246,'S49'!$C:$BQ,39,0)</f>
        <v>#N/A</v>
      </c>
      <c r="AW246" s="107" t="e">
        <f>VLOOKUP($A246,'S49'!$C:$BQ,40,0)</f>
        <v>#N/A</v>
      </c>
      <c r="AX246" s="107" t="e">
        <f>VLOOKUP($A246,'S49'!$C:$BQ,22,0)</f>
        <v>#N/A</v>
      </c>
      <c r="AY246" s="115" t="e">
        <f>VLOOKUP($A246,'S49'!$C:$BQ,29,0)</f>
        <v>#N/A</v>
      </c>
      <c r="AZ246" s="115" t="e">
        <f>VLOOKUP($A246,'S49'!$C:$BQ,30,0)</f>
        <v>#N/A</v>
      </c>
      <c r="BA246" s="115" t="e">
        <f>VLOOKUP($A246,'S49'!$C:$BQ,52,0)</f>
        <v>#N/A</v>
      </c>
      <c r="BB246" s="115" t="e">
        <f>VLOOKUP($A246,'S49'!$C:$BQ,59,0)</f>
        <v>#N/A</v>
      </c>
      <c r="BC246" s="115" t="e">
        <f>VLOOKUP($A246,'S49'!$C:$BQ,60,0)</f>
        <v>#N/A</v>
      </c>
      <c r="BD246" s="107" t="e">
        <f>VLOOKUP($A246,'S50'!$C:$BQ,32,0)</f>
        <v>#N/A</v>
      </c>
      <c r="BE246" s="107" t="e">
        <f>VLOOKUP($A246,'S50'!$C:$BQ,39,0)</f>
        <v>#N/A</v>
      </c>
      <c r="BF246" s="107" t="e">
        <f>VLOOKUP($A246,'S50'!$C:$BQ,40,0)</f>
        <v>#N/A</v>
      </c>
      <c r="BG246" s="107" t="e">
        <f>VLOOKUP($A246,'S50'!$C:$BQ,22,0)</f>
        <v>#N/A</v>
      </c>
      <c r="BH246" s="115" t="e">
        <f>VLOOKUP($A246,'S50'!$C:$BQ,29,0)</f>
        <v>#N/A</v>
      </c>
      <c r="BI246" s="115" t="e">
        <f>VLOOKUP($A246,'S50'!$C:$BQ,30,0)</f>
        <v>#N/A</v>
      </c>
      <c r="BJ246" s="115" t="e">
        <f>VLOOKUP($A246,'S50'!$C:$BQ,52,0)</f>
        <v>#N/A</v>
      </c>
      <c r="BK246" s="115" t="e">
        <f>VLOOKUP($A246,'S50'!$C:$BQ,59,0)</f>
        <v>#N/A</v>
      </c>
      <c r="BL246" s="115" t="e">
        <f>VLOOKUP($A246,'S50'!$C:$BQ,60,0)</f>
        <v>#N/A</v>
      </c>
    </row>
    <row r="247" spans="1:64" x14ac:dyDescent="0.2">
      <c r="A247" s="106" t="s">
        <v>319</v>
      </c>
      <c r="B247" s="107">
        <f>VLOOKUP($A247,'S0 remplacer avec S44'!$C:$BQ,32,0)</f>
        <v>220.55</v>
      </c>
      <c r="C247" s="107">
        <f>VLOOKUP($A247,'S0 remplacer avec S44'!$C:$BQ,39,0)</f>
        <v>0</v>
      </c>
      <c r="D247" s="107">
        <f>VLOOKUP($A247,'S0 remplacer avec S44'!$C:$BQ,40,0)</f>
        <v>0</v>
      </c>
      <c r="E247" s="107">
        <f>VLOOKUP($A247,'S0 remplacer avec S44'!$C:$BQ,22,0)</f>
        <v>1677.2307450000001</v>
      </c>
      <c r="F247" s="115">
        <f>VLOOKUP($A247,'S0 remplacer avec S44'!$C:$BQ,29,0)</f>
        <v>0</v>
      </c>
      <c r="G247" s="115">
        <f>VLOOKUP($A247,'S0 remplacer avec S44'!$C:$BQ,30,0)</f>
        <v>79</v>
      </c>
      <c r="H247" s="115">
        <f>VLOOKUP($A247,'S0 remplacer avec S44'!$C:$BQ,52,0)</f>
        <v>97.6</v>
      </c>
      <c r="I247" s="115">
        <f>VLOOKUP($A247,'S0 remplacer avec S44'!$C:$BQ,59,0)</f>
        <v>0</v>
      </c>
      <c r="J247" s="115">
        <f>VLOOKUP($A247,'S0 remplacer avec S44'!$C:$BQ,60,0)</f>
        <v>1</v>
      </c>
      <c r="K247" s="107" t="e">
        <f>VLOOKUP($A247,'S45'!$C:$BQ,32,0)</f>
        <v>#N/A</v>
      </c>
      <c r="L247" s="107" t="e">
        <f>VLOOKUP($A247,'S45'!$C:$BQ,39,0)</f>
        <v>#N/A</v>
      </c>
      <c r="M247" s="107" t="e">
        <f>VLOOKUP($A247,'S45'!$C:$BQ,40,0)</f>
        <v>#N/A</v>
      </c>
      <c r="N247" s="107" t="e">
        <f>VLOOKUP($A247,'S45'!$C:$BQ,22,0)</f>
        <v>#N/A</v>
      </c>
      <c r="O247" s="115" t="e">
        <f>VLOOKUP($A247,'S45'!$C:$BQ,29,0)</f>
        <v>#N/A</v>
      </c>
      <c r="P247" s="115" t="e">
        <f>VLOOKUP($A247,'S45'!$C:$BQ,30,0)</f>
        <v>#N/A</v>
      </c>
      <c r="Q247" s="115" t="e">
        <f>VLOOKUP($A247,'S45'!$C:$BQ,52,0)</f>
        <v>#N/A</v>
      </c>
      <c r="R247" s="115" t="e">
        <f>VLOOKUP($A247,'S45'!$C:$BQ,59,0)</f>
        <v>#N/A</v>
      </c>
      <c r="S247" s="115" t="e">
        <f>VLOOKUP($A247,'S45'!$C:$BQ,60,0)</f>
        <v>#N/A</v>
      </c>
      <c r="T247" s="107" t="e">
        <f>VLOOKUP($A247,'S46'!$C:$BQ,32,0)</f>
        <v>#N/A</v>
      </c>
      <c r="U247" s="107" t="e">
        <f>VLOOKUP($A247,'S46'!$C:$BQ,39,0)</f>
        <v>#N/A</v>
      </c>
      <c r="V247" s="107" t="e">
        <f>VLOOKUP($A247,'S46'!$C:$BQ,40,0)</f>
        <v>#N/A</v>
      </c>
      <c r="W247" s="107" t="e">
        <f>VLOOKUP($A247,'S46'!$C:$BQ,22,0)</f>
        <v>#N/A</v>
      </c>
      <c r="X247" s="115" t="e">
        <f>VLOOKUP($A247,'S46'!$C:$BQ,29,0)</f>
        <v>#N/A</v>
      </c>
      <c r="Y247" s="115" t="e">
        <f>VLOOKUP($A247,'S46'!$C:$BQ,30,0)</f>
        <v>#N/A</v>
      </c>
      <c r="Z247" s="115" t="e">
        <f>VLOOKUP($A247,'S46'!$C:$BQ,52,0)</f>
        <v>#N/A</v>
      </c>
      <c r="AA247" s="115" t="e">
        <f>VLOOKUP($A247,'S46'!$C:$BQ,59,0)</f>
        <v>#N/A</v>
      </c>
      <c r="AB247" s="115" t="e">
        <f>VLOOKUP($A247,'S46'!$C:$BQ,60,0)</f>
        <v>#N/A</v>
      </c>
      <c r="AC247" s="107" t="e">
        <f>VLOOKUP($A247,'S47'!$C:$BQ,32,0)</f>
        <v>#N/A</v>
      </c>
      <c r="AD247" s="107" t="e">
        <f>VLOOKUP($A247,'S47'!$C:$BQ,39,0)</f>
        <v>#N/A</v>
      </c>
      <c r="AE247" s="107" t="e">
        <f>VLOOKUP($A247,'S47'!$C:$BQ,40,0)</f>
        <v>#N/A</v>
      </c>
      <c r="AF247" s="107" t="e">
        <f>VLOOKUP($A247,'S47'!$C:$BQ,22,0)</f>
        <v>#N/A</v>
      </c>
      <c r="AG247" s="115" t="e">
        <f>VLOOKUP($A247,'S47'!$C:$BQ,29,0)</f>
        <v>#N/A</v>
      </c>
      <c r="AH247" s="115" t="e">
        <f>VLOOKUP($A247,'S47'!$C:$BQ,30,0)</f>
        <v>#N/A</v>
      </c>
      <c r="AI247" s="115" t="e">
        <f>VLOOKUP($A247,'S47'!$C:$BQ,52,0)</f>
        <v>#N/A</v>
      </c>
      <c r="AJ247" s="115" t="e">
        <f>VLOOKUP($A247,'S47'!$C:$BQ,59,0)</f>
        <v>#N/A</v>
      </c>
      <c r="AK247" s="115" t="e">
        <f>VLOOKUP($A247,'S47'!$C:$BQ,60,0)</f>
        <v>#N/A</v>
      </c>
      <c r="AL247" s="107" t="e">
        <f>VLOOKUP($A247,'S48'!$C:$BQ,32,0)</f>
        <v>#N/A</v>
      </c>
      <c r="AM247" s="107" t="e">
        <f>VLOOKUP($A247,'S48'!$C:$BQ,39,0)</f>
        <v>#N/A</v>
      </c>
      <c r="AN247" s="107" t="e">
        <f>VLOOKUP($A247,'S48'!$C:$BQ,40,0)</f>
        <v>#N/A</v>
      </c>
      <c r="AO247" s="107" t="e">
        <f>VLOOKUP($A247,'S48'!$C:$BQ,22,0)</f>
        <v>#N/A</v>
      </c>
      <c r="AP247" s="115" t="e">
        <f>VLOOKUP($A247,'S48'!$C:$BQ,29,0)</f>
        <v>#N/A</v>
      </c>
      <c r="AQ247" s="115" t="e">
        <f>VLOOKUP($A247,'S48'!$C:$BQ,30,0)</f>
        <v>#N/A</v>
      </c>
      <c r="AR247" s="115" t="e">
        <f>VLOOKUP($A247,'S48'!$C:$BQ,52,0)</f>
        <v>#N/A</v>
      </c>
      <c r="AS247" s="115" t="e">
        <f>VLOOKUP($A247,'S48'!$C:$BQ,59,0)</f>
        <v>#N/A</v>
      </c>
      <c r="AT247" s="115" t="e">
        <f>VLOOKUP($A247,'S48'!$C:$BQ,60,0)</f>
        <v>#N/A</v>
      </c>
      <c r="AU247" s="107" t="e">
        <f>VLOOKUP($A247,'S49'!$C:$BQ,32,0)</f>
        <v>#N/A</v>
      </c>
      <c r="AV247" s="107" t="e">
        <f>VLOOKUP($A247,'S49'!$C:$BQ,39,0)</f>
        <v>#N/A</v>
      </c>
      <c r="AW247" s="107" t="e">
        <f>VLOOKUP($A247,'S49'!$C:$BQ,40,0)</f>
        <v>#N/A</v>
      </c>
      <c r="AX247" s="107" t="e">
        <f>VLOOKUP($A247,'S49'!$C:$BQ,22,0)</f>
        <v>#N/A</v>
      </c>
      <c r="AY247" s="115" t="e">
        <f>VLOOKUP($A247,'S49'!$C:$BQ,29,0)</f>
        <v>#N/A</v>
      </c>
      <c r="AZ247" s="115" t="e">
        <f>VLOOKUP($A247,'S49'!$C:$BQ,30,0)</f>
        <v>#N/A</v>
      </c>
      <c r="BA247" s="115" t="e">
        <f>VLOOKUP($A247,'S49'!$C:$BQ,52,0)</f>
        <v>#N/A</v>
      </c>
      <c r="BB247" s="115" t="e">
        <f>VLOOKUP($A247,'S49'!$C:$BQ,59,0)</f>
        <v>#N/A</v>
      </c>
      <c r="BC247" s="115" t="e">
        <f>VLOOKUP($A247,'S49'!$C:$BQ,60,0)</f>
        <v>#N/A</v>
      </c>
      <c r="BD247" s="107" t="e">
        <f>VLOOKUP($A247,'S50'!$C:$BQ,32,0)</f>
        <v>#N/A</v>
      </c>
      <c r="BE247" s="107" t="e">
        <f>VLOOKUP($A247,'S50'!$C:$BQ,39,0)</f>
        <v>#N/A</v>
      </c>
      <c r="BF247" s="107" t="e">
        <f>VLOOKUP($A247,'S50'!$C:$BQ,40,0)</f>
        <v>#N/A</v>
      </c>
      <c r="BG247" s="107" t="e">
        <f>VLOOKUP($A247,'S50'!$C:$BQ,22,0)</f>
        <v>#N/A</v>
      </c>
      <c r="BH247" s="115" t="e">
        <f>VLOOKUP($A247,'S50'!$C:$BQ,29,0)</f>
        <v>#N/A</v>
      </c>
      <c r="BI247" s="115" t="e">
        <f>VLOOKUP($A247,'S50'!$C:$BQ,30,0)</f>
        <v>#N/A</v>
      </c>
      <c r="BJ247" s="115" t="e">
        <f>VLOOKUP($A247,'S50'!$C:$BQ,52,0)</f>
        <v>#N/A</v>
      </c>
      <c r="BK247" s="115" t="e">
        <f>VLOOKUP($A247,'S50'!$C:$BQ,59,0)</f>
        <v>#N/A</v>
      </c>
      <c r="BL247" s="115" t="e">
        <f>VLOOKUP($A247,'S50'!$C:$BQ,60,0)</f>
        <v>#N/A</v>
      </c>
    </row>
    <row r="248" spans="1:64" x14ac:dyDescent="0.2">
      <c r="A248" s="106" t="s">
        <v>320</v>
      </c>
      <c r="B248" s="107">
        <f>VLOOKUP($A248,'S0 remplacer avec S44'!$C:$BQ,32,0)</f>
        <v>60.3</v>
      </c>
      <c r="C248" s="107">
        <f>VLOOKUP($A248,'S0 remplacer avec S44'!$C:$BQ,39,0)</f>
        <v>82</v>
      </c>
      <c r="D248" s="107">
        <f>VLOOKUP($A248,'S0 remplacer avec S44'!$C:$BQ,40,0)</f>
        <v>110</v>
      </c>
      <c r="E248" s="107">
        <f>VLOOKUP($A248,'S0 remplacer avec S44'!$C:$BQ,22,0)</f>
        <v>1086.08935</v>
      </c>
      <c r="F248" s="115">
        <f>VLOOKUP($A248,'S0 remplacer avec S44'!$C:$BQ,29,0)</f>
        <v>205</v>
      </c>
      <c r="G248" s="115">
        <f>VLOOKUP($A248,'S0 remplacer avec S44'!$C:$BQ,30,0)</f>
        <v>463</v>
      </c>
      <c r="H248" s="115">
        <f>VLOOKUP($A248,'S0 remplacer avec S44'!$C:$BQ,52,0)</f>
        <v>61.6</v>
      </c>
      <c r="I248" s="115">
        <f>VLOOKUP($A248,'S0 remplacer avec S44'!$C:$BQ,59,0)</f>
        <v>11</v>
      </c>
      <c r="J248" s="115">
        <f>VLOOKUP($A248,'S0 remplacer avec S44'!$C:$BQ,60,0)</f>
        <v>25</v>
      </c>
      <c r="K248" s="107" t="e">
        <f>VLOOKUP($A248,'S45'!$C:$BQ,32,0)</f>
        <v>#N/A</v>
      </c>
      <c r="L248" s="107" t="e">
        <f>VLOOKUP($A248,'S45'!$C:$BQ,39,0)</f>
        <v>#N/A</v>
      </c>
      <c r="M248" s="107" t="e">
        <f>VLOOKUP($A248,'S45'!$C:$BQ,40,0)</f>
        <v>#N/A</v>
      </c>
      <c r="N248" s="107" t="e">
        <f>VLOOKUP($A248,'S45'!$C:$BQ,22,0)</f>
        <v>#N/A</v>
      </c>
      <c r="O248" s="115" t="e">
        <f>VLOOKUP($A248,'S45'!$C:$BQ,29,0)</f>
        <v>#N/A</v>
      </c>
      <c r="P248" s="115" t="e">
        <f>VLOOKUP($A248,'S45'!$C:$BQ,30,0)</f>
        <v>#N/A</v>
      </c>
      <c r="Q248" s="115" t="e">
        <f>VLOOKUP($A248,'S45'!$C:$BQ,52,0)</f>
        <v>#N/A</v>
      </c>
      <c r="R248" s="115" t="e">
        <f>VLOOKUP($A248,'S45'!$C:$BQ,59,0)</f>
        <v>#N/A</v>
      </c>
      <c r="S248" s="115" t="e">
        <f>VLOOKUP($A248,'S45'!$C:$BQ,60,0)</f>
        <v>#N/A</v>
      </c>
      <c r="T248" s="107" t="e">
        <f>VLOOKUP($A248,'S46'!$C:$BQ,32,0)</f>
        <v>#N/A</v>
      </c>
      <c r="U248" s="107" t="e">
        <f>VLOOKUP($A248,'S46'!$C:$BQ,39,0)</f>
        <v>#N/A</v>
      </c>
      <c r="V248" s="107" t="e">
        <f>VLOOKUP($A248,'S46'!$C:$BQ,40,0)</f>
        <v>#N/A</v>
      </c>
      <c r="W248" s="107" t="e">
        <f>VLOOKUP($A248,'S46'!$C:$BQ,22,0)</f>
        <v>#N/A</v>
      </c>
      <c r="X248" s="115" t="e">
        <f>VLOOKUP($A248,'S46'!$C:$BQ,29,0)</f>
        <v>#N/A</v>
      </c>
      <c r="Y248" s="115" t="e">
        <f>VLOOKUP($A248,'S46'!$C:$BQ,30,0)</f>
        <v>#N/A</v>
      </c>
      <c r="Z248" s="115" t="e">
        <f>VLOOKUP($A248,'S46'!$C:$BQ,52,0)</f>
        <v>#N/A</v>
      </c>
      <c r="AA248" s="115" t="e">
        <f>VLOOKUP($A248,'S46'!$C:$BQ,59,0)</f>
        <v>#N/A</v>
      </c>
      <c r="AB248" s="115" t="e">
        <f>VLOOKUP($A248,'S46'!$C:$BQ,60,0)</f>
        <v>#N/A</v>
      </c>
      <c r="AC248" s="107" t="e">
        <f>VLOOKUP($A248,'S47'!$C:$BQ,32,0)</f>
        <v>#N/A</v>
      </c>
      <c r="AD248" s="107" t="e">
        <f>VLOOKUP($A248,'S47'!$C:$BQ,39,0)</f>
        <v>#N/A</v>
      </c>
      <c r="AE248" s="107" t="e">
        <f>VLOOKUP($A248,'S47'!$C:$BQ,40,0)</f>
        <v>#N/A</v>
      </c>
      <c r="AF248" s="107" t="e">
        <f>VLOOKUP($A248,'S47'!$C:$BQ,22,0)</f>
        <v>#N/A</v>
      </c>
      <c r="AG248" s="115" t="e">
        <f>VLOOKUP($A248,'S47'!$C:$BQ,29,0)</f>
        <v>#N/A</v>
      </c>
      <c r="AH248" s="115" t="e">
        <f>VLOOKUP($A248,'S47'!$C:$BQ,30,0)</f>
        <v>#N/A</v>
      </c>
      <c r="AI248" s="115" t="e">
        <f>VLOOKUP($A248,'S47'!$C:$BQ,52,0)</f>
        <v>#N/A</v>
      </c>
      <c r="AJ248" s="115" t="e">
        <f>VLOOKUP($A248,'S47'!$C:$BQ,59,0)</f>
        <v>#N/A</v>
      </c>
      <c r="AK248" s="115" t="e">
        <f>VLOOKUP($A248,'S47'!$C:$BQ,60,0)</f>
        <v>#N/A</v>
      </c>
      <c r="AL248" s="107" t="e">
        <f>VLOOKUP($A248,'S48'!$C:$BQ,32,0)</f>
        <v>#N/A</v>
      </c>
      <c r="AM248" s="107" t="e">
        <f>VLOOKUP($A248,'S48'!$C:$BQ,39,0)</f>
        <v>#N/A</v>
      </c>
      <c r="AN248" s="107" t="e">
        <f>VLOOKUP($A248,'S48'!$C:$BQ,40,0)</f>
        <v>#N/A</v>
      </c>
      <c r="AO248" s="107" t="e">
        <f>VLOOKUP($A248,'S48'!$C:$BQ,22,0)</f>
        <v>#N/A</v>
      </c>
      <c r="AP248" s="115" t="e">
        <f>VLOOKUP($A248,'S48'!$C:$BQ,29,0)</f>
        <v>#N/A</v>
      </c>
      <c r="AQ248" s="115" t="e">
        <f>VLOOKUP($A248,'S48'!$C:$BQ,30,0)</f>
        <v>#N/A</v>
      </c>
      <c r="AR248" s="115" t="e">
        <f>VLOOKUP($A248,'S48'!$C:$BQ,52,0)</f>
        <v>#N/A</v>
      </c>
      <c r="AS248" s="115" t="e">
        <f>VLOOKUP($A248,'S48'!$C:$BQ,59,0)</f>
        <v>#N/A</v>
      </c>
      <c r="AT248" s="115" t="e">
        <f>VLOOKUP($A248,'S48'!$C:$BQ,60,0)</f>
        <v>#N/A</v>
      </c>
      <c r="AU248" s="107" t="e">
        <f>VLOOKUP($A248,'S49'!$C:$BQ,32,0)</f>
        <v>#N/A</v>
      </c>
      <c r="AV248" s="107" t="e">
        <f>VLOOKUP($A248,'S49'!$C:$BQ,39,0)</f>
        <v>#N/A</v>
      </c>
      <c r="AW248" s="107" t="e">
        <f>VLOOKUP($A248,'S49'!$C:$BQ,40,0)</f>
        <v>#N/A</v>
      </c>
      <c r="AX248" s="107" t="e">
        <f>VLOOKUP($A248,'S49'!$C:$BQ,22,0)</f>
        <v>#N/A</v>
      </c>
      <c r="AY248" s="115" t="e">
        <f>VLOOKUP($A248,'S49'!$C:$BQ,29,0)</f>
        <v>#N/A</v>
      </c>
      <c r="AZ248" s="115" t="e">
        <f>VLOOKUP($A248,'S49'!$C:$BQ,30,0)</f>
        <v>#N/A</v>
      </c>
      <c r="BA248" s="115" t="e">
        <f>VLOOKUP($A248,'S49'!$C:$BQ,52,0)</f>
        <v>#N/A</v>
      </c>
      <c r="BB248" s="115" t="e">
        <f>VLOOKUP($A248,'S49'!$C:$BQ,59,0)</f>
        <v>#N/A</v>
      </c>
      <c r="BC248" s="115" t="e">
        <f>VLOOKUP($A248,'S49'!$C:$BQ,60,0)</f>
        <v>#N/A</v>
      </c>
      <c r="BD248" s="107" t="e">
        <f>VLOOKUP($A248,'S50'!$C:$BQ,32,0)</f>
        <v>#N/A</v>
      </c>
      <c r="BE248" s="107" t="e">
        <f>VLOOKUP($A248,'S50'!$C:$BQ,39,0)</f>
        <v>#N/A</v>
      </c>
      <c r="BF248" s="107" t="e">
        <f>VLOOKUP($A248,'S50'!$C:$BQ,40,0)</f>
        <v>#N/A</v>
      </c>
      <c r="BG248" s="107" t="e">
        <f>VLOOKUP($A248,'S50'!$C:$BQ,22,0)</f>
        <v>#N/A</v>
      </c>
      <c r="BH248" s="115" t="e">
        <f>VLOOKUP($A248,'S50'!$C:$BQ,29,0)</f>
        <v>#N/A</v>
      </c>
      <c r="BI248" s="115" t="e">
        <f>VLOOKUP($A248,'S50'!$C:$BQ,30,0)</f>
        <v>#N/A</v>
      </c>
      <c r="BJ248" s="115" t="e">
        <f>VLOOKUP($A248,'S50'!$C:$BQ,52,0)</f>
        <v>#N/A</v>
      </c>
      <c r="BK248" s="115" t="e">
        <f>VLOOKUP($A248,'S50'!$C:$BQ,59,0)</f>
        <v>#N/A</v>
      </c>
      <c r="BL248" s="115" t="e">
        <f>VLOOKUP($A248,'S50'!$C:$BQ,60,0)</f>
        <v>#N/A</v>
      </c>
    </row>
    <row r="249" spans="1:64" x14ac:dyDescent="0.2">
      <c r="A249" s="106" t="s">
        <v>321</v>
      </c>
      <c r="B249" s="107">
        <f>VLOOKUP($A249,'S0 remplacer avec S44'!$C:$BQ,32,0)</f>
        <v>107.05</v>
      </c>
      <c r="C249" s="107">
        <f>VLOOKUP($A249,'S0 remplacer avec S44'!$C:$BQ,39,0)</f>
        <v>72</v>
      </c>
      <c r="D249" s="107">
        <f>VLOOKUP($A249,'S0 remplacer avec S44'!$C:$BQ,40,0)</f>
        <v>108</v>
      </c>
      <c r="E249" s="107">
        <f>VLOOKUP($A249,'S0 remplacer avec S44'!$C:$BQ,22,0)</f>
        <v>906.45474999999999</v>
      </c>
      <c r="F249" s="115">
        <f>VLOOKUP($A249,'S0 remplacer avec S44'!$C:$BQ,29,0)</f>
        <v>721</v>
      </c>
      <c r="G249" s="115">
        <f>VLOOKUP($A249,'S0 remplacer avec S44'!$C:$BQ,30,0)</f>
        <v>1047</v>
      </c>
      <c r="H249" s="115">
        <f>VLOOKUP($A249,'S0 remplacer avec S44'!$C:$BQ,52,0)</f>
        <v>53.4</v>
      </c>
      <c r="I249" s="115">
        <f>VLOOKUP($A249,'S0 remplacer avec S44'!$C:$BQ,59,0)</f>
        <v>38</v>
      </c>
      <c r="J249" s="115">
        <f>VLOOKUP($A249,'S0 remplacer avec S44'!$C:$BQ,60,0)</f>
        <v>56</v>
      </c>
      <c r="K249" s="107" t="e">
        <f>VLOOKUP($A249,'S45'!$C:$BQ,32,0)</f>
        <v>#N/A</v>
      </c>
      <c r="L249" s="107" t="e">
        <f>VLOOKUP($A249,'S45'!$C:$BQ,39,0)</f>
        <v>#N/A</v>
      </c>
      <c r="M249" s="107" t="e">
        <f>VLOOKUP($A249,'S45'!$C:$BQ,40,0)</f>
        <v>#N/A</v>
      </c>
      <c r="N249" s="107" t="e">
        <f>VLOOKUP($A249,'S45'!$C:$BQ,22,0)</f>
        <v>#N/A</v>
      </c>
      <c r="O249" s="115" t="e">
        <f>VLOOKUP($A249,'S45'!$C:$BQ,29,0)</f>
        <v>#N/A</v>
      </c>
      <c r="P249" s="115" t="e">
        <f>VLOOKUP($A249,'S45'!$C:$BQ,30,0)</f>
        <v>#N/A</v>
      </c>
      <c r="Q249" s="115" t="e">
        <f>VLOOKUP($A249,'S45'!$C:$BQ,52,0)</f>
        <v>#N/A</v>
      </c>
      <c r="R249" s="115" t="e">
        <f>VLOOKUP($A249,'S45'!$C:$BQ,59,0)</f>
        <v>#N/A</v>
      </c>
      <c r="S249" s="115" t="e">
        <f>VLOOKUP($A249,'S45'!$C:$BQ,60,0)</f>
        <v>#N/A</v>
      </c>
      <c r="T249" s="107" t="e">
        <f>VLOOKUP($A249,'S46'!$C:$BQ,32,0)</f>
        <v>#N/A</v>
      </c>
      <c r="U249" s="107" t="e">
        <f>VLOOKUP($A249,'S46'!$C:$BQ,39,0)</f>
        <v>#N/A</v>
      </c>
      <c r="V249" s="107" t="e">
        <f>VLOOKUP($A249,'S46'!$C:$BQ,40,0)</f>
        <v>#N/A</v>
      </c>
      <c r="W249" s="107" t="e">
        <f>VLOOKUP($A249,'S46'!$C:$BQ,22,0)</f>
        <v>#N/A</v>
      </c>
      <c r="X249" s="115" t="e">
        <f>VLOOKUP($A249,'S46'!$C:$BQ,29,0)</f>
        <v>#N/A</v>
      </c>
      <c r="Y249" s="115" t="e">
        <f>VLOOKUP($A249,'S46'!$C:$BQ,30,0)</f>
        <v>#N/A</v>
      </c>
      <c r="Z249" s="115" t="e">
        <f>VLOOKUP($A249,'S46'!$C:$BQ,52,0)</f>
        <v>#N/A</v>
      </c>
      <c r="AA249" s="115" t="e">
        <f>VLOOKUP($A249,'S46'!$C:$BQ,59,0)</f>
        <v>#N/A</v>
      </c>
      <c r="AB249" s="115" t="e">
        <f>VLOOKUP($A249,'S46'!$C:$BQ,60,0)</f>
        <v>#N/A</v>
      </c>
      <c r="AC249" s="107" t="e">
        <f>VLOOKUP($A249,'S47'!$C:$BQ,32,0)</f>
        <v>#N/A</v>
      </c>
      <c r="AD249" s="107" t="e">
        <f>VLOOKUP($A249,'S47'!$C:$BQ,39,0)</f>
        <v>#N/A</v>
      </c>
      <c r="AE249" s="107" t="e">
        <f>VLOOKUP($A249,'S47'!$C:$BQ,40,0)</f>
        <v>#N/A</v>
      </c>
      <c r="AF249" s="107" t="e">
        <f>VLOOKUP($A249,'S47'!$C:$BQ,22,0)</f>
        <v>#N/A</v>
      </c>
      <c r="AG249" s="115" t="e">
        <f>VLOOKUP($A249,'S47'!$C:$BQ,29,0)</f>
        <v>#N/A</v>
      </c>
      <c r="AH249" s="115" t="e">
        <f>VLOOKUP($A249,'S47'!$C:$BQ,30,0)</f>
        <v>#N/A</v>
      </c>
      <c r="AI249" s="115" t="e">
        <f>VLOOKUP($A249,'S47'!$C:$BQ,52,0)</f>
        <v>#N/A</v>
      </c>
      <c r="AJ249" s="115" t="e">
        <f>VLOOKUP($A249,'S47'!$C:$BQ,59,0)</f>
        <v>#N/A</v>
      </c>
      <c r="AK249" s="115" t="e">
        <f>VLOOKUP($A249,'S47'!$C:$BQ,60,0)</f>
        <v>#N/A</v>
      </c>
      <c r="AL249" s="107" t="e">
        <f>VLOOKUP($A249,'S48'!$C:$BQ,32,0)</f>
        <v>#N/A</v>
      </c>
      <c r="AM249" s="107" t="e">
        <f>VLOOKUP($A249,'S48'!$C:$BQ,39,0)</f>
        <v>#N/A</v>
      </c>
      <c r="AN249" s="107" t="e">
        <f>VLOOKUP($A249,'S48'!$C:$BQ,40,0)</f>
        <v>#N/A</v>
      </c>
      <c r="AO249" s="107" t="e">
        <f>VLOOKUP($A249,'S48'!$C:$BQ,22,0)</f>
        <v>#N/A</v>
      </c>
      <c r="AP249" s="115" t="e">
        <f>VLOOKUP($A249,'S48'!$C:$BQ,29,0)</f>
        <v>#N/A</v>
      </c>
      <c r="AQ249" s="115" t="e">
        <f>VLOOKUP($A249,'S48'!$C:$BQ,30,0)</f>
        <v>#N/A</v>
      </c>
      <c r="AR249" s="115" t="e">
        <f>VLOOKUP($A249,'S48'!$C:$BQ,52,0)</f>
        <v>#N/A</v>
      </c>
      <c r="AS249" s="115" t="e">
        <f>VLOOKUP($A249,'S48'!$C:$BQ,59,0)</f>
        <v>#N/A</v>
      </c>
      <c r="AT249" s="115" t="e">
        <f>VLOOKUP($A249,'S48'!$C:$BQ,60,0)</f>
        <v>#N/A</v>
      </c>
      <c r="AU249" s="107" t="e">
        <f>VLOOKUP($A249,'S49'!$C:$BQ,32,0)</f>
        <v>#N/A</v>
      </c>
      <c r="AV249" s="107" t="e">
        <f>VLOOKUP($A249,'S49'!$C:$BQ,39,0)</f>
        <v>#N/A</v>
      </c>
      <c r="AW249" s="107" t="e">
        <f>VLOOKUP($A249,'S49'!$C:$BQ,40,0)</f>
        <v>#N/A</v>
      </c>
      <c r="AX249" s="107" t="e">
        <f>VLOOKUP($A249,'S49'!$C:$BQ,22,0)</f>
        <v>#N/A</v>
      </c>
      <c r="AY249" s="115" t="e">
        <f>VLOOKUP($A249,'S49'!$C:$BQ,29,0)</f>
        <v>#N/A</v>
      </c>
      <c r="AZ249" s="115" t="e">
        <f>VLOOKUP($A249,'S49'!$C:$BQ,30,0)</f>
        <v>#N/A</v>
      </c>
      <c r="BA249" s="115" t="e">
        <f>VLOOKUP($A249,'S49'!$C:$BQ,52,0)</f>
        <v>#N/A</v>
      </c>
      <c r="BB249" s="115" t="e">
        <f>VLOOKUP($A249,'S49'!$C:$BQ,59,0)</f>
        <v>#N/A</v>
      </c>
      <c r="BC249" s="115" t="e">
        <f>VLOOKUP($A249,'S49'!$C:$BQ,60,0)</f>
        <v>#N/A</v>
      </c>
      <c r="BD249" s="107" t="e">
        <f>VLOOKUP($A249,'S50'!$C:$BQ,32,0)</f>
        <v>#N/A</v>
      </c>
      <c r="BE249" s="107" t="e">
        <f>VLOOKUP($A249,'S50'!$C:$BQ,39,0)</f>
        <v>#N/A</v>
      </c>
      <c r="BF249" s="107" t="e">
        <f>VLOOKUP($A249,'S50'!$C:$BQ,40,0)</f>
        <v>#N/A</v>
      </c>
      <c r="BG249" s="107" t="e">
        <f>VLOOKUP($A249,'S50'!$C:$BQ,22,0)</f>
        <v>#N/A</v>
      </c>
      <c r="BH249" s="115" t="e">
        <f>VLOOKUP($A249,'S50'!$C:$BQ,29,0)</f>
        <v>#N/A</v>
      </c>
      <c r="BI249" s="115" t="e">
        <f>VLOOKUP($A249,'S50'!$C:$BQ,30,0)</f>
        <v>#N/A</v>
      </c>
      <c r="BJ249" s="115" t="e">
        <f>VLOOKUP($A249,'S50'!$C:$BQ,52,0)</f>
        <v>#N/A</v>
      </c>
      <c r="BK249" s="115" t="e">
        <f>VLOOKUP($A249,'S50'!$C:$BQ,59,0)</f>
        <v>#N/A</v>
      </c>
      <c r="BL249" s="115" t="e">
        <f>VLOOKUP($A249,'S50'!$C:$BQ,60,0)</f>
        <v>#N/A</v>
      </c>
    </row>
    <row r="250" spans="1:64" x14ac:dyDescent="0.2">
      <c r="A250" s="106" t="s">
        <v>322</v>
      </c>
      <c r="B250" s="107">
        <f>VLOOKUP($A250,'S0 remplacer avec S44'!$C:$BQ,32,0)</f>
        <v>154.9</v>
      </c>
      <c r="C250" s="107">
        <f>VLOOKUP($A250,'S0 remplacer avec S44'!$C:$BQ,39,0)</f>
        <v>9</v>
      </c>
      <c r="D250" s="107">
        <f>VLOOKUP($A250,'S0 remplacer avec S44'!$C:$BQ,40,0)</f>
        <v>42</v>
      </c>
      <c r="E250" s="107">
        <f>VLOOKUP($A250,'S0 remplacer avec S44'!$C:$BQ,22,0)</f>
        <v>1959.1198750000001</v>
      </c>
      <c r="F250" s="115">
        <f>VLOOKUP($A250,'S0 remplacer avec S44'!$C:$BQ,29,0)</f>
        <v>0</v>
      </c>
      <c r="G250" s="115">
        <f>VLOOKUP($A250,'S0 remplacer avec S44'!$C:$BQ,30,0)</f>
        <v>0</v>
      </c>
      <c r="H250" s="115">
        <f>VLOOKUP($A250,'S0 remplacer avec S44'!$C:$BQ,52,0)</f>
        <v>86.8</v>
      </c>
      <c r="I250" s="115">
        <f>VLOOKUP($A250,'S0 remplacer avec S44'!$C:$BQ,59,0)</f>
        <v>0</v>
      </c>
      <c r="J250" s="115">
        <f>VLOOKUP($A250,'S0 remplacer avec S44'!$C:$BQ,60,0)</f>
        <v>13</v>
      </c>
      <c r="K250" s="107" t="e">
        <f>VLOOKUP($A250,'S45'!$C:$BQ,32,0)</f>
        <v>#N/A</v>
      </c>
      <c r="L250" s="107" t="e">
        <f>VLOOKUP($A250,'S45'!$C:$BQ,39,0)</f>
        <v>#N/A</v>
      </c>
      <c r="M250" s="107" t="e">
        <f>VLOOKUP($A250,'S45'!$C:$BQ,40,0)</f>
        <v>#N/A</v>
      </c>
      <c r="N250" s="107" t="e">
        <f>VLOOKUP($A250,'S45'!$C:$BQ,22,0)</f>
        <v>#N/A</v>
      </c>
      <c r="O250" s="115" t="e">
        <f>VLOOKUP($A250,'S45'!$C:$BQ,29,0)</f>
        <v>#N/A</v>
      </c>
      <c r="P250" s="115" t="e">
        <f>VLOOKUP($A250,'S45'!$C:$BQ,30,0)</f>
        <v>#N/A</v>
      </c>
      <c r="Q250" s="115" t="e">
        <f>VLOOKUP($A250,'S45'!$C:$BQ,52,0)</f>
        <v>#N/A</v>
      </c>
      <c r="R250" s="115" t="e">
        <f>VLOOKUP($A250,'S45'!$C:$BQ,59,0)</f>
        <v>#N/A</v>
      </c>
      <c r="S250" s="115" t="e">
        <f>VLOOKUP($A250,'S45'!$C:$BQ,60,0)</f>
        <v>#N/A</v>
      </c>
      <c r="T250" s="107" t="e">
        <f>VLOOKUP($A250,'S46'!$C:$BQ,32,0)</f>
        <v>#N/A</v>
      </c>
      <c r="U250" s="107" t="e">
        <f>VLOOKUP($A250,'S46'!$C:$BQ,39,0)</f>
        <v>#N/A</v>
      </c>
      <c r="V250" s="107" t="e">
        <f>VLOOKUP($A250,'S46'!$C:$BQ,40,0)</f>
        <v>#N/A</v>
      </c>
      <c r="W250" s="107" t="e">
        <f>VLOOKUP($A250,'S46'!$C:$BQ,22,0)</f>
        <v>#N/A</v>
      </c>
      <c r="X250" s="115" t="e">
        <f>VLOOKUP($A250,'S46'!$C:$BQ,29,0)</f>
        <v>#N/A</v>
      </c>
      <c r="Y250" s="115" t="e">
        <f>VLOOKUP($A250,'S46'!$C:$BQ,30,0)</f>
        <v>#N/A</v>
      </c>
      <c r="Z250" s="115" t="e">
        <f>VLOOKUP($A250,'S46'!$C:$BQ,52,0)</f>
        <v>#N/A</v>
      </c>
      <c r="AA250" s="115" t="e">
        <f>VLOOKUP($A250,'S46'!$C:$BQ,59,0)</f>
        <v>#N/A</v>
      </c>
      <c r="AB250" s="115" t="e">
        <f>VLOOKUP($A250,'S46'!$C:$BQ,60,0)</f>
        <v>#N/A</v>
      </c>
      <c r="AC250" s="107" t="e">
        <f>VLOOKUP($A250,'S47'!$C:$BQ,32,0)</f>
        <v>#N/A</v>
      </c>
      <c r="AD250" s="107" t="e">
        <f>VLOOKUP($A250,'S47'!$C:$BQ,39,0)</f>
        <v>#N/A</v>
      </c>
      <c r="AE250" s="107" t="e">
        <f>VLOOKUP($A250,'S47'!$C:$BQ,40,0)</f>
        <v>#N/A</v>
      </c>
      <c r="AF250" s="107" t="e">
        <f>VLOOKUP($A250,'S47'!$C:$BQ,22,0)</f>
        <v>#N/A</v>
      </c>
      <c r="AG250" s="115" t="e">
        <f>VLOOKUP($A250,'S47'!$C:$BQ,29,0)</f>
        <v>#N/A</v>
      </c>
      <c r="AH250" s="115" t="e">
        <f>VLOOKUP($A250,'S47'!$C:$BQ,30,0)</f>
        <v>#N/A</v>
      </c>
      <c r="AI250" s="115" t="e">
        <f>VLOOKUP($A250,'S47'!$C:$BQ,52,0)</f>
        <v>#N/A</v>
      </c>
      <c r="AJ250" s="115" t="e">
        <f>VLOOKUP($A250,'S47'!$C:$BQ,59,0)</f>
        <v>#N/A</v>
      </c>
      <c r="AK250" s="115" t="e">
        <f>VLOOKUP($A250,'S47'!$C:$BQ,60,0)</f>
        <v>#N/A</v>
      </c>
      <c r="AL250" s="107" t="e">
        <f>VLOOKUP($A250,'S48'!$C:$BQ,32,0)</f>
        <v>#N/A</v>
      </c>
      <c r="AM250" s="107" t="e">
        <f>VLOOKUP($A250,'S48'!$C:$BQ,39,0)</f>
        <v>#N/A</v>
      </c>
      <c r="AN250" s="107" t="e">
        <f>VLOOKUP($A250,'S48'!$C:$BQ,40,0)</f>
        <v>#N/A</v>
      </c>
      <c r="AO250" s="107" t="e">
        <f>VLOOKUP($A250,'S48'!$C:$BQ,22,0)</f>
        <v>#N/A</v>
      </c>
      <c r="AP250" s="115" t="e">
        <f>VLOOKUP($A250,'S48'!$C:$BQ,29,0)</f>
        <v>#N/A</v>
      </c>
      <c r="AQ250" s="115" t="e">
        <f>VLOOKUP($A250,'S48'!$C:$BQ,30,0)</f>
        <v>#N/A</v>
      </c>
      <c r="AR250" s="115" t="e">
        <f>VLOOKUP($A250,'S48'!$C:$BQ,52,0)</f>
        <v>#N/A</v>
      </c>
      <c r="AS250" s="115" t="e">
        <f>VLOOKUP($A250,'S48'!$C:$BQ,59,0)</f>
        <v>#N/A</v>
      </c>
      <c r="AT250" s="115" t="e">
        <f>VLOOKUP($A250,'S48'!$C:$BQ,60,0)</f>
        <v>#N/A</v>
      </c>
      <c r="AU250" s="107" t="e">
        <f>VLOOKUP($A250,'S49'!$C:$BQ,32,0)</f>
        <v>#N/A</v>
      </c>
      <c r="AV250" s="107" t="e">
        <f>VLOOKUP($A250,'S49'!$C:$BQ,39,0)</f>
        <v>#N/A</v>
      </c>
      <c r="AW250" s="107" t="e">
        <f>VLOOKUP($A250,'S49'!$C:$BQ,40,0)</f>
        <v>#N/A</v>
      </c>
      <c r="AX250" s="107" t="e">
        <f>VLOOKUP($A250,'S49'!$C:$BQ,22,0)</f>
        <v>#N/A</v>
      </c>
      <c r="AY250" s="115" t="e">
        <f>VLOOKUP($A250,'S49'!$C:$BQ,29,0)</f>
        <v>#N/A</v>
      </c>
      <c r="AZ250" s="115" t="e">
        <f>VLOOKUP($A250,'S49'!$C:$BQ,30,0)</f>
        <v>#N/A</v>
      </c>
      <c r="BA250" s="115" t="e">
        <f>VLOOKUP($A250,'S49'!$C:$BQ,52,0)</f>
        <v>#N/A</v>
      </c>
      <c r="BB250" s="115" t="e">
        <f>VLOOKUP($A250,'S49'!$C:$BQ,59,0)</f>
        <v>#N/A</v>
      </c>
      <c r="BC250" s="115" t="e">
        <f>VLOOKUP($A250,'S49'!$C:$BQ,60,0)</f>
        <v>#N/A</v>
      </c>
      <c r="BD250" s="107" t="e">
        <f>VLOOKUP($A250,'S50'!$C:$BQ,32,0)</f>
        <v>#N/A</v>
      </c>
      <c r="BE250" s="107" t="e">
        <f>VLOOKUP($A250,'S50'!$C:$BQ,39,0)</f>
        <v>#N/A</v>
      </c>
      <c r="BF250" s="107" t="e">
        <f>VLOOKUP($A250,'S50'!$C:$BQ,40,0)</f>
        <v>#N/A</v>
      </c>
      <c r="BG250" s="107" t="e">
        <f>VLOOKUP($A250,'S50'!$C:$BQ,22,0)</f>
        <v>#N/A</v>
      </c>
      <c r="BH250" s="115" t="e">
        <f>VLOOKUP($A250,'S50'!$C:$BQ,29,0)</f>
        <v>#N/A</v>
      </c>
      <c r="BI250" s="115" t="e">
        <f>VLOOKUP($A250,'S50'!$C:$BQ,30,0)</f>
        <v>#N/A</v>
      </c>
      <c r="BJ250" s="115" t="e">
        <f>VLOOKUP($A250,'S50'!$C:$BQ,52,0)</f>
        <v>#N/A</v>
      </c>
      <c r="BK250" s="115" t="e">
        <f>VLOOKUP($A250,'S50'!$C:$BQ,59,0)</f>
        <v>#N/A</v>
      </c>
      <c r="BL250" s="115" t="e">
        <f>VLOOKUP($A250,'S50'!$C:$BQ,60,0)</f>
        <v>#N/A</v>
      </c>
    </row>
    <row r="251" spans="1:64" x14ac:dyDescent="0.2">
      <c r="A251" s="106" t="s">
        <v>323</v>
      </c>
      <c r="B251" s="107">
        <f>VLOOKUP($A251,'S0 remplacer avec S44'!$C:$BQ,32,0)</f>
        <v>118.25</v>
      </c>
      <c r="C251" s="107">
        <f>VLOOKUP($A251,'S0 remplacer avec S44'!$C:$BQ,39,0)</f>
        <v>98</v>
      </c>
      <c r="D251" s="107">
        <f>VLOOKUP($A251,'S0 remplacer avec S44'!$C:$BQ,40,0)</f>
        <v>141</v>
      </c>
      <c r="E251" s="107">
        <f>VLOOKUP($A251,'S0 remplacer avec S44'!$C:$BQ,22,0)</f>
        <v>2392.0116149999999</v>
      </c>
      <c r="F251" s="115">
        <f>VLOOKUP($A251,'S0 remplacer avec S44'!$C:$BQ,29,0)</f>
        <v>0</v>
      </c>
      <c r="G251" s="115">
        <f>VLOOKUP($A251,'S0 remplacer avec S44'!$C:$BQ,30,0)</f>
        <v>0</v>
      </c>
      <c r="H251" s="115">
        <f>VLOOKUP($A251,'S0 remplacer avec S44'!$C:$BQ,52,0)</f>
        <v>144.6</v>
      </c>
      <c r="I251" s="115">
        <f>VLOOKUP($A251,'S0 remplacer avec S44'!$C:$BQ,59,0)</f>
        <v>0</v>
      </c>
      <c r="J251" s="115">
        <f>VLOOKUP($A251,'S0 remplacer avec S44'!$C:$BQ,60,0)</f>
        <v>0</v>
      </c>
      <c r="K251" s="107" t="e">
        <f>VLOOKUP($A251,'S45'!$C:$BQ,32,0)</f>
        <v>#N/A</v>
      </c>
      <c r="L251" s="107" t="e">
        <f>VLOOKUP($A251,'S45'!$C:$BQ,39,0)</f>
        <v>#N/A</v>
      </c>
      <c r="M251" s="107" t="e">
        <f>VLOOKUP($A251,'S45'!$C:$BQ,40,0)</f>
        <v>#N/A</v>
      </c>
      <c r="N251" s="107" t="e">
        <f>VLOOKUP($A251,'S45'!$C:$BQ,22,0)</f>
        <v>#N/A</v>
      </c>
      <c r="O251" s="115" t="e">
        <f>VLOOKUP($A251,'S45'!$C:$BQ,29,0)</f>
        <v>#N/A</v>
      </c>
      <c r="P251" s="115" t="e">
        <f>VLOOKUP($A251,'S45'!$C:$BQ,30,0)</f>
        <v>#N/A</v>
      </c>
      <c r="Q251" s="115" t="e">
        <f>VLOOKUP($A251,'S45'!$C:$BQ,52,0)</f>
        <v>#N/A</v>
      </c>
      <c r="R251" s="115" t="e">
        <f>VLOOKUP($A251,'S45'!$C:$BQ,59,0)</f>
        <v>#N/A</v>
      </c>
      <c r="S251" s="115" t="e">
        <f>VLOOKUP($A251,'S45'!$C:$BQ,60,0)</f>
        <v>#N/A</v>
      </c>
      <c r="T251" s="107" t="e">
        <f>VLOOKUP($A251,'S46'!$C:$BQ,32,0)</f>
        <v>#N/A</v>
      </c>
      <c r="U251" s="107" t="e">
        <f>VLOOKUP($A251,'S46'!$C:$BQ,39,0)</f>
        <v>#N/A</v>
      </c>
      <c r="V251" s="107" t="e">
        <f>VLOOKUP($A251,'S46'!$C:$BQ,40,0)</f>
        <v>#N/A</v>
      </c>
      <c r="W251" s="107" t="e">
        <f>VLOOKUP($A251,'S46'!$C:$BQ,22,0)</f>
        <v>#N/A</v>
      </c>
      <c r="X251" s="115" t="e">
        <f>VLOOKUP($A251,'S46'!$C:$BQ,29,0)</f>
        <v>#N/A</v>
      </c>
      <c r="Y251" s="115" t="e">
        <f>VLOOKUP($A251,'S46'!$C:$BQ,30,0)</f>
        <v>#N/A</v>
      </c>
      <c r="Z251" s="115" t="e">
        <f>VLOOKUP($A251,'S46'!$C:$BQ,52,0)</f>
        <v>#N/A</v>
      </c>
      <c r="AA251" s="115" t="e">
        <f>VLOOKUP($A251,'S46'!$C:$BQ,59,0)</f>
        <v>#N/A</v>
      </c>
      <c r="AB251" s="115" t="e">
        <f>VLOOKUP($A251,'S46'!$C:$BQ,60,0)</f>
        <v>#N/A</v>
      </c>
      <c r="AC251" s="107" t="e">
        <f>VLOOKUP($A251,'S47'!$C:$BQ,32,0)</f>
        <v>#N/A</v>
      </c>
      <c r="AD251" s="107" t="e">
        <f>VLOOKUP($A251,'S47'!$C:$BQ,39,0)</f>
        <v>#N/A</v>
      </c>
      <c r="AE251" s="107" t="e">
        <f>VLOOKUP($A251,'S47'!$C:$BQ,40,0)</f>
        <v>#N/A</v>
      </c>
      <c r="AF251" s="107" t="e">
        <f>VLOOKUP($A251,'S47'!$C:$BQ,22,0)</f>
        <v>#N/A</v>
      </c>
      <c r="AG251" s="115" t="e">
        <f>VLOOKUP($A251,'S47'!$C:$BQ,29,0)</f>
        <v>#N/A</v>
      </c>
      <c r="AH251" s="115" t="e">
        <f>VLOOKUP($A251,'S47'!$C:$BQ,30,0)</f>
        <v>#N/A</v>
      </c>
      <c r="AI251" s="115" t="e">
        <f>VLOOKUP($A251,'S47'!$C:$BQ,52,0)</f>
        <v>#N/A</v>
      </c>
      <c r="AJ251" s="115" t="e">
        <f>VLOOKUP($A251,'S47'!$C:$BQ,59,0)</f>
        <v>#N/A</v>
      </c>
      <c r="AK251" s="115" t="e">
        <f>VLOOKUP($A251,'S47'!$C:$BQ,60,0)</f>
        <v>#N/A</v>
      </c>
      <c r="AL251" s="107" t="e">
        <f>VLOOKUP($A251,'S48'!$C:$BQ,32,0)</f>
        <v>#N/A</v>
      </c>
      <c r="AM251" s="107" t="e">
        <f>VLOOKUP($A251,'S48'!$C:$BQ,39,0)</f>
        <v>#N/A</v>
      </c>
      <c r="AN251" s="107" t="e">
        <f>VLOOKUP($A251,'S48'!$C:$BQ,40,0)</f>
        <v>#N/A</v>
      </c>
      <c r="AO251" s="107" t="e">
        <f>VLOOKUP($A251,'S48'!$C:$BQ,22,0)</f>
        <v>#N/A</v>
      </c>
      <c r="AP251" s="115" t="e">
        <f>VLOOKUP($A251,'S48'!$C:$BQ,29,0)</f>
        <v>#N/A</v>
      </c>
      <c r="AQ251" s="115" t="e">
        <f>VLOOKUP($A251,'S48'!$C:$BQ,30,0)</f>
        <v>#N/A</v>
      </c>
      <c r="AR251" s="115" t="e">
        <f>VLOOKUP($A251,'S48'!$C:$BQ,52,0)</f>
        <v>#N/A</v>
      </c>
      <c r="AS251" s="115" t="e">
        <f>VLOOKUP($A251,'S48'!$C:$BQ,59,0)</f>
        <v>#N/A</v>
      </c>
      <c r="AT251" s="115" t="e">
        <f>VLOOKUP($A251,'S48'!$C:$BQ,60,0)</f>
        <v>#N/A</v>
      </c>
      <c r="AU251" s="107" t="e">
        <f>VLOOKUP($A251,'S49'!$C:$BQ,32,0)</f>
        <v>#N/A</v>
      </c>
      <c r="AV251" s="107" t="e">
        <f>VLOOKUP($A251,'S49'!$C:$BQ,39,0)</f>
        <v>#N/A</v>
      </c>
      <c r="AW251" s="107" t="e">
        <f>VLOOKUP($A251,'S49'!$C:$BQ,40,0)</f>
        <v>#N/A</v>
      </c>
      <c r="AX251" s="107" t="e">
        <f>VLOOKUP($A251,'S49'!$C:$BQ,22,0)</f>
        <v>#N/A</v>
      </c>
      <c r="AY251" s="115" t="e">
        <f>VLOOKUP($A251,'S49'!$C:$BQ,29,0)</f>
        <v>#N/A</v>
      </c>
      <c r="AZ251" s="115" t="e">
        <f>VLOOKUP($A251,'S49'!$C:$BQ,30,0)</f>
        <v>#N/A</v>
      </c>
      <c r="BA251" s="115" t="e">
        <f>VLOOKUP($A251,'S49'!$C:$BQ,52,0)</f>
        <v>#N/A</v>
      </c>
      <c r="BB251" s="115" t="e">
        <f>VLOOKUP($A251,'S49'!$C:$BQ,59,0)</f>
        <v>#N/A</v>
      </c>
      <c r="BC251" s="115" t="e">
        <f>VLOOKUP($A251,'S49'!$C:$BQ,60,0)</f>
        <v>#N/A</v>
      </c>
      <c r="BD251" s="107" t="e">
        <f>VLOOKUP($A251,'S50'!$C:$BQ,32,0)</f>
        <v>#N/A</v>
      </c>
      <c r="BE251" s="107" t="e">
        <f>VLOOKUP($A251,'S50'!$C:$BQ,39,0)</f>
        <v>#N/A</v>
      </c>
      <c r="BF251" s="107" t="e">
        <f>VLOOKUP($A251,'S50'!$C:$BQ,40,0)</f>
        <v>#N/A</v>
      </c>
      <c r="BG251" s="107" t="e">
        <f>VLOOKUP($A251,'S50'!$C:$BQ,22,0)</f>
        <v>#N/A</v>
      </c>
      <c r="BH251" s="115" t="e">
        <f>VLOOKUP($A251,'S50'!$C:$BQ,29,0)</f>
        <v>#N/A</v>
      </c>
      <c r="BI251" s="115" t="e">
        <f>VLOOKUP($A251,'S50'!$C:$BQ,30,0)</f>
        <v>#N/A</v>
      </c>
      <c r="BJ251" s="115" t="e">
        <f>VLOOKUP($A251,'S50'!$C:$BQ,52,0)</f>
        <v>#N/A</v>
      </c>
      <c r="BK251" s="115" t="e">
        <f>VLOOKUP($A251,'S50'!$C:$BQ,59,0)</f>
        <v>#N/A</v>
      </c>
      <c r="BL251" s="115" t="e">
        <f>VLOOKUP($A251,'S50'!$C:$BQ,60,0)</f>
        <v>#N/A</v>
      </c>
    </row>
    <row r="252" spans="1:64" x14ac:dyDescent="0.2">
      <c r="A252" s="106" t="s">
        <v>324</v>
      </c>
      <c r="B252" s="107">
        <f>VLOOKUP($A252,'S0 remplacer avec S44'!$C:$BQ,32,0)</f>
        <v>192.8</v>
      </c>
      <c r="C252" s="107">
        <f>VLOOKUP($A252,'S0 remplacer avec S44'!$C:$BQ,39,0)</f>
        <v>0</v>
      </c>
      <c r="D252" s="107">
        <f>VLOOKUP($A252,'S0 remplacer avec S44'!$C:$BQ,40,0)</f>
        <v>7</v>
      </c>
      <c r="E252" s="107">
        <f>VLOOKUP($A252,'S0 remplacer avec S44'!$C:$BQ,22,0)</f>
        <v>1962.0951299999999</v>
      </c>
      <c r="F252" s="115">
        <f>VLOOKUP($A252,'S0 remplacer avec S44'!$C:$BQ,29,0)</f>
        <v>0</v>
      </c>
      <c r="G252" s="115">
        <f>VLOOKUP($A252,'S0 remplacer avec S44'!$C:$BQ,30,0)</f>
        <v>0</v>
      </c>
      <c r="H252" s="115">
        <f>VLOOKUP($A252,'S0 remplacer avec S44'!$C:$BQ,52,0)</f>
        <v>168.8</v>
      </c>
      <c r="I252" s="115">
        <f>VLOOKUP($A252,'S0 remplacer avec S44'!$C:$BQ,59,0)</f>
        <v>0</v>
      </c>
      <c r="J252" s="115">
        <f>VLOOKUP($A252,'S0 remplacer avec S44'!$C:$BQ,60,0)</f>
        <v>0</v>
      </c>
      <c r="K252" s="107" t="e">
        <f>VLOOKUP($A252,'S45'!$C:$BQ,32,0)</f>
        <v>#N/A</v>
      </c>
      <c r="L252" s="107" t="e">
        <f>VLOOKUP($A252,'S45'!$C:$BQ,39,0)</f>
        <v>#N/A</v>
      </c>
      <c r="M252" s="107" t="e">
        <f>VLOOKUP($A252,'S45'!$C:$BQ,40,0)</f>
        <v>#N/A</v>
      </c>
      <c r="N252" s="107" t="e">
        <f>VLOOKUP($A252,'S45'!$C:$BQ,22,0)</f>
        <v>#N/A</v>
      </c>
      <c r="O252" s="115" t="e">
        <f>VLOOKUP($A252,'S45'!$C:$BQ,29,0)</f>
        <v>#N/A</v>
      </c>
      <c r="P252" s="115" t="e">
        <f>VLOOKUP($A252,'S45'!$C:$BQ,30,0)</f>
        <v>#N/A</v>
      </c>
      <c r="Q252" s="115" t="e">
        <f>VLOOKUP($A252,'S45'!$C:$BQ,52,0)</f>
        <v>#N/A</v>
      </c>
      <c r="R252" s="115" t="e">
        <f>VLOOKUP($A252,'S45'!$C:$BQ,59,0)</f>
        <v>#N/A</v>
      </c>
      <c r="S252" s="115" t="e">
        <f>VLOOKUP($A252,'S45'!$C:$BQ,60,0)</f>
        <v>#N/A</v>
      </c>
      <c r="T252" s="107" t="e">
        <f>VLOOKUP($A252,'S46'!$C:$BQ,32,0)</f>
        <v>#N/A</v>
      </c>
      <c r="U252" s="107" t="e">
        <f>VLOOKUP($A252,'S46'!$C:$BQ,39,0)</f>
        <v>#N/A</v>
      </c>
      <c r="V252" s="107" t="e">
        <f>VLOOKUP($A252,'S46'!$C:$BQ,40,0)</f>
        <v>#N/A</v>
      </c>
      <c r="W252" s="107" t="e">
        <f>VLOOKUP($A252,'S46'!$C:$BQ,22,0)</f>
        <v>#N/A</v>
      </c>
      <c r="X252" s="115" t="e">
        <f>VLOOKUP($A252,'S46'!$C:$BQ,29,0)</f>
        <v>#N/A</v>
      </c>
      <c r="Y252" s="115" t="e">
        <f>VLOOKUP($A252,'S46'!$C:$BQ,30,0)</f>
        <v>#N/A</v>
      </c>
      <c r="Z252" s="115" t="e">
        <f>VLOOKUP($A252,'S46'!$C:$BQ,52,0)</f>
        <v>#N/A</v>
      </c>
      <c r="AA252" s="115" t="e">
        <f>VLOOKUP($A252,'S46'!$C:$BQ,59,0)</f>
        <v>#N/A</v>
      </c>
      <c r="AB252" s="115" t="e">
        <f>VLOOKUP($A252,'S46'!$C:$BQ,60,0)</f>
        <v>#N/A</v>
      </c>
      <c r="AC252" s="107" t="e">
        <f>VLOOKUP($A252,'S47'!$C:$BQ,32,0)</f>
        <v>#N/A</v>
      </c>
      <c r="AD252" s="107" t="e">
        <f>VLOOKUP($A252,'S47'!$C:$BQ,39,0)</f>
        <v>#N/A</v>
      </c>
      <c r="AE252" s="107" t="e">
        <f>VLOOKUP($A252,'S47'!$C:$BQ,40,0)</f>
        <v>#N/A</v>
      </c>
      <c r="AF252" s="107" t="e">
        <f>VLOOKUP($A252,'S47'!$C:$BQ,22,0)</f>
        <v>#N/A</v>
      </c>
      <c r="AG252" s="115" t="e">
        <f>VLOOKUP($A252,'S47'!$C:$BQ,29,0)</f>
        <v>#N/A</v>
      </c>
      <c r="AH252" s="115" t="e">
        <f>VLOOKUP($A252,'S47'!$C:$BQ,30,0)</f>
        <v>#N/A</v>
      </c>
      <c r="AI252" s="115" t="e">
        <f>VLOOKUP($A252,'S47'!$C:$BQ,52,0)</f>
        <v>#N/A</v>
      </c>
      <c r="AJ252" s="115" t="e">
        <f>VLOOKUP($A252,'S47'!$C:$BQ,59,0)</f>
        <v>#N/A</v>
      </c>
      <c r="AK252" s="115" t="e">
        <f>VLOOKUP($A252,'S47'!$C:$BQ,60,0)</f>
        <v>#N/A</v>
      </c>
      <c r="AL252" s="107" t="e">
        <f>VLOOKUP($A252,'S48'!$C:$BQ,32,0)</f>
        <v>#N/A</v>
      </c>
      <c r="AM252" s="107" t="e">
        <f>VLOOKUP($A252,'S48'!$C:$BQ,39,0)</f>
        <v>#N/A</v>
      </c>
      <c r="AN252" s="107" t="e">
        <f>VLOOKUP($A252,'S48'!$C:$BQ,40,0)</f>
        <v>#N/A</v>
      </c>
      <c r="AO252" s="107" t="e">
        <f>VLOOKUP($A252,'S48'!$C:$BQ,22,0)</f>
        <v>#N/A</v>
      </c>
      <c r="AP252" s="115" t="e">
        <f>VLOOKUP($A252,'S48'!$C:$BQ,29,0)</f>
        <v>#N/A</v>
      </c>
      <c r="AQ252" s="115" t="e">
        <f>VLOOKUP($A252,'S48'!$C:$BQ,30,0)</f>
        <v>#N/A</v>
      </c>
      <c r="AR252" s="115" t="e">
        <f>VLOOKUP($A252,'S48'!$C:$BQ,52,0)</f>
        <v>#N/A</v>
      </c>
      <c r="AS252" s="115" t="e">
        <f>VLOOKUP($A252,'S48'!$C:$BQ,59,0)</f>
        <v>#N/A</v>
      </c>
      <c r="AT252" s="115" t="e">
        <f>VLOOKUP($A252,'S48'!$C:$BQ,60,0)</f>
        <v>#N/A</v>
      </c>
      <c r="AU252" s="107" t="e">
        <f>VLOOKUP($A252,'S49'!$C:$BQ,32,0)</f>
        <v>#N/A</v>
      </c>
      <c r="AV252" s="107" t="e">
        <f>VLOOKUP($A252,'S49'!$C:$BQ,39,0)</f>
        <v>#N/A</v>
      </c>
      <c r="AW252" s="107" t="e">
        <f>VLOOKUP($A252,'S49'!$C:$BQ,40,0)</f>
        <v>#N/A</v>
      </c>
      <c r="AX252" s="107" t="e">
        <f>VLOOKUP($A252,'S49'!$C:$BQ,22,0)</f>
        <v>#N/A</v>
      </c>
      <c r="AY252" s="115" t="e">
        <f>VLOOKUP($A252,'S49'!$C:$BQ,29,0)</f>
        <v>#N/A</v>
      </c>
      <c r="AZ252" s="115" t="e">
        <f>VLOOKUP($A252,'S49'!$C:$BQ,30,0)</f>
        <v>#N/A</v>
      </c>
      <c r="BA252" s="115" t="e">
        <f>VLOOKUP($A252,'S49'!$C:$BQ,52,0)</f>
        <v>#N/A</v>
      </c>
      <c r="BB252" s="115" t="e">
        <f>VLOOKUP($A252,'S49'!$C:$BQ,59,0)</f>
        <v>#N/A</v>
      </c>
      <c r="BC252" s="115" t="e">
        <f>VLOOKUP($A252,'S49'!$C:$BQ,60,0)</f>
        <v>#N/A</v>
      </c>
      <c r="BD252" s="107" t="e">
        <f>VLOOKUP($A252,'S50'!$C:$BQ,32,0)</f>
        <v>#N/A</v>
      </c>
      <c r="BE252" s="107" t="e">
        <f>VLOOKUP($A252,'S50'!$C:$BQ,39,0)</f>
        <v>#N/A</v>
      </c>
      <c r="BF252" s="107" t="e">
        <f>VLOOKUP($A252,'S50'!$C:$BQ,40,0)</f>
        <v>#N/A</v>
      </c>
      <c r="BG252" s="107" t="e">
        <f>VLOOKUP($A252,'S50'!$C:$BQ,22,0)</f>
        <v>#N/A</v>
      </c>
      <c r="BH252" s="115" t="e">
        <f>VLOOKUP($A252,'S50'!$C:$BQ,29,0)</f>
        <v>#N/A</v>
      </c>
      <c r="BI252" s="115" t="e">
        <f>VLOOKUP($A252,'S50'!$C:$BQ,30,0)</f>
        <v>#N/A</v>
      </c>
      <c r="BJ252" s="115" t="e">
        <f>VLOOKUP($A252,'S50'!$C:$BQ,52,0)</f>
        <v>#N/A</v>
      </c>
      <c r="BK252" s="115" t="e">
        <f>VLOOKUP($A252,'S50'!$C:$BQ,59,0)</f>
        <v>#N/A</v>
      </c>
      <c r="BL252" s="115" t="e">
        <f>VLOOKUP($A252,'S50'!$C:$BQ,60,0)</f>
        <v>#N/A</v>
      </c>
    </row>
    <row r="253" spans="1:64" x14ac:dyDescent="0.2">
      <c r="A253" s="106" t="s">
        <v>325</v>
      </c>
      <c r="B253" s="107">
        <f>VLOOKUP($A253,'S0 remplacer avec S44'!$C:$BQ,32,0)</f>
        <v>114.25</v>
      </c>
      <c r="C253" s="107">
        <f>VLOOKUP($A253,'S0 remplacer avec S44'!$C:$BQ,39,0)</f>
        <v>78</v>
      </c>
      <c r="D253" s="107">
        <f>VLOOKUP($A253,'S0 remplacer avec S44'!$C:$BQ,40,0)</f>
        <v>117</v>
      </c>
      <c r="E253" s="107">
        <f>VLOOKUP($A253,'S0 remplacer avec S44'!$C:$BQ,22,0)</f>
        <v>1874.3177499999999</v>
      </c>
      <c r="F253" s="115">
        <f>VLOOKUP($A253,'S0 remplacer avec S44'!$C:$BQ,29,0)</f>
        <v>0</v>
      </c>
      <c r="G253" s="115">
        <f>VLOOKUP($A253,'S0 remplacer avec S44'!$C:$BQ,30,0)</f>
        <v>223</v>
      </c>
      <c r="H253" s="115">
        <f>VLOOKUP($A253,'S0 remplacer avec S44'!$C:$BQ,52,0)</f>
        <v>97.4</v>
      </c>
      <c r="I253" s="115">
        <f>VLOOKUP($A253,'S0 remplacer avec S44'!$C:$BQ,59,0)</f>
        <v>1</v>
      </c>
      <c r="J253" s="115">
        <f>VLOOKUP($A253,'S0 remplacer avec S44'!$C:$BQ,60,0)</f>
        <v>20</v>
      </c>
      <c r="K253" s="107" t="e">
        <f>VLOOKUP($A253,'S45'!$C:$BQ,32,0)</f>
        <v>#N/A</v>
      </c>
      <c r="L253" s="107" t="e">
        <f>VLOOKUP($A253,'S45'!$C:$BQ,39,0)</f>
        <v>#N/A</v>
      </c>
      <c r="M253" s="107" t="e">
        <f>VLOOKUP($A253,'S45'!$C:$BQ,40,0)</f>
        <v>#N/A</v>
      </c>
      <c r="N253" s="107" t="e">
        <f>VLOOKUP($A253,'S45'!$C:$BQ,22,0)</f>
        <v>#N/A</v>
      </c>
      <c r="O253" s="115" t="e">
        <f>VLOOKUP($A253,'S45'!$C:$BQ,29,0)</f>
        <v>#N/A</v>
      </c>
      <c r="P253" s="115" t="e">
        <f>VLOOKUP($A253,'S45'!$C:$BQ,30,0)</f>
        <v>#N/A</v>
      </c>
      <c r="Q253" s="115" t="e">
        <f>VLOOKUP($A253,'S45'!$C:$BQ,52,0)</f>
        <v>#N/A</v>
      </c>
      <c r="R253" s="115" t="e">
        <f>VLOOKUP($A253,'S45'!$C:$BQ,59,0)</f>
        <v>#N/A</v>
      </c>
      <c r="S253" s="115" t="e">
        <f>VLOOKUP($A253,'S45'!$C:$BQ,60,0)</f>
        <v>#N/A</v>
      </c>
      <c r="T253" s="107" t="e">
        <f>VLOOKUP($A253,'S46'!$C:$BQ,32,0)</f>
        <v>#N/A</v>
      </c>
      <c r="U253" s="107" t="e">
        <f>VLOOKUP($A253,'S46'!$C:$BQ,39,0)</f>
        <v>#N/A</v>
      </c>
      <c r="V253" s="107" t="e">
        <f>VLOOKUP($A253,'S46'!$C:$BQ,40,0)</f>
        <v>#N/A</v>
      </c>
      <c r="W253" s="107" t="e">
        <f>VLOOKUP($A253,'S46'!$C:$BQ,22,0)</f>
        <v>#N/A</v>
      </c>
      <c r="X253" s="115" t="e">
        <f>VLOOKUP($A253,'S46'!$C:$BQ,29,0)</f>
        <v>#N/A</v>
      </c>
      <c r="Y253" s="115" t="e">
        <f>VLOOKUP($A253,'S46'!$C:$BQ,30,0)</f>
        <v>#N/A</v>
      </c>
      <c r="Z253" s="115" t="e">
        <f>VLOOKUP($A253,'S46'!$C:$BQ,52,0)</f>
        <v>#N/A</v>
      </c>
      <c r="AA253" s="115" t="e">
        <f>VLOOKUP($A253,'S46'!$C:$BQ,59,0)</f>
        <v>#N/A</v>
      </c>
      <c r="AB253" s="115" t="e">
        <f>VLOOKUP($A253,'S46'!$C:$BQ,60,0)</f>
        <v>#N/A</v>
      </c>
      <c r="AC253" s="107" t="e">
        <f>VLOOKUP($A253,'S47'!$C:$BQ,32,0)</f>
        <v>#N/A</v>
      </c>
      <c r="AD253" s="107" t="e">
        <f>VLOOKUP($A253,'S47'!$C:$BQ,39,0)</f>
        <v>#N/A</v>
      </c>
      <c r="AE253" s="107" t="e">
        <f>VLOOKUP($A253,'S47'!$C:$BQ,40,0)</f>
        <v>#N/A</v>
      </c>
      <c r="AF253" s="107" t="e">
        <f>VLOOKUP($A253,'S47'!$C:$BQ,22,0)</f>
        <v>#N/A</v>
      </c>
      <c r="AG253" s="115" t="e">
        <f>VLOOKUP($A253,'S47'!$C:$BQ,29,0)</f>
        <v>#N/A</v>
      </c>
      <c r="AH253" s="115" t="e">
        <f>VLOOKUP($A253,'S47'!$C:$BQ,30,0)</f>
        <v>#N/A</v>
      </c>
      <c r="AI253" s="115" t="e">
        <f>VLOOKUP($A253,'S47'!$C:$BQ,52,0)</f>
        <v>#N/A</v>
      </c>
      <c r="AJ253" s="115" t="e">
        <f>VLOOKUP($A253,'S47'!$C:$BQ,59,0)</f>
        <v>#N/A</v>
      </c>
      <c r="AK253" s="115" t="e">
        <f>VLOOKUP($A253,'S47'!$C:$BQ,60,0)</f>
        <v>#N/A</v>
      </c>
      <c r="AL253" s="107" t="e">
        <f>VLOOKUP($A253,'S48'!$C:$BQ,32,0)</f>
        <v>#N/A</v>
      </c>
      <c r="AM253" s="107" t="e">
        <f>VLOOKUP($A253,'S48'!$C:$BQ,39,0)</f>
        <v>#N/A</v>
      </c>
      <c r="AN253" s="107" t="e">
        <f>VLOOKUP($A253,'S48'!$C:$BQ,40,0)</f>
        <v>#N/A</v>
      </c>
      <c r="AO253" s="107" t="e">
        <f>VLOOKUP($A253,'S48'!$C:$BQ,22,0)</f>
        <v>#N/A</v>
      </c>
      <c r="AP253" s="115" t="e">
        <f>VLOOKUP($A253,'S48'!$C:$BQ,29,0)</f>
        <v>#N/A</v>
      </c>
      <c r="AQ253" s="115" t="e">
        <f>VLOOKUP($A253,'S48'!$C:$BQ,30,0)</f>
        <v>#N/A</v>
      </c>
      <c r="AR253" s="115" t="e">
        <f>VLOOKUP($A253,'S48'!$C:$BQ,52,0)</f>
        <v>#N/A</v>
      </c>
      <c r="AS253" s="115" t="e">
        <f>VLOOKUP($A253,'S48'!$C:$BQ,59,0)</f>
        <v>#N/A</v>
      </c>
      <c r="AT253" s="115" t="e">
        <f>VLOOKUP($A253,'S48'!$C:$BQ,60,0)</f>
        <v>#N/A</v>
      </c>
      <c r="AU253" s="107" t="e">
        <f>VLOOKUP($A253,'S49'!$C:$BQ,32,0)</f>
        <v>#N/A</v>
      </c>
      <c r="AV253" s="107" t="e">
        <f>VLOOKUP($A253,'S49'!$C:$BQ,39,0)</f>
        <v>#N/A</v>
      </c>
      <c r="AW253" s="107" t="e">
        <f>VLOOKUP($A253,'S49'!$C:$BQ,40,0)</f>
        <v>#N/A</v>
      </c>
      <c r="AX253" s="107" t="e">
        <f>VLOOKUP($A253,'S49'!$C:$BQ,22,0)</f>
        <v>#N/A</v>
      </c>
      <c r="AY253" s="115" t="e">
        <f>VLOOKUP($A253,'S49'!$C:$BQ,29,0)</f>
        <v>#N/A</v>
      </c>
      <c r="AZ253" s="115" t="e">
        <f>VLOOKUP($A253,'S49'!$C:$BQ,30,0)</f>
        <v>#N/A</v>
      </c>
      <c r="BA253" s="115" t="e">
        <f>VLOOKUP($A253,'S49'!$C:$BQ,52,0)</f>
        <v>#N/A</v>
      </c>
      <c r="BB253" s="115" t="e">
        <f>VLOOKUP($A253,'S49'!$C:$BQ,59,0)</f>
        <v>#N/A</v>
      </c>
      <c r="BC253" s="115" t="e">
        <f>VLOOKUP($A253,'S49'!$C:$BQ,60,0)</f>
        <v>#N/A</v>
      </c>
      <c r="BD253" s="107" t="e">
        <f>VLOOKUP($A253,'S50'!$C:$BQ,32,0)</f>
        <v>#N/A</v>
      </c>
      <c r="BE253" s="107" t="e">
        <f>VLOOKUP($A253,'S50'!$C:$BQ,39,0)</f>
        <v>#N/A</v>
      </c>
      <c r="BF253" s="107" t="e">
        <f>VLOOKUP($A253,'S50'!$C:$BQ,40,0)</f>
        <v>#N/A</v>
      </c>
      <c r="BG253" s="107" t="e">
        <f>VLOOKUP($A253,'S50'!$C:$BQ,22,0)</f>
        <v>#N/A</v>
      </c>
      <c r="BH253" s="115" t="e">
        <f>VLOOKUP($A253,'S50'!$C:$BQ,29,0)</f>
        <v>#N/A</v>
      </c>
      <c r="BI253" s="115" t="e">
        <f>VLOOKUP($A253,'S50'!$C:$BQ,30,0)</f>
        <v>#N/A</v>
      </c>
      <c r="BJ253" s="115" t="e">
        <f>VLOOKUP($A253,'S50'!$C:$BQ,52,0)</f>
        <v>#N/A</v>
      </c>
      <c r="BK253" s="115" t="e">
        <f>VLOOKUP($A253,'S50'!$C:$BQ,59,0)</f>
        <v>#N/A</v>
      </c>
      <c r="BL253" s="115" t="e">
        <f>VLOOKUP($A253,'S50'!$C:$BQ,60,0)</f>
        <v>#N/A</v>
      </c>
    </row>
    <row r="254" spans="1:64" x14ac:dyDescent="0.2">
      <c r="A254" s="106" t="s">
        <v>326</v>
      </c>
      <c r="B254" s="107">
        <f>VLOOKUP($A254,'S0 remplacer avec S44'!$C:$BQ,32,0)</f>
        <v>156.25</v>
      </c>
      <c r="C254" s="107">
        <f>VLOOKUP($A254,'S0 remplacer avec S44'!$C:$BQ,39,0)</f>
        <v>24</v>
      </c>
      <c r="D254" s="107">
        <f>VLOOKUP($A254,'S0 remplacer avec S44'!$C:$BQ,40,0)</f>
        <v>60</v>
      </c>
      <c r="E254" s="107">
        <f>VLOOKUP($A254,'S0 remplacer avec S44'!$C:$BQ,22,0)</f>
        <v>1820.2441100000001</v>
      </c>
      <c r="F254" s="115">
        <f>VLOOKUP($A254,'S0 remplacer avec S44'!$C:$BQ,29,0)</f>
        <v>0</v>
      </c>
      <c r="G254" s="115">
        <f>VLOOKUP($A254,'S0 remplacer avec S44'!$C:$BQ,30,0)</f>
        <v>139</v>
      </c>
      <c r="H254" s="115">
        <f>VLOOKUP($A254,'S0 remplacer avec S44'!$C:$BQ,52,0)</f>
        <v>108</v>
      </c>
      <c r="I254" s="115">
        <f>VLOOKUP($A254,'S0 remplacer avec S44'!$C:$BQ,59,0)</f>
        <v>0</v>
      </c>
      <c r="J254" s="115">
        <f>VLOOKUP($A254,'S0 remplacer avec S44'!$C:$BQ,60,0)</f>
        <v>2</v>
      </c>
      <c r="K254" s="107" t="e">
        <f>VLOOKUP($A254,'S45'!$C:$BQ,32,0)</f>
        <v>#N/A</v>
      </c>
      <c r="L254" s="107" t="e">
        <f>VLOOKUP($A254,'S45'!$C:$BQ,39,0)</f>
        <v>#N/A</v>
      </c>
      <c r="M254" s="107" t="e">
        <f>VLOOKUP($A254,'S45'!$C:$BQ,40,0)</f>
        <v>#N/A</v>
      </c>
      <c r="N254" s="107" t="e">
        <f>VLOOKUP($A254,'S45'!$C:$BQ,22,0)</f>
        <v>#N/A</v>
      </c>
      <c r="O254" s="115" t="e">
        <f>VLOOKUP($A254,'S45'!$C:$BQ,29,0)</f>
        <v>#N/A</v>
      </c>
      <c r="P254" s="115" t="e">
        <f>VLOOKUP($A254,'S45'!$C:$BQ,30,0)</f>
        <v>#N/A</v>
      </c>
      <c r="Q254" s="115" t="e">
        <f>VLOOKUP($A254,'S45'!$C:$BQ,52,0)</f>
        <v>#N/A</v>
      </c>
      <c r="R254" s="115" t="e">
        <f>VLOOKUP($A254,'S45'!$C:$BQ,59,0)</f>
        <v>#N/A</v>
      </c>
      <c r="S254" s="115" t="e">
        <f>VLOOKUP($A254,'S45'!$C:$BQ,60,0)</f>
        <v>#N/A</v>
      </c>
      <c r="T254" s="107" t="e">
        <f>VLOOKUP($A254,'S46'!$C:$BQ,32,0)</f>
        <v>#N/A</v>
      </c>
      <c r="U254" s="107" t="e">
        <f>VLOOKUP($A254,'S46'!$C:$BQ,39,0)</f>
        <v>#N/A</v>
      </c>
      <c r="V254" s="107" t="e">
        <f>VLOOKUP($A254,'S46'!$C:$BQ,40,0)</f>
        <v>#N/A</v>
      </c>
      <c r="W254" s="107" t="e">
        <f>VLOOKUP($A254,'S46'!$C:$BQ,22,0)</f>
        <v>#N/A</v>
      </c>
      <c r="X254" s="115" t="e">
        <f>VLOOKUP($A254,'S46'!$C:$BQ,29,0)</f>
        <v>#N/A</v>
      </c>
      <c r="Y254" s="115" t="e">
        <f>VLOOKUP($A254,'S46'!$C:$BQ,30,0)</f>
        <v>#N/A</v>
      </c>
      <c r="Z254" s="115" t="e">
        <f>VLOOKUP($A254,'S46'!$C:$BQ,52,0)</f>
        <v>#N/A</v>
      </c>
      <c r="AA254" s="115" t="e">
        <f>VLOOKUP($A254,'S46'!$C:$BQ,59,0)</f>
        <v>#N/A</v>
      </c>
      <c r="AB254" s="115" t="e">
        <f>VLOOKUP($A254,'S46'!$C:$BQ,60,0)</f>
        <v>#N/A</v>
      </c>
      <c r="AC254" s="107" t="e">
        <f>VLOOKUP($A254,'S47'!$C:$BQ,32,0)</f>
        <v>#N/A</v>
      </c>
      <c r="AD254" s="107" t="e">
        <f>VLOOKUP($A254,'S47'!$C:$BQ,39,0)</f>
        <v>#N/A</v>
      </c>
      <c r="AE254" s="107" t="e">
        <f>VLOOKUP($A254,'S47'!$C:$BQ,40,0)</f>
        <v>#N/A</v>
      </c>
      <c r="AF254" s="107" t="e">
        <f>VLOOKUP($A254,'S47'!$C:$BQ,22,0)</f>
        <v>#N/A</v>
      </c>
      <c r="AG254" s="115" t="e">
        <f>VLOOKUP($A254,'S47'!$C:$BQ,29,0)</f>
        <v>#N/A</v>
      </c>
      <c r="AH254" s="115" t="e">
        <f>VLOOKUP($A254,'S47'!$C:$BQ,30,0)</f>
        <v>#N/A</v>
      </c>
      <c r="AI254" s="115" t="e">
        <f>VLOOKUP($A254,'S47'!$C:$BQ,52,0)</f>
        <v>#N/A</v>
      </c>
      <c r="AJ254" s="115" t="e">
        <f>VLOOKUP($A254,'S47'!$C:$BQ,59,0)</f>
        <v>#N/A</v>
      </c>
      <c r="AK254" s="115" t="e">
        <f>VLOOKUP($A254,'S47'!$C:$BQ,60,0)</f>
        <v>#N/A</v>
      </c>
      <c r="AL254" s="107" t="e">
        <f>VLOOKUP($A254,'S48'!$C:$BQ,32,0)</f>
        <v>#N/A</v>
      </c>
      <c r="AM254" s="107" t="e">
        <f>VLOOKUP($A254,'S48'!$C:$BQ,39,0)</f>
        <v>#N/A</v>
      </c>
      <c r="AN254" s="107" t="e">
        <f>VLOOKUP($A254,'S48'!$C:$BQ,40,0)</f>
        <v>#N/A</v>
      </c>
      <c r="AO254" s="107" t="e">
        <f>VLOOKUP($A254,'S48'!$C:$BQ,22,0)</f>
        <v>#N/A</v>
      </c>
      <c r="AP254" s="115" t="e">
        <f>VLOOKUP($A254,'S48'!$C:$BQ,29,0)</f>
        <v>#N/A</v>
      </c>
      <c r="AQ254" s="115" t="e">
        <f>VLOOKUP($A254,'S48'!$C:$BQ,30,0)</f>
        <v>#N/A</v>
      </c>
      <c r="AR254" s="115" t="e">
        <f>VLOOKUP($A254,'S48'!$C:$BQ,52,0)</f>
        <v>#N/A</v>
      </c>
      <c r="AS254" s="115" t="e">
        <f>VLOOKUP($A254,'S48'!$C:$BQ,59,0)</f>
        <v>#N/A</v>
      </c>
      <c r="AT254" s="115" t="e">
        <f>VLOOKUP($A254,'S48'!$C:$BQ,60,0)</f>
        <v>#N/A</v>
      </c>
      <c r="AU254" s="107" t="e">
        <f>VLOOKUP($A254,'S49'!$C:$BQ,32,0)</f>
        <v>#N/A</v>
      </c>
      <c r="AV254" s="107" t="e">
        <f>VLOOKUP($A254,'S49'!$C:$BQ,39,0)</f>
        <v>#N/A</v>
      </c>
      <c r="AW254" s="107" t="e">
        <f>VLOOKUP($A254,'S49'!$C:$BQ,40,0)</f>
        <v>#N/A</v>
      </c>
      <c r="AX254" s="107" t="e">
        <f>VLOOKUP($A254,'S49'!$C:$BQ,22,0)</f>
        <v>#N/A</v>
      </c>
      <c r="AY254" s="115" t="e">
        <f>VLOOKUP($A254,'S49'!$C:$BQ,29,0)</f>
        <v>#N/A</v>
      </c>
      <c r="AZ254" s="115" t="e">
        <f>VLOOKUP($A254,'S49'!$C:$BQ,30,0)</f>
        <v>#N/A</v>
      </c>
      <c r="BA254" s="115" t="e">
        <f>VLOOKUP($A254,'S49'!$C:$BQ,52,0)</f>
        <v>#N/A</v>
      </c>
      <c r="BB254" s="115" t="e">
        <f>VLOOKUP($A254,'S49'!$C:$BQ,59,0)</f>
        <v>#N/A</v>
      </c>
      <c r="BC254" s="115" t="e">
        <f>VLOOKUP($A254,'S49'!$C:$BQ,60,0)</f>
        <v>#N/A</v>
      </c>
      <c r="BD254" s="107" t="e">
        <f>VLOOKUP($A254,'S50'!$C:$BQ,32,0)</f>
        <v>#N/A</v>
      </c>
      <c r="BE254" s="107" t="e">
        <f>VLOOKUP($A254,'S50'!$C:$BQ,39,0)</f>
        <v>#N/A</v>
      </c>
      <c r="BF254" s="107" t="e">
        <f>VLOOKUP($A254,'S50'!$C:$BQ,40,0)</f>
        <v>#N/A</v>
      </c>
      <c r="BG254" s="107" t="e">
        <f>VLOOKUP($A254,'S50'!$C:$BQ,22,0)</f>
        <v>#N/A</v>
      </c>
      <c r="BH254" s="115" t="e">
        <f>VLOOKUP($A254,'S50'!$C:$BQ,29,0)</f>
        <v>#N/A</v>
      </c>
      <c r="BI254" s="115" t="e">
        <f>VLOOKUP($A254,'S50'!$C:$BQ,30,0)</f>
        <v>#N/A</v>
      </c>
      <c r="BJ254" s="115" t="e">
        <f>VLOOKUP($A254,'S50'!$C:$BQ,52,0)</f>
        <v>#N/A</v>
      </c>
      <c r="BK254" s="115" t="e">
        <f>VLOOKUP($A254,'S50'!$C:$BQ,59,0)</f>
        <v>#N/A</v>
      </c>
      <c r="BL254" s="115" t="e">
        <f>VLOOKUP($A254,'S50'!$C:$BQ,60,0)</f>
        <v>#N/A</v>
      </c>
    </row>
    <row r="255" spans="1:64" x14ac:dyDescent="0.2">
      <c r="A255" s="106" t="s">
        <v>327</v>
      </c>
      <c r="B255" s="107">
        <f>VLOOKUP($A255,'S0 remplacer avec S44'!$C:$BQ,32,0)</f>
        <v>415.3</v>
      </c>
      <c r="C255" s="107">
        <f>VLOOKUP($A255,'S0 remplacer avec S44'!$C:$BQ,39,0)</f>
        <v>80</v>
      </c>
      <c r="D255" s="107">
        <f>VLOOKUP($A255,'S0 remplacer avec S44'!$C:$BQ,40,0)</f>
        <v>179</v>
      </c>
      <c r="E255" s="107">
        <f>VLOOKUP($A255,'S0 remplacer avec S44'!$C:$BQ,22,0)</f>
        <v>4756.6229499999999</v>
      </c>
      <c r="F255" s="115">
        <f>VLOOKUP($A255,'S0 remplacer avec S44'!$C:$BQ,29,0)</f>
        <v>0</v>
      </c>
      <c r="G255" s="115">
        <f>VLOOKUP($A255,'S0 remplacer avec S44'!$C:$BQ,30,0)</f>
        <v>644</v>
      </c>
      <c r="H255" s="115">
        <f>VLOOKUP($A255,'S0 remplacer avec S44'!$C:$BQ,52,0)</f>
        <v>250.2</v>
      </c>
      <c r="I255" s="115">
        <f>VLOOKUP($A255,'S0 remplacer avec S44'!$C:$BQ,59,0)</f>
        <v>2</v>
      </c>
      <c r="J255" s="115">
        <f>VLOOKUP($A255,'S0 remplacer avec S44'!$C:$BQ,60,0)</f>
        <v>52</v>
      </c>
      <c r="K255" s="107" t="e">
        <f>VLOOKUP($A255,'S45'!$C:$BQ,32,0)</f>
        <v>#N/A</v>
      </c>
      <c r="L255" s="107" t="e">
        <f>VLOOKUP($A255,'S45'!$C:$BQ,39,0)</f>
        <v>#N/A</v>
      </c>
      <c r="M255" s="107" t="e">
        <f>VLOOKUP($A255,'S45'!$C:$BQ,40,0)</f>
        <v>#N/A</v>
      </c>
      <c r="N255" s="107" t="e">
        <f>VLOOKUP($A255,'S45'!$C:$BQ,22,0)</f>
        <v>#N/A</v>
      </c>
      <c r="O255" s="115" t="e">
        <f>VLOOKUP($A255,'S45'!$C:$BQ,29,0)</f>
        <v>#N/A</v>
      </c>
      <c r="P255" s="115" t="e">
        <f>VLOOKUP($A255,'S45'!$C:$BQ,30,0)</f>
        <v>#N/A</v>
      </c>
      <c r="Q255" s="115" t="e">
        <f>VLOOKUP($A255,'S45'!$C:$BQ,52,0)</f>
        <v>#N/A</v>
      </c>
      <c r="R255" s="115" t="e">
        <f>VLOOKUP($A255,'S45'!$C:$BQ,59,0)</f>
        <v>#N/A</v>
      </c>
      <c r="S255" s="115" t="e">
        <f>VLOOKUP($A255,'S45'!$C:$BQ,60,0)</f>
        <v>#N/A</v>
      </c>
      <c r="T255" s="107" t="e">
        <f>VLOOKUP($A255,'S46'!$C:$BQ,32,0)</f>
        <v>#N/A</v>
      </c>
      <c r="U255" s="107" t="e">
        <f>VLOOKUP($A255,'S46'!$C:$BQ,39,0)</f>
        <v>#N/A</v>
      </c>
      <c r="V255" s="107" t="e">
        <f>VLOOKUP($A255,'S46'!$C:$BQ,40,0)</f>
        <v>#N/A</v>
      </c>
      <c r="W255" s="107" t="e">
        <f>VLOOKUP($A255,'S46'!$C:$BQ,22,0)</f>
        <v>#N/A</v>
      </c>
      <c r="X255" s="115" t="e">
        <f>VLOOKUP($A255,'S46'!$C:$BQ,29,0)</f>
        <v>#N/A</v>
      </c>
      <c r="Y255" s="115" t="e">
        <f>VLOOKUP($A255,'S46'!$C:$BQ,30,0)</f>
        <v>#N/A</v>
      </c>
      <c r="Z255" s="115" t="e">
        <f>VLOOKUP($A255,'S46'!$C:$BQ,52,0)</f>
        <v>#N/A</v>
      </c>
      <c r="AA255" s="115" t="e">
        <f>VLOOKUP($A255,'S46'!$C:$BQ,59,0)</f>
        <v>#N/A</v>
      </c>
      <c r="AB255" s="115" t="e">
        <f>VLOOKUP($A255,'S46'!$C:$BQ,60,0)</f>
        <v>#N/A</v>
      </c>
      <c r="AC255" s="107" t="e">
        <f>VLOOKUP($A255,'S47'!$C:$BQ,32,0)</f>
        <v>#N/A</v>
      </c>
      <c r="AD255" s="107" t="e">
        <f>VLOOKUP($A255,'S47'!$C:$BQ,39,0)</f>
        <v>#N/A</v>
      </c>
      <c r="AE255" s="107" t="e">
        <f>VLOOKUP($A255,'S47'!$C:$BQ,40,0)</f>
        <v>#N/A</v>
      </c>
      <c r="AF255" s="107" t="e">
        <f>VLOOKUP($A255,'S47'!$C:$BQ,22,0)</f>
        <v>#N/A</v>
      </c>
      <c r="AG255" s="115" t="e">
        <f>VLOOKUP($A255,'S47'!$C:$BQ,29,0)</f>
        <v>#N/A</v>
      </c>
      <c r="AH255" s="115" t="e">
        <f>VLOOKUP($A255,'S47'!$C:$BQ,30,0)</f>
        <v>#N/A</v>
      </c>
      <c r="AI255" s="115" t="e">
        <f>VLOOKUP($A255,'S47'!$C:$BQ,52,0)</f>
        <v>#N/A</v>
      </c>
      <c r="AJ255" s="115" t="e">
        <f>VLOOKUP($A255,'S47'!$C:$BQ,59,0)</f>
        <v>#N/A</v>
      </c>
      <c r="AK255" s="115" t="e">
        <f>VLOOKUP($A255,'S47'!$C:$BQ,60,0)</f>
        <v>#N/A</v>
      </c>
      <c r="AL255" s="107" t="e">
        <f>VLOOKUP($A255,'S48'!$C:$BQ,32,0)</f>
        <v>#N/A</v>
      </c>
      <c r="AM255" s="107" t="e">
        <f>VLOOKUP($A255,'S48'!$C:$BQ,39,0)</f>
        <v>#N/A</v>
      </c>
      <c r="AN255" s="107" t="e">
        <f>VLOOKUP($A255,'S48'!$C:$BQ,40,0)</f>
        <v>#N/A</v>
      </c>
      <c r="AO255" s="107" t="e">
        <f>VLOOKUP($A255,'S48'!$C:$BQ,22,0)</f>
        <v>#N/A</v>
      </c>
      <c r="AP255" s="115" t="e">
        <f>VLOOKUP($A255,'S48'!$C:$BQ,29,0)</f>
        <v>#N/A</v>
      </c>
      <c r="AQ255" s="115" t="e">
        <f>VLOOKUP($A255,'S48'!$C:$BQ,30,0)</f>
        <v>#N/A</v>
      </c>
      <c r="AR255" s="115" t="e">
        <f>VLOOKUP($A255,'S48'!$C:$BQ,52,0)</f>
        <v>#N/A</v>
      </c>
      <c r="AS255" s="115" t="e">
        <f>VLOOKUP($A255,'S48'!$C:$BQ,59,0)</f>
        <v>#N/A</v>
      </c>
      <c r="AT255" s="115" t="e">
        <f>VLOOKUP($A255,'S48'!$C:$BQ,60,0)</f>
        <v>#N/A</v>
      </c>
      <c r="AU255" s="107" t="e">
        <f>VLOOKUP($A255,'S49'!$C:$BQ,32,0)</f>
        <v>#N/A</v>
      </c>
      <c r="AV255" s="107" t="e">
        <f>VLOOKUP($A255,'S49'!$C:$BQ,39,0)</f>
        <v>#N/A</v>
      </c>
      <c r="AW255" s="107" t="e">
        <f>VLOOKUP($A255,'S49'!$C:$BQ,40,0)</f>
        <v>#N/A</v>
      </c>
      <c r="AX255" s="107" t="e">
        <f>VLOOKUP($A255,'S49'!$C:$BQ,22,0)</f>
        <v>#N/A</v>
      </c>
      <c r="AY255" s="115" t="e">
        <f>VLOOKUP($A255,'S49'!$C:$BQ,29,0)</f>
        <v>#N/A</v>
      </c>
      <c r="AZ255" s="115" t="e">
        <f>VLOOKUP($A255,'S49'!$C:$BQ,30,0)</f>
        <v>#N/A</v>
      </c>
      <c r="BA255" s="115" t="e">
        <f>VLOOKUP($A255,'S49'!$C:$BQ,52,0)</f>
        <v>#N/A</v>
      </c>
      <c r="BB255" s="115" t="e">
        <f>VLOOKUP($A255,'S49'!$C:$BQ,59,0)</f>
        <v>#N/A</v>
      </c>
      <c r="BC255" s="115" t="e">
        <f>VLOOKUP($A255,'S49'!$C:$BQ,60,0)</f>
        <v>#N/A</v>
      </c>
      <c r="BD255" s="107" t="e">
        <f>VLOOKUP($A255,'S50'!$C:$BQ,32,0)</f>
        <v>#N/A</v>
      </c>
      <c r="BE255" s="107" t="e">
        <f>VLOOKUP($A255,'S50'!$C:$BQ,39,0)</f>
        <v>#N/A</v>
      </c>
      <c r="BF255" s="107" t="e">
        <f>VLOOKUP($A255,'S50'!$C:$BQ,40,0)</f>
        <v>#N/A</v>
      </c>
      <c r="BG255" s="107" t="e">
        <f>VLOOKUP($A255,'S50'!$C:$BQ,22,0)</f>
        <v>#N/A</v>
      </c>
      <c r="BH255" s="115" t="e">
        <f>VLOOKUP($A255,'S50'!$C:$BQ,29,0)</f>
        <v>#N/A</v>
      </c>
      <c r="BI255" s="115" t="e">
        <f>VLOOKUP($A255,'S50'!$C:$BQ,30,0)</f>
        <v>#N/A</v>
      </c>
      <c r="BJ255" s="115" t="e">
        <f>VLOOKUP($A255,'S50'!$C:$BQ,52,0)</f>
        <v>#N/A</v>
      </c>
      <c r="BK255" s="115" t="e">
        <f>VLOOKUP($A255,'S50'!$C:$BQ,59,0)</f>
        <v>#N/A</v>
      </c>
      <c r="BL255" s="115" t="e">
        <f>VLOOKUP($A255,'S50'!$C:$BQ,60,0)</f>
        <v>#N/A</v>
      </c>
    </row>
    <row r="256" spans="1:64" x14ac:dyDescent="0.2">
      <c r="A256" s="106" t="s">
        <v>328</v>
      </c>
      <c r="B256" s="107">
        <f>VLOOKUP($A256,'S0 remplacer avec S44'!$C:$BQ,32,0)</f>
        <v>404.45</v>
      </c>
      <c r="C256" s="107">
        <f>VLOOKUP($A256,'S0 remplacer avec S44'!$C:$BQ,39,0)</f>
        <v>157</v>
      </c>
      <c r="D256" s="107">
        <f>VLOOKUP($A256,'S0 remplacer avec S44'!$C:$BQ,40,0)</f>
        <v>270</v>
      </c>
      <c r="E256" s="107">
        <f>VLOOKUP($A256,'S0 remplacer avec S44'!$C:$BQ,22,0)</f>
        <v>3567.6172350000002</v>
      </c>
      <c r="F256" s="115">
        <f>VLOOKUP($A256,'S0 remplacer avec S44'!$C:$BQ,29,0)</f>
        <v>1538</v>
      </c>
      <c r="G256" s="115">
        <f>VLOOKUP($A256,'S0 remplacer avec S44'!$C:$BQ,30,0)</f>
        <v>2559</v>
      </c>
      <c r="H256" s="115">
        <f>VLOOKUP($A256,'S0 remplacer avec S44'!$C:$BQ,52,0)</f>
        <v>267.2</v>
      </c>
      <c r="I256" s="115">
        <f>VLOOKUP($A256,'S0 remplacer avec S44'!$C:$BQ,59,0)</f>
        <v>18</v>
      </c>
      <c r="J256" s="115">
        <f>VLOOKUP($A256,'S0 remplacer avec S44'!$C:$BQ,60,0)</f>
        <v>75</v>
      </c>
      <c r="K256" s="107" t="e">
        <f>VLOOKUP($A256,'S45'!$C:$BQ,32,0)</f>
        <v>#N/A</v>
      </c>
      <c r="L256" s="107" t="e">
        <f>VLOOKUP($A256,'S45'!$C:$BQ,39,0)</f>
        <v>#N/A</v>
      </c>
      <c r="M256" s="107" t="e">
        <f>VLOOKUP($A256,'S45'!$C:$BQ,40,0)</f>
        <v>#N/A</v>
      </c>
      <c r="N256" s="107" t="e">
        <f>VLOOKUP($A256,'S45'!$C:$BQ,22,0)</f>
        <v>#N/A</v>
      </c>
      <c r="O256" s="115" t="e">
        <f>VLOOKUP($A256,'S45'!$C:$BQ,29,0)</f>
        <v>#N/A</v>
      </c>
      <c r="P256" s="115" t="e">
        <f>VLOOKUP($A256,'S45'!$C:$BQ,30,0)</f>
        <v>#N/A</v>
      </c>
      <c r="Q256" s="115" t="e">
        <f>VLOOKUP($A256,'S45'!$C:$BQ,52,0)</f>
        <v>#N/A</v>
      </c>
      <c r="R256" s="115" t="e">
        <f>VLOOKUP($A256,'S45'!$C:$BQ,59,0)</f>
        <v>#N/A</v>
      </c>
      <c r="S256" s="115" t="e">
        <f>VLOOKUP($A256,'S45'!$C:$BQ,60,0)</f>
        <v>#N/A</v>
      </c>
      <c r="T256" s="107" t="e">
        <f>VLOOKUP($A256,'S46'!$C:$BQ,32,0)</f>
        <v>#N/A</v>
      </c>
      <c r="U256" s="107" t="e">
        <f>VLOOKUP($A256,'S46'!$C:$BQ,39,0)</f>
        <v>#N/A</v>
      </c>
      <c r="V256" s="107" t="e">
        <f>VLOOKUP($A256,'S46'!$C:$BQ,40,0)</f>
        <v>#N/A</v>
      </c>
      <c r="W256" s="107" t="e">
        <f>VLOOKUP($A256,'S46'!$C:$BQ,22,0)</f>
        <v>#N/A</v>
      </c>
      <c r="X256" s="115" t="e">
        <f>VLOOKUP($A256,'S46'!$C:$BQ,29,0)</f>
        <v>#N/A</v>
      </c>
      <c r="Y256" s="115" t="e">
        <f>VLOOKUP($A256,'S46'!$C:$BQ,30,0)</f>
        <v>#N/A</v>
      </c>
      <c r="Z256" s="115" t="e">
        <f>VLOOKUP($A256,'S46'!$C:$BQ,52,0)</f>
        <v>#N/A</v>
      </c>
      <c r="AA256" s="115" t="e">
        <f>VLOOKUP($A256,'S46'!$C:$BQ,59,0)</f>
        <v>#N/A</v>
      </c>
      <c r="AB256" s="115" t="e">
        <f>VLOOKUP($A256,'S46'!$C:$BQ,60,0)</f>
        <v>#N/A</v>
      </c>
      <c r="AC256" s="107" t="e">
        <f>VLOOKUP($A256,'S47'!$C:$BQ,32,0)</f>
        <v>#N/A</v>
      </c>
      <c r="AD256" s="107" t="e">
        <f>VLOOKUP($A256,'S47'!$C:$BQ,39,0)</f>
        <v>#N/A</v>
      </c>
      <c r="AE256" s="107" t="e">
        <f>VLOOKUP($A256,'S47'!$C:$BQ,40,0)</f>
        <v>#N/A</v>
      </c>
      <c r="AF256" s="107" t="e">
        <f>VLOOKUP($A256,'S47'!$C:$BQ,22,0)</f>
        <v>#N/A</v>
      </c>
      <c r="AG256" s="115" t="e">
        <f>VLOOKUP($A256,'S47'!$C:$BQ,29,0)</f>
        <v>#N/A</v>
      </c>
      <c r="AH256" s="115" t="e">
        <f>VLOOKUP($A256,'S47'!$C:$BQ,30,0)</f>
        <v>#N/A</v>
      </c>
      <c r="AI256" s="115" t="e">
        <f>VLOOKUP($A256,'S47'!$C:$BQ,52,0)</f>
        <v>#N/A</v>
      </c>
      <c r="AJ256" s="115" t="e">
        <f>VLOOKUP($A256,'S47'!$C:$BQ,59,0)</f>
        <v>#N/A</v>
      </c>
      <c r="AK256" s="115" t="e">
        <f>VLOOKUP($A256,'S47'!$C:$BQ,60,0)</f>
        <v>#N/A</v>
      </c>
      <c r="AL256" s="107" t="e">
        <f>VLOOKUP($A256,'S48'!$C:$BQ,32,0)</f>
        <v>#N/A</v>
      </c>
      <c r="AM256" s="107" t="e">
        <f>VLOOKUP($A256,'S48'!$C:$BQ,39,0)</f>
        <v>#N/A</v>
      </c>
      <c r="AN256" s="107" t="e">
        <f>VLOOKUP($A256,'S48'!$C:$BQ,40,0)</f>
        <v>#N/A</v>
      </c>
      <c r="AO256" s="107" t="e">
        <f>VLOOKUP($A256,'S48'!$C:$BQ,22,0)</f>
        <v>#N/A</v>
      </c>
      <c r="AP256" s="115" t="e">
        <f>VLOOKUP($A256,'S48'!$C:$BQ,29,0)</f>
        <v>#N/A</v>
      </c>
      <c r="AQ256" s="115" t="e">
        <f>VLOOKUP($A256,'S48'!$C:$BQ,30,0)</f>
        <v>#N/A</v>
      </c>
      <c r="AR256" s="115" t="e">
        <f>VLOOKUP($A256,'S48'!$C:$BQ,52,0)</f>
        <v>#N/A</v>
      </c>
      <c r="AS256" s="115" t="e">
        <f>VLOOKUP($A256,'S48'!$C:$BQ,59,0)</f>
        <v>#N/A</v>
      </c>
      <c r="AT256" s="115" t="e">
        <f>VLOOKUP($A256,'S48'!$C:$BQ,60,0)</f>
        <v>#N/A</v>
      </c>
      <c r="AU256" s="107" t="e">
        <f>VLOOKUP($A256,'S49'!$C:$BQ,32,0)</f>
        <v>#N/A</v>
      </c>
      <c r="AV256" s="107" t="e">
        <f>VLOOKUP($A256,'S49'!$C:$BQ,39,0)</f>
        <v>#N/A</v>
      </c>
      <c r="AW256" s="107" t="e">
        <f>VLOOKUP($A256,'S49'!$C:$BQ,40,0)</f>
        <v>#N/A</v>
      </c>
      <c r="AX256" s="107" t="e">
        <f>VLOOKUP($A256,'S49'!$C:$BQ,22,0)</f>
        <v>#N/A</v>
      </c>
      <c r="AY256" s="115" t="e">
        <f>VLOOKUP($A256,'S49'!$C:$BQ,29,0)</f>
        <v>#N/A</v>
      </c>
      <c r="AZ256" s="115" t="e">
        <f>VLOOKUP($A256,'S49'!$C:$BQ,30,0)</f>
        <v>#N/A</v>
      </c>
      <c r="BA256" s="115" t="e">
        <f>VLOOKUP($A256,'S49'!$C:$BQ,52,0)</f>
        <v>#N/A</v>
      </c>
      <c r="BB256" s="115" t="e">
        <f>VLOOKUP($A256,'S49'!$C:$BQ,59,0)</f>
        <v>#N/A</v>
      </c>
      <c r="BC256" s="115" t="e">
        <f>VLOOKUP($A256,'S49'!$C:$BQ,60,0)</f>
        <v>#N/A</v>
      </c>
      <c r="BD256" s="107" t="e">
        <f>VLOOKUP($A256,'S50'!$C:$BQ,32,0)</f>
        <v>#N/A</v>
      </c>
      <c r="BE256" s="107" t="e">
        <f>VLOOKUP($A256,'S50'!$C:$BQ,39,0)</f>
        <v>#N/A</v>
      </c>
      <c r="BF256" s="107" t="e">
        <f>VLOOKUP($A256,'S50'!$C:$BQ,40,0)</f>
        <v>#N/A</v>
      </c>
      <c r="BG256" s="107" t="e">
        <f>VLOOKUP($A256,'S50'!$C:$BQ,22,0)</f>
        <v>#N/A</v>
      </c>
      <c r="BH256" s="115" t="e">
        <f>VLOOKUP($A256,'S50'!$C:$BQ,29,0)</f>
        <v>#N/A</v>
      </c>
      <c r="BI256" s="115" t="e">
        <f>VLOOKUP($A256,'S50'!$C:$BQ,30,0)</f>
        <v>#N/A</v>
      </c>
      <c r="BJ256" s="115" t="e">
        <f>VLOOKUP($A256,'S50'!$C:$BQ,52,0)</f>
        <v>#N/A</v>
      </c>
      <c r="BK256" s="115" t="e">
        <f>VLOOKUP($A256,'S50'!$C:$BQ,59,0)</f>
        <v>#N/A</v>
      </c>
      <c r="BL256" s="115" t="e">
        <f>VLOOKUP($A256,'S50'!$C:$BQ,60,0)</f>
        <v>#N/A</v>
      </c>
    </row>
    <row r="257" spans="1:64" x14ac:dyDescent="0.2">
      <c r="A257" s="106" t="s">
        <v>329</v>
      </c>
      <c r="B257" s="107">
        <f>VLOOKUP($A257,'S0 remplacer avec S44'!$C:$BQ,32,0)</f>
        <v>230.55</v>
      </c>
      <c r="C257" s="107">
        <f>VLOOKUP($A257,'S0 remplacer avec S44'!$C:$BQ,39,0)</f>
        <v>5</v>
      </c>
      <c r="D257" s="107">
        <f>VLOOKUP($A257,'S0 remplacer avec S44'!$C:$BQ,40,0)</f>
        <v>51</v>
      </c>
      <c r="E257" s="107">
        <f>VLOOKUP($A257,'S0 remplacer avec S44'!$C:$BQ,22,0)</f>
        <v>2821.0601550000001</v>
      </c>
      <c r="F257" s="115">
        <f>VLOOKUP($A257,'S0 remplacer avec S44'!$C:$BQ,29,0)</f>
        <v>0</v>
      </c>
      <c r="G257" s="115">
        <f>VLOOKUP($A257,'S0 remplacer avec S44'!$C:$BQ,30,0)</f>
        <v>0</v>
      </c>
      <c r="H257" s="115">
        <f>VLOOKUP($A257,'S0 remplacer avec S44'!$C:$BQ,52,0)</f>
        <v>153.80000000000001</v>
      </c>
      <c r="I257" s="115">
        <f>VLOOKUP($A257,'S0 remplacer avec S44'!$C:$BQ,59,0)</f>
        <v>0</v>
      </c>
      <c r="J257" s="115">
        <f>VLOOKUP($A257,'S0 remplacer avec S44'!$C:$BQ,60,0)</f>
        <v>0</v>
      </c>
      <c r="K257" s="107" t="e">
        <f>VLOOKUP($A257,'S45'!$C:$BQ,32,0)</f>
        <v>#N/A</v>
      </c>
      <c r="L257" s="107" t="e">
        <f>VLOOKUP($A257,'S45'!$C:$BQ,39,0)</f>
        <v>#N/A</v>
      </c>
      <c r="M257" s="107" t="e">
        <f>VLOOKUP($A257,'S45'!$C:$BQ,40,0)</f>
        <v>#N/A</v>
      </c>
      <c r="N257" s="107" t="e">
        <f>VLOOKUP($A257,'S45'!$C:$BQ,22,0)</f>
        <v>#N/A</v>
      </c>
      <c r="O257" s="115" t="e">
        <f>VLOOKUP($A257,'S45'!$C:$BQ,29,0)</f>
        <v>#N/A</v>
      </c>
      <c r="P257" s="115" t="e">
        <f>VLOOKUP($A257,'S45'!$C:$BQ,30,0)</f>
        <v>#N/A</v>
      </c>
      <c r="Q257" s="115" t="e">
        <f>VLOOKUP($A257,'S45'!$C:$BQ,52,0)</f>
        <v>#N/A</v>
      </c>
      <c r="R257" s="115" t="e">
        <f>VLOOKUP($A257,'S45'!$C:$BQ,59,0)</f>
        <v>#N/A</v>
      </c>
      <c r="S257" s="115" t="e">
        <f>VLOOKUP($A257,'S45'!$C:$BQ,60,0)</f>
        <v>#N/A</v>
      </c>
      <c r="T257" s="107" t="e">
        <f>VLOOKUP($A257,'S46'!$C:$BQ,32,0)</f>
        <v>#N/A</v>
      </c>
      <c r="U257" s="107" t="e">
        <f>VLOOKUP($A257,'S46'!$C:$BQ,39,0)</f>
        <v>#N/A</v>
      </c>
      <c r="V257" s="107" t="e">
        <f>VLOOKUP($A257,'S46'!$C:$BQ,40,0)</f>
        <v>#N/A</v>
      </c>
      <c r="W257" s="107" t="e">
        <f>VLOOKUP($A257,'S46'!$C:$BQ,22,0)</f>
        <v>#N/A</v>
      </c>
      <c r="X257" s="115" t="e">
        <f>VLOOKUP($A257,'S46'!$C:$BQ,29,0)</f>
        <v>#N/A</v>
      </c>
      <c r="Y257" s="115" t="e">
        <f>VLOOKUP($A257,'S46'!$C:$BQ,30,0)</f>
        <v>#N/A</v>
      </c>
      <c r="Z257" s="115" t="e">
        <f>VLOOKUP($A257,'S46'!$C:$BQ,52,0)</f>
        <v>#N/A</v>
      </c>
      <c r="AA257" s="115" t="e">
        <f>VLOOKUP($A257,'S46'!$C:$BQ,59,0)</f>
        <v>#N/A</v>
      </c>
      <c r="AB257" s="115" t="e">
        <f>VLOOKUP($A257,'S46'!$C:$BQ,60,0)</f>
        <v>#N/A</v>
      </c>
      <c r="AC257" s="107" t="e">
        <f>VLOOKUP($A257,'S47'!$C:$BQ,32,0)</f>
        <v>#N/A</v>
      </c>
      <c r="AD257" s="107" t="e">
        <f>VLOOKUP($A257,'S47'!$C:$BQ,39,0)</f>
        <v>#N/A</v>
      </c>
      <c r="AE257" s="107" t="e">
        <f>VLOOKUP($A257,'S47'!$C:$BQ,40,0)</f>
        <v>#N/A</v>
      </c>
      <c r="AF257" s="107" t="e">
        <f>VLOOKUP($A257,'S47'!$C:$BQ,22,0)</f>
        <v>#N/A</v>
      </c>
      <c r="AG257" s="115" t="e">
        <f>VLOOKUP($A257,'S47'!$C:$BQ,29,0)</f>
        <v>#N/A</v>
      </c>
      <c r="AH257" s="115" t="e">
        <f>VLOOKUP($A257,'S47'!$C:$BQ,30,0)</f>
        <v>#N/A</v>
      </c>
      <c r="AI257" s="115" t="e">
        <f>VLOOKUP($A257,'S47'!$C:$BQ,52,0)</f>
        <v>#N/A</v>
      </c>
      <c r="AJ257" s="115" t="e">
        <f>VLOOKUP($A257,'S47'!$C:$BQ,59,0)</f>
        <v>#N/A</v>
      </c>
      <c r="AK257" s="115" t="e">
        <f>VLOOKUP($A257,'S47'!$C:$BQ,60,0)</f>
        <v>#N/A</v>
      </c>
      <c r="AL257" s="107" t="e">
        <f>VLOOKUP($A257,'S48'!$C:$BQ,32,0)</f>
        <v>#N/A</v>
      </c>
      <c r="AM257" s="107" t="e">
        <f>VLOOKUP($A257,'S48'!$C:$BQ,39,0)</f>
        <v>#N/A</v>
      </c>
      <c r="AN257" s="107" t="e">
        <f>VLOOKUP($A257,'S48'!$C:$BQ,40,0)</f>
        <v>#N/A</v>
      </c>
      <c r="AO257" s="107" t="e">
        <f>VLOOKUP($A257,'S48'!$C:$BQ,22,0)</f>
        <v>#N/A</v>
      </c>
      <c r="AP257" s="115" t="e">
        <f>VLOOKUP($A257,'S48'!$C:$BQ,29,0)</f>
        <v>#N/A</v>
      </c>
      <c r="AQ257" s="115" t="e">
        <f>VLOOKUP($A257,'S48'!$C:$BQ,30,0)</f>
        <v>#N/A</v>
      </c>
      <c r="AR257" s="115" t="e">
        <f>VLOOKUP($A257,'S48'!$C:$BQ,52,0)</f>
        <v>#N/A</v>
      </c>
      <c r="AS257" s="115" t="e">
        <f>VLOOKUP($A257,'S48'!$C:$BQ,59,0)</f>
        <v>#N/A</v>
      </c>
      <c r="AT257" s="115" t="e">
        <f>VLOOKUP($A257,'S48'!$C:$BQ,60,0)</f>
        <v>#N/A</v>
      </c>
      <c r="AU257" s="107" t="e">
        <f>VLOOKUP($A257,'S49'!$C:$BQ,32,0)</f>
        <v>#N/A</v>
      </c>
      <c r="AV257" s="107" t="e">
        <f>VLOOKUP($A257,'S49'!$C:$BQ,39,0)</f>
        <v>#N/A</v>
      </c>
      <c r="AW257" s="107" t="e">
        <f>VLOOKUP($A257,'S49'!$C:$BQ,40,0)</f>
        <v>#N/A</v>
      </c>
      <c r="AX257" s="107" t="e">
        <f>VLOOKUP($A257,'S49'!$C:$BQ,22,0)</f>
        <v>#N/A</v>
      </c>
      <c r="AY257" s="115" t="e">
        <f>VLOOKUP($A257,'S49'!$C:$BQ,29,0)</f>
        <v>#N/A</v>
      </c>
      <c r="AZ257" s="115" t="e">
        <f>VLOOKUP($A257,'S49'!$C:$BQ,30,0)</f>
        <v>#N/A</v>
      </c>
      <c r="BA257" s="115" t="e">
        <f>VLOOKUP($A257,'S49'!$C:$BQ,52,0)</f>
        <v>#N/A</v>
      </c>
      <c r="BB257" s="115" t="e">
        <f>VLOOKUP($A257,'S49'!$C:$BQ,59,0)</f>
        <v>#N/A</v>
      </c>
      <c r="BC257" s="115" t="e">
        <f>VLOOKUP($A257,'S49'!$C:$BQ,60,0)</f>
        <v>#N/A</v>
      </c>
      <c r="BD257" s="107" t="e">
        <f>VLOOKUP($A257,'S50'!$C:$BQ,32,0)</f>
        <v>#N/A</v>
      </c>
      <c r="BE257" s="107" t="e">
        <f>VLOOKUP($A257,'S50'!$C:$BQ,39,0)</f>
        <v>#N/A</v>
      </c>
      <c r="BF257" s="107" t="e">
        <f>VLOOKUP($A257,'S50'!$C:$BQ,40,0)</f>
        <v>#N/A</v>
      </c>
      <c r="BG257" s="107" t="e">
        <f>VLOOKUP($A257,'S50'!$C:$BQ,22,0)</f>
        <v>#N/A</v>
      </c>
      <c r="BH257" s="115" t="e">
        <f>VLOOKUP($A257,'S50'!$C:$BQ,29,0)</f>
        <v>#N/A</v>
      </c>
      <c r="BI257" s="115" t="e">
        <f>VLOOKUP($A257,'S50'!$C:$BQ,30,0)</f>
        <v>#N/A</v>
      </c>
      <c r="BJ257" s="115" t="e">
        <f>VLOOKUP($A257,'S50'!$C:$BQ,52,0)</f>
        <v>#N/A</v>
      </c>
      <c r="BK257" s="115" t="e">
        <f>VLOOKUP($A257,'S50'!$C:$BQ,59,0)</f>
        <v>#N/A</v>
      </c>
      <c r="BL257" s="115" t="e">
        <f>VLOOKUP($A257,'S50'!$C:$BQ,60,0)</f>
        <v>#N/A</v>
      </c>
    </row>
    <row r="258" spans="1:64" x14ac:dyDescent="0.2">
      <c r="A258" s="106" t="s">
        <v>330</v>
      </c>
      <c r="B258" s="107">
        <f>VLOOKUP($A258,'S0 remplacer avec S44'!$C:$BQ,32,0)</f>
        <v>147.6</v>
      </c>
      <c r="C258" s="107">
        <f>VLOOKUP($A258,'S0 remplacer avec S44'!$C:$BQ,39,0)</f>
        <v>10</v>
      </c>
      <c r="D258" s="107">
        <f>VLOOKUP($A258,'S0 remplacer avec S44'!$C:$BQ,40,0)</f>
        <v>41</v>
      </c>
      <c r="E258" s="107">
        <f>VLOOKUP($A258,'S0 remplacer avec S44'!$C:$BQ,22,0)</f>
        <v>1308.4677750000001</v>
      </c>
      <c r="F258" s="115">
        <f>VLOOKUP($A258,'S0 remplacer avec S44'!$C:$BQ,29,0)</f>
        <v>117</v>
      </c>
      <c r="G258" s="115">
        <f>VLOOKUP($A258,'S0 remplacer avec S44'!$C:$BQ,30,0)</f>
        <v>402</v>
      </c>
      <c r="H258" s="115">
        <f>VLOOKUP($A258,'S0 remplacer avec S44'!$C:$BQ,52,0)</f>
        <v>90.6</v>
      </c>
      <c r="I258" s="115">
        <f>VLOOKUP($A258,'S0 remplacer avec S44'!$C:$BQ,59,0)</f>
        <v>0</v>
      </c>
      <c r="J258" s="115">
        <f>VLOOKUP($A258,'S0 remplacer avec S44'!$C:$BQ,60,0)</f>
        <v>5</v>
      </c>
      <c r="K258" s="107" t="e">
        <f>VLOOKUP($A258,'S45'!$C:$BQ,32,0)</f>
        <v>#N/A</v>
      </c>
      <c r="L258" s="107" t="e">
        <f>VLOOKUP($A258,'S45'!$C:$BQ,39,0)</f>
        <v>#N/A</v>
      </c>
      <c r="M258" s="107" t="e">
        <f>VLOOKUP($A258,'S45'!$C:$BQ,40,0)</f>
        <v>#N/A</v>
      </c>
      <c r="N258" s="107" t="e">
        <f>VLOOKUP($A258,'S45'!$C:$BQ,22,0)</f>
        <v>#N/A</v>
      </c>
      <c r="O258" s="115" t="e">
        <f>VLOOKUP($A258,'S45'!$C:$BQ,29,0)</f>
        <v>#N/A</v>
      </c>
      <c r="P258" s="115" t="e">
        <f>VLOOKUP($A258,'S45'!$C:$BQ,30,0)</f>
        <v>#N/A</v>
      </c>
      <c r="Q258" s="115" t="e">
        <f>VLOOKUP($A258,'S45'!$C:$BQ,52,0)</f>
        <v>#N/A</v>
      </c>
      <c r="R258" s="115" t="e">
        <f>VLOOKUP($A258,'S45'!$C:$BQ,59,0)</f>
        <v>#N/A</v>
      </c>
      <c r="S258" s="115" t="e">
        <f>VLOOKUP($A258,'S45'!$C:$BQ,60,0)</f>
        <v>#N/A</v>
      </c>
      <c r="T258" s="107" t="e">
        <f>VLOOKUP($A258,'S46'!$C:$BQ,32,0)</f>
        <v>#N/A</v>
      </c>
      <c r="U258" s="107" t="e">
        <f>VLOOKUP($A258,'S46'!$C:$BQ,39,0)</f>
        <v>#N/A</v>
      </c>
      <c r="V258" s="107" t="e">
        <f>VLOOKUP($A258,'S46'!$C:$BQ,40,0)</f>
        <v>#N/A</v>
      </c>
      <c r="W258" s="107" t="e">
        <f>VLOOKUP($A258,'S46'!$C:$BQ,22,0)</f>
        <v>#N/A</v>
      </c>
      <c r="X258" s="115" t="e">
        <f>VLOOKUP($A258,'S46'!$C:$BQ,29,0)</f>
        <v>#N/A</v>
      </c>
      <c r="Y258" s="115" t="e">
        <f>VLOOKUP($A258,'S46'!$C:$BQ,30,0)</f>
        <v>#N/A</v>
      </c>
      <c r="Z258" s="115" t="e">
        <f>VLOOKUP($A258,'S46'!$C:$BQ,52,0)</f>
        <v>#N/A</v>
      </c>
      <c r="AA258" s="115" t="e">
        <f>VLOOKUP($A258,'S46'!$C:$BQ,59,0)</f>
        <v>#N/A</v>
      </c>
      <c r="AB258" s="115" t="e">
        <f>VLOOKUP($A258,'S46'!$C:$BQ,60,0)</f>
        <v>#N/A</v>
      </c>
      <c r="AC258" s="107" t="e">
        <f>VLOOKUP($A258,'S47'!$C:$BQ,32,0)</f>
        <v>#N/A</v>
      </c>
      <c r="AD258" s="107" t="e">
        <f>VLOOKUP($A258,'S47'!$C:$BQ,39,0)</f>
        <v>#N/A</v>
      </c>
      <c r="AE258" s="107" t="e">
        <f>VLOOKUP($A258,'S47'!$C:$BQ,40,0)</f>
        <v>#N/A</v>
      </c>
      <c r="AF258" s="107" t="e">
        <f>VLOOKUP($A258,'S47'!$C:$BQ,22,0)</f>
        <v>#N/A</v>
      </c>
      <c r="AG258" s="115" t="e">
        <f>VLOOKUP($A258,'S47'!$C:$BQ,29,0)</f>
        <v>#N/A</v>
      </c>
      <c r="AH258" s="115" t="e">
        <f>VLOOKUP($A258,'S47'!$C:$BQ,30,0)</f>
        <v>#N/A</v>
      </c>
      <c r="AI258" s="115" t="e">
        <f>VLOOKUP($A258,'S47'!$C:$BQ,52,0)</f>
        <v>#N/A</v>
      </c>
      <c r="AJ258" s="115" t="e">
        <f>VLOOKUP($A258,'S47'!$C:$BQ,59,0)</f>
        <v>#N/A</v>
      </c>
      <c r="AK258" s="115" t="e">
        <f>VLOOKUP($A258,'S47'!$C:$BQ,60,0)</f>
        <v>#N/A</v>
      </c>
      <c r="AL258" s="107" t="e">
        <f>VLOOKUP($A258,'S48'!$C:$BQ,32,0)</f>
        <v>#N/A</v>
      </c>
      <c r="AM258" s="107" t="e">
        <f>VLOOKUP($A258,'S48'!$C:$BQ,39,0)</f>
        <v>#N/A</v>
      </c>
      <c r="AN258" s="107" t="e">
        <f>VLOOKUP($A258,'S48'!$C:$BQ,40,0)</f>
        <v>#N/A</v>
      </c>
      <c r="AO258" s="107" t="e">
        <f>VLOOKUP($A258,'S48'!$C:$BQ,22,0)</f>
        <v>#N/A</v>
      </c>
      <c r="AP258" s="115" t="e">
        <f>VLOOKUP($A258,'S48'!$C:$BQ,29,0)</f>
        <v>#N/A</v>
      </c>
      <c r="AQ258" s="115" t="e">
        <f>VLOOKUP($A258,'S48'!$C:$BQ,30,0)</f>
        <v>#N/A</v>
      </c>
      <c r="AR258" s="115" t="e">
        <f>VLOOKUP($A258,'S48'!$C:$BQ,52,0)</f>
        <v>#N/A</v>
      </c>
      <c r="AS258" s="115" t="e">
        <f>VLOOKUP($A258,'S48'!$C:$BQ,59,0)</f>
        <v>#N/A</v>
      </c>
      <c r="AT258" s="115" t="e">
        <f>VLOOKUP($A258,'S48'!$C:$BQ,60,0)</f>
        <v>#N/A</v>
      </c>
      <c r="AU258" s="107" t="e">
        <f>VLOOKUP($A258,'S49'!$C:$BQ,32,0)</f>
        <v>#N/A</v>
      </c>
      <c r="AV258" s="107" t="e">
        <f>VLOOKUP($A258,'S49'!$C:$BQ,39,0)</f>
        <v>#N/A</v>
      </c>
      <c r="AW258" s="107" t="e">
        <f>VLOOKUP($A258,'S49'!$C:$BQ,40,0)</f>
        <v>#N/A</v>
      </c>
      <c r="AX258" s="107" t="e">
        <f>VLOOKUP($A258,'S49'!$C:$BQ,22,0)</f>
        <v>#N/A</v>
      </c>
      <c r="AY258" s="115" t="e">
        <f>VLOOKUP($A258,'S49'!$C:$BQ,29,0)</f>
        <v>#N/A</v>
      </c>
      <c r="AZ258" s="115" t="e">
        <f>VLOOKUP($A258,'S49'!$C:$BQ,30,0)</f>
        <v>#N/A</v>
      </c>
      <c r="BA258" s="115" t="e">
        <f>VLOOKUP($A258,'S49'!$C:$BQ,52,0)</f>
        <v>#N/A</v>
      </c>
      <c r="BB258" s="115" t="e">
        <f>VLOOKUP($A258,'S49'!$C:$BQ,59,0)</f>
        <v>#N/A</v>
      </c>
      <c r="BC258" s="115" t="e">
        <f>VLOOKUP($A258,'S49'!$C:$BQ,60,0)</f>
        <v>#N/A</v>
      </c>
      <c r="BD258" s="107" t="e">
        <f>VLOOKUP($A258,'S50'!$C:$BQ,32,0)</f>
        <v>#N/A</v>
      </c>
      <c r="BE258" s="107" t="e">
        <f>VLOOKUP($A258,'S50'!$C:$BQ,39,0)</f>
        <v>#N/A</v>
      </c>
      <c r="BF258" s="107" t="e">
        <f>VLOOKUP($A258,'S50'!$C:$BQ,40,0)</f>
        <v>#N/A</v>
      </c>
      <c r="BG258" s="107" t="e">
        <f>VLOOKUP($A258,'S50'!$C:$BQ,22,0)</f>
        <v>#N/A</v>
      </c>
      <c r="BH258" s="115" t="e">
        <f>VLOOKUP($A258,'S50'!$C:$BQ,29,0)</f>
        <v>#N/A</v>
      </c>
      <c r="BI258" s="115" t="e">
        <f>VLOOKUP($A258,'S50'!$C:$BQ,30,0)</f>
        <v>#N/A</v>
      </c>
      <c r="BJ258" s="115" t="e">
        <f>VLOOKUP($A258,'S50'!$C:$BQ,52,0)</f>
        <v>#N/A</v>
      </c>
      <c r="BK258" s="115" t="e">
        <f>VLOOKUP($A258,'S50'!$C:$BQ,59,0)</f>
        <v>#N/A</v>
      </c>
      <c r="BL258" s="115" t="e">
        <f>VLOOKUP($A258,'S50'!$C:$BQ,60,0)</f>
        <v>#N/A</v>
      </c>
    </row>
    <row r="259" spans="1:64" x14ac:dyDescent="0.2">
      <c r="A259" s="106" t="s">
        <v>331</v>
      </c>
      <c r="B259" s="107">
        <f>VLOOKUP($A259,'S0 remplacer avec S44'!$C:$BQ,32,0)</f>
        <v>269.45</v>
      </c>
      <c r="C259" s="107">
        <f>VLOOKUP($A259,'S0 remplacer avec S44'!$C:$BQ,39,0)</f>
        <v>0</v>
      </c>
      <c r="D259" s="107">
        <f>VLOOKUP($A259,'S0 remplacer avec S44'!$C:$BQ,40,0)</f>
        <v>0</v>
      </c>
      <c r="E259" s="107">
        <f>VLOOKUP($A259,'S0 remplacer avec S44'!$C:$BQ,22,0)</f>
        <v>1911.418365</v>
      </c>
      <c r="F259" s="115">
        <f>VLOOKUP($A259,'S0 remplacer avec S44'!$C:$BQ,29,0)</f>
        <v>0</v>
      </c>
      <c r="G259" s="115">
        <f>VLOOKUP($A259,'S0 remplacer avec S44'!$C:$BQ,30,0)</f>
        <v>0</v>
      </c>
      <c r="H259" s="115">
        <f>VLOOKUP($A259,'S0 remplacer avec S44'!$C:$BQ,52,0)</f>
        <v>167.8</v>
      </c>
      <c r="I259" s="115">
        <f>VLOOKUP($A259,'S0 remplacer avec S44'!$C:$BQ,59,0)</f>
        <v>0</v>
      </c>
      <c r="J259" s="115">
        <f>VLOOKUP($A259,'S0 remplacer avec S44'!$C:$BQ,60,0)</f>
        <v>0</v>
      </c>
      <c r="K259" s="107" t="e">
        <f>VLOOKUP($A259,'S45'!$C:$BQ,32,0)</f>
        <v>#N/A</v>
      </c>
      <c r="L259" s="107" t="e">
        <f>VLOOKUP($A259,'S45'!$C:$BQ,39,0)</f>
        <v>#N/A</v>
      </c>
      <c r="M259" s="107" t="e">
        <f>VLOOKUP($A259,'S45'!$C:$BQ,40,0)</f>
        <v>#N/A</v>
      </c>
      <c r="N259" s="107" t="e">
        <f>VLOOKUP($A259,'S45'!$C:$BQ,22,0)</f>
        <v>#N/A</v>
      </c>
      <c r="O259" s="115" t="e">
        <f>VLOOKUP($A259,'S45'!$C:$BQ,29,0)</f>
        <v>#N/A</v>
      </c>
      <c r="P259" s="115" t="e">
        <f>VLOOKUP($A259,'S45'!$C:$BQ,30,0)</f>
        <v>#N/A</v>
      </c>
      <c r="Q259" s="115" t="e">
        <f>VLOOKUP($A259,'S45'!$C:$BQ,52,0)</f>
        <v>#N/A</v>
      </c>
      <c r="R259" s="115" t="e">
        <f>VLOOKUP($A259,'S45'!$C:$BQ,59,0)</f>
        <v>#N/A</v>
      </c>
      <c r="S259" s="115" t="e">
        <f>VLOOKUP($A259,'S45'!$C:$BQ,60,0)</f>
        <v>#N/A</v>
      </c>
      <c r="T259" s="107" t="e">
        <f>VLOOKUP($A259,'S46'!$C:$BQ,32,0)</f>
        <v>#N/A</v>
      </c>
      <c r="U259" s="107" t="e">
        <f>VLOOKUP($A259,'S46'!$C:$BQ,39,0)</f>
        <v>#N/A</v>
      </c>
      <c r="V259" s="107" t="e">
        <f>VLOOKUP($A259,'S46'!$C:$BQ,40,0)</f>
        <v>#N/A</v>
      </c>
      <c r="W259" s="107" t="e">
        <f>VLOOKUP($A259,'S46'!$C:$BQ,22,0)</f>
        <v>#N/A</v>
      </c>
      <c r="X259" s="115" t="e">
        <f>VLOOKUP($A259,'S46'!$C:$BQ,29,0)</f>
        <v>#N/A</v>
      </c>
      <c r="Y259" s="115" t="e">
        <f>VLOOKUP($A259,'S46'!$C:$BQ,30,0)</f>
        <v>#N/A</v>
      </c>
      <c r="Z259" s="115" t="e">
        <f>VLOOKUP($A259,'S46'!$C:$BQ,52,0)</f>
        <v>#N/A</v>
      </c>
      <c r="AA259" s="115" t="e">
        <f>VLOOKUP($A259,'S46'!$C:$BQ,59,0)</f>
        <v>#N/A</v>
      </c>
      <c r="AB259" s="115" t="e">
        <f>VLOOKUP($A259,'S46'!$C:$BQ,60,0)</f>
        <v>#N/A</v>
      </c>
      <c r="AC259" s="107" t="e">
        <f>VLOOKUP($A259,'S47'!$C:$BQ,32,0)</f>
        <v>#N/A</v>
      </c>
      <c r="AD259" s="107" t="e">
        <f>VLOOKUP($A259,'S47'!$C:$BQ,39,0)</f>
        <v>#N/A</v>
      </c>
      <c r="AE259" s="107" t="e">
        <f>VLOOKUP($A259,'S47'!$C:$BQ,40,0)</f>
        <v>#N/A</v>
      </c>
      <c r="AF259" s="107" t="e">
        <f>VLOOKUP($A259,'S47'!$C:$BQ,22,0)</f>
        <v>#N/A</v>
      </c>
      <c r="AG259" s="115" t="e">
        <f>VLOOKUP($A259,'S47'!$C:$BQ,29,0)</f>
        <v>#N/A</v>
      </c>
      <c r="AH259" s="115" t="e">
        <f>VLOOKUP($A259,'S47'!$C:$BQ,30,0)</f>
        <v>#N/A</v>
      </c>
      <c r="AI259" s="115" t="e">
        <f>VLOOKUP($A259,'S47'!$C:$BQ,52,0)</f>
        <v>#N/A</v>
      </c>
      <c r="AJ259" s="115" t="e">
        <f>VLOOKUP($A259,'S47'!$C:$BQ,59,0)</f>
        <v>#N/A</v>
      </c>
      <c r="AK259" s="115" t="e">
        <f>VLOOKUP($A259,'S47'!$C:$BQ,60,0)</f>
        <v>#N/A</v>
      </c>
      <c r="AL259" s="107" t="e">
        <f>VLOOKUP($A259,'S48'!$C:$BQ,32,0)</f>
        <v>#N/A</v>
      </c>
      <c r="AM259" s="107" t="e">
        <f>VLOOKUP($A259,'S48'!$C:$BQ,39,0)</f>
        <v>#N/A</v>
      </c>
      <c r="AN259" s="107" t="e">
        <f>VLOOKUP($A259,'S48'!$C:$BQ,40,0)</f>
        <v>#N/A</v>
      </c>
      <c r="AO259" s="107" t="e">
        <f>VLOOKUP($A259,'S48'!$C:$BQ,22,0)</f>
        <v>#N/A</v>
      </c>
      <c r="AP259" s="115" t="e">
        <f>VLOOKUP($A259,'S48'!$C:$BQ,29,0)</f>
        <v>#N/A</v>
      </c>
      <c r="AQ259" s="115" t="e">
        <f>VLOOKUP($A259,'S48'!$C:$BQ,30,0)</f>
        <v>#N/A</v>
      </c>
      <c r="AR259" s="115" t="e">
        <f>VLOOKUP($A259,'S48'!$C:$BQ,52,0)</f>
        <v>#N/A</v>
      </c>
      <c r="AS259" s="115" t="e">
        <f>VLOOKUP($A259,'S48'!$C:$BQ,59,0)</f>
        <v>#N/A</v>
      </c>
      <c r="AT259" s="115" t="e">
        <f>VLOOKUP($A259,'S48'!$C:$BQ,60,0)</f>
        <v>#N/A</v>
      </c>
      <c r="AU259" s="107" t="e">
        <f>VLOOKUP($A259,'S49'!$C:$BQ,32,0)</f>
        <v>#N/A</v>
      </c>
      <c r="AV259" s="107" t="e">
        <f>VLOOKUP($A259,'S49'!$C:$BQ,39,0)</f>
        <v>#N/A</v>
      </c>
      <c r="AW259" s="107" t="e">
        <f>VLOOKUP($A259,'S49'!$C:$BQ,40,0)</f>
        <v>#N/A</v>
      </c>
      <c r="AX259" s="107" t="e">
        <f>VLOOKUP($A259,'S49'!$C:$BQ,22,0)</f>
        <v>#N/A</v>
      </c>
      <c r="AY259" s="115" t="e">
        <f>VLOOKUP($A259,'S49'!$C:$BQ,29,0)</f>
        <v>#N/A</v>
      </c>
      <c r="AZ259" s="115" t="e">
        <f>VLOOKUP($A259,'S49'!$C:$BQ,30,0)</f>
        <v>#N/A</v>
      </c>
      <c r="BA259" s="115" t="e">
        <f>VLOOKUP($A259,'S49'!$C:$BQ,52,0)</f>
        <v>#N/A</v>
      </c>
      <c r="BB259" s="115" t="e">
        <f>VLOOKUP($A259,'S49'!$C:$BQ,59,0)</f>
        <v>#N/A</v>
      </c>
      <c r="BC259" s="115" t="e">
        <f>VLOOKUP($A259,'S49'!$C:$BQ,60,0)</f>
        <v>#N/A</v>
      </c>
      <c r="BD259" s="107" t="e">
        <f>VLOOKUP($A259,'S50'!$C:$BQ,32,0)</f>
        <v>#N/A</v>
      </c>
      <c r="BE259" s="107" t="e">
        <f>VLOOKUP($A259,'S50'!$C:$BQ,39,0)</f>
        <v>#N/A</v>
      </c>
      <c r="BF259" s="107" t="e">
        <f>VLOOKUP($A259,'S50'!$C:$BQ,40,0)</f>
        <v>#N/A</v>
      </c>
      <c r="BG259" s="107" t="e">
        <f>VLOOKUP($A259,'S50'!$C:$BQ,22,0)</f>
        <v>#N/A</v>
      </c>
      <c r="BH259" s="115" t="e">
        <f>VLOOKUP($A259,'S50'!$C:$BQ,29,0)</f>
        <v>#N/A</v>
      </c>
      <c r="BI259" s="115" t="e">
        <f>VLOOKUP($A259,'S50'!$C:$BQ,30,0)</f>
        <v>#N/A</v>
      </c>
      <c r="BJ259" s="115" t="e">
        <f>VLOOKUP($A259,'S50'!$C:$BQ,52,0)</f>
        <v>#N/A</v>
      </c>
      <c r="BK259" s="115" t="e">
        <f>VLOOKUP($A259,'S50'!$C:$BQ,59,0)</f>
        <v>#N/A</v>
      </c>
      <c r="BL259" s="115" t="e">
        <f>VLOOKUP($A259,'S50'!$C:$BQ,60,0)</f>
        <v>#N/A</v>
      </c>
    </row>
    <row r="260" spans="1:64" x14ac:dyDescent="0.2">
      <c r="A260" s="106" t="s">
        <v>332</v>
      </c>
      <c r="B260" s="107">
        <f>VLOOKUP($A260,'S0 remplacer avec S44'!$C:$BQ,32,0)</f>
        <v>115.95</v>
      </c>
      <c r="C260" s="107">
        <f>VLOOKUP($A260,'S0 remplacer avec S44'!$C:$BQ,39,0)</f>
        <v>45</v>
      </c>
      <c r="D260" s="107">
        <f>VLOOKUP($A260,'S0 remplacer avec S44'!$C:$BQ,40,0)</f>
        <v>77</v>
      </c>
      <c r="E260" s="107">
        <f>VLOOKUP($A260,'S0 remplacer avec S44'!$C:$BQ,22,0)</f>
        <v>1334.525445</v>
      </c>
      <c r="F260" s="115">
        <f>VLOOKUP($A260,'S0 remplacer avec S44'!$C:$BQ,29,0)</f>
        <v>125</v>
      </c>
      <c r="G260" s="115">
        <f>VLOOKUP($A260,'S0 remplacer avec S44'!$C:$BQ,30,0)</f>
        <v>417</v>
      </c>
      <c r="H260" s="115">
        <f>VLOOKUP($A260,'S0 remplacer avec S44'!$C:$BQ,52,0)</f>
        <v>88.6</v>
      </c>
      <c r="I260" s="115">
        <f>VLOOKUP($A260,'S0 remplacer avec S44'!$C:$BQ,59,0)</f>
        <v>0</v>
      </c>
      <c r="J260" s="115">
        <f>VLOOKUP($A260,'S0 remplacer avec S44'!$C:$BQ,60,0)</f>
        <v>10</v>
      </c>
      <c r="K260" s="107" t="e">
        <f>VLOOKUP($A260,'S45'!$C:$BQ,32,0)</f>
        <v>#N/A</v>
      </c>
      <c r="L260" s="107" t="e">
        <f>VLOOKUP($A260,'S45'!$C:$BQ,39,0)</f>
        <v>#N/A</v>
      </c>
      <c r="M260" s="107" t="e">
        <f>VLOOKUP($A260,'S45'!$C:$BQ,40,0)</f>
        <v>#N/A</v>
      </c>
      <c r="N260" s="107" t="e">
        <f>VLOOKUP($A260,'S45'!$C:$BQ,22,0)</f>
        <v>#N/A</v>
      </c>
      <c r="O260" s="115" t="e">
        <f>VLOOKUP($A260,'S45'!$C:$BQ,29,0)</f>
        <v>#N/A</v>
      </c>
      <c r="P260" s="115" t="e">
        <f>VLOOKUP($A260,'S45'!$C:$BQ,30,0)</f>
        <v>#N/A</v>
      </c>
      <c r="Q260" s="115" t="e">
        <f>VLOOKUP($A260,'S45'!$C:$BQ,52,0)</f>
        <v>#N/A</v>
      </c>
      <c r="R260" s="115" t="e">
        <f>VLOOKUP($A260,'S45'!$C:$BQ,59,0)</f>
        <v>#N/A</v>
      </c>
      <c r="S260" s="115" t="e">
        <f>VLOOKUP($A260,'S45'!$C:$BQ,60,0)</f>
        <v>#N/A</v>
      </c>
      <c r="T260" s="107" t="e">
        <f>VLOOKUP($A260,'S46'!$C:$BQ,32,0)</f>
        <v>#N/A</v>
      </c>
      <c r="U260" s="107" t="e">
        <f>VLOOKUP($A260,'S46'!$C:$BQ,39,0)</f>
        <v>#N/A</v>
      </c>
      <c r="V260" s="107" t="e">
        <f>VLOOKUP($A260,'S46'!$C:$BQ,40,0)</f>
        <v>#N/A</v>
      </c>
      <c r="W260" s="107" t="e">
        <f>VLOOKUP($A260,'S46'!$C:$BQ,22,0)</f>
        <v>#N/A</v>
      </c>
      <c r="X260" s="115" t="e">
        <f>VLOOKUP($A260,'S46'!$C:$BQ,29,0)</f>
        <v>#N/A</v>
      </c>
      <c r="Y260" s="115" t="e">
        <f>VLOOKUP($A260,'S46'!$C:$BQ,30,0)</f>
        <v>#N/A</v>
      </c>
      <c r="Z260" s="115" t="e">
        <f>VLOOKUP($A260,'S46'!$C:$BQ,52,0)</f>
        <v>#N/A</v>
      </c>
      <c r="AA260" s="115" t="e">
        <f>VLOOKUP($A260,'S46'!$C:$BQ,59,0)</f>
        <v>#N/A</v>
      </c>
      <c r="AB260" s="115" t="e">
        <f>VLOOKUP($A260,'S46'!$C:$BQ,60,0)</f>
        <v>#N/A</v>
      </c>
      <c r="AC260" s="107" t="e">
        <f>VLOOKUP($A260,'S47'!$C:$BQ,32,0)</f>
        <v>#N/A</v>
      </c>
      <c r="AD260" s="107" t="e">
        <f>VLOOKUP($A260,'S47'!$C:$BQ,39,0)</f>
        <v>#N/A</v>
      </c>
      <c r="AE260" s="107" t="e">
        <f>VLOOKUP($A260,'S47'!$C:$BQ,40,0)</f>
        <v>#N/A</v>
      </c>
      <c r="AF260" s="107" t="e">
        <f>VLOOKUP($A260,'S47'!$C:$BQ,22,0)</f>
        <v>#N/A</v>
      </c>
      <c r="AG260" s="115" t="e">
        <f>VLOOKUP($A260,'S47'!$C:$BQ,29,0)</f>
        <v>#N/A</v>
      </c>
      <c r="AH260" s="115" t="e">
        <f>VLOOKUP($A260,'S47'!$C:$BQ,30,0)</f>
        <v>#N/A</v>
      </c>
      <c r="AI260" s="115" t="e">
        <f>VLOOKUP($A260,'S47'!$C:$BQ,52,0)</f>
        <v>#N/A</v>
      </c>
      <c r="AJ260" s="115" t="e">
        <f>VLOOKUP($A260,'S47'!$C:$BQ,59,0)</f>
        <v>#N/A</v>
      </c>
      <c r="AK260" s="115" t="e">
        <f>VLOOKUP($A260,'S47'!$C:$BQ,60,0)</f>
        <v>#N/A</v>
      </c>
      <c r="AL260" s="107" t="e">
        <f>VLOOKUP($A260,'S48'!$C:$BQ,32,0)</f>
        <v>#N/A</v>
      </c>
      <c r="AM260" s="107" t="e">
        <f>VLOOKUP($A260,'S48'!$C:$BQ,39,0)</f>
        <v>#N/A</v>
      </c>
      <c r="AN260" s="107" t="e">
        <f>VLOOKUP($A260,'S48'!$C:$BQ,40,0)</f>
        <v>#N/A</v>
      </c>
      <c r="AO260" s="107" t="e">
        <f>VLOOKUP($A260,'S48'!$C:$BQ,22,0)</f>
        <v>#N/A</v>
      </c>
      <c r="AP260" s="115" t="e">
        <f>VLOOKUP($A260,'S48'!$C:$BQ,29,0)</f>
        <v>#N/A</v>
      </c>
      <c r="AQ260" s="115" t="e">
        <f>VLOOKUP($A260,'S48'!$C:$BQ,30,0)</f>
        <v>#N/A</v>
      </c>
      <c r="AR260" s="115" t="e">
        <f>VLOOKUP($A260,'S48'!$C:$BQ,52,0)</f>
        <v>#N/A</v>
      </c>
      <c r="AS260" s="115" t="e">
        <f>VLOOKUP($A260,'S48'!$C:$BQ,59,0)</f>
        <v>#N/A</v>
      </c>
      <c r="AT260" s="115" t="e">
        <f>VLOOKUP($A260,'S48'!$C:$BQ,60,0)</f>
        <v>#N/A</v>
      </c>
      <c r="AU260" s="107" t="e">
        <f>VLOOKUP($A260,'S49'!$C:$BQ,32,0)</f>
        <v>#N/A</v>
      </c>
      <c r="AV260" s="107" t="e">
        <f>VLOOKUP($A260,'S49'!$C:$BQ,39,0)</f>
        <v>#N/A</v>
      </c>
      <c r="AW260" s="107" t="e">
        <f>VLOOKUP($A260,'S49'!$C:$BQ,40,0)</f>
        <v>#N/A</v>
      </c>
      <c r="AX260" s="107" t="e">
        <f>VLOOKUP($A260,'S49'!$C:$BQ,22,0)</f>
        <v>#N/A</v>
      </c>
      <c r="AY260" s="115" t="e">
        <f>VLOOKUP($A260,'S49'!$C:$BQ,29,0)</f>
        <v>#N/A</v>
      </c>
      <c r="AZ260" s="115" t="e">
        <f>VLOOKUP($A260,'S49'!$C:$BQ,30,0)</f>
        <v>#N/A</v>
      </c>
      <c r="BA260" s="115" t="e">
        <f>VLOOKUP($A260,'S49'!$C:$BQ,52,0)</f>
        <v>#N/A</v>
      </c>
      <c r="BB260" s="115" t="e">
        <f>VLOOKUP($A260,'S49'!$C:$BQ,59,0)</f>
        <v>#N/A</v>
      </c>
      <c r="BC260" s="115" t="e">
        <f>VLOOKUP($A260,'S49'!$C:$BQ,60,0)</f>
        <v>#N/A</v>
      </c>
      <c r="BD260" s="107" t="e">
        <f>VLOOKUP($A260,'S50'!$C:$BQ,32,0)</f>
        <v>#N/A</v>
      </c>
      <c r="BE260" s="107" t="e">
        <f>VLOOKUP($A260,'S50'!$C:$BQ,39,0)</f>
        <v>#N/A</v>
      </c>
      <c r="BF260" s="107" t="e">
        <f>VLOOKUP($A260,'S50'!$C:$BQ,40,0)</f>
        <v>#N/A</v>
      </c>
      <c r="BG260" s="107" t="e">
        <f>VLOOKUP($A260,'S50'!$C:$BQ,22,0)</f>
        <v>#N/A</v>
      </c>
      <c r="BH260" s="115" t="e">
        <f>VLOOKUP($A260,'S50'!$C:$BQ,29,0)</f>
        <v>#N/A</v>
      </c>
      <c r="BI260" s="115" t="e">
        <f>VLOOKUP($A260,'S50'!$C:$BQ,30,0)</f>
        <v>#N/A</v>
      </c>
      <c r="BJ260" s="115" t="e">
        <f>VLOOKUP($A260,'S50'!$C:$BQ,52,0)</f>
        <v>#N/A</v>
      </c>
      <c r="BK260" s="115" t="e">
        <f>VLOOKUP($A260,'S50'!$C:$BQ,59,0)</f>
        <v>#N/A</v>
      </c>
      <c r="BL260" s="115" t="e">
        <f>VLOOKUP($A260,'S50'!$C:$BQ,60,0)</f>
        <v>#N/A</v>
      </c>
    </row>
    <row r="261" spans="1:64" x14ac:dyDescent="0.2">
      <c r="A261" s="106" t="s">
        <v>333</v>
      </c>
      <c r="B261" s="107">
        <f>VLOOKUP($A261,'S0 remplacer avec S44'!$C:$BQ,32,0)</f>
        <v>68.349999999999994</v>
      </c>
      <c r="C261" s="107">
        <f>VLOOKUP($A261,'S0 remplacer avec S44'!$C:$BQ,39,0)</f>
        <v>78</v>
      </c>
      <c r="D261" s="107">
        <f>VLOOKUP($A261,'S0 remplacer avec S44'!$C:$BQ,40,0)</f>
        <v>107</v>
      </c>
      <c r="E261" s="107">
        <f>VLOOKUP($A261,'S0 remplacer avec S44'!$C:$BQ,22,0)</f>
        <v>1445.844525</v>
      </c>
      <c r="F261" s="115">
        <f>VLOOKUP($A261,'S0 remplacer avec S44'!$C:$BQ,29,0)</f>
        <v>0</v>
      </c>
      <c r="G261" s="115">
        <f>VLOOKUP($A261,'S0 remplacer avec S44'!$C:$BQ,30,0)</f>
        <v>147</v>
      </c>
      <c r="H261" s="115">
        <f>VLOOKUP($A261,'S0 remplacer avec S44'!$C:$BQ,52,0)</f>
        <v>61</v>
      </c>
      <c r="I261" s="115">
        <f>VLOOKUP($A261,'S0 remplacer avec S44'!$C:$BQ,59,0)</f>
        <v>14</v>
      </c>
      <c r="J261" s="115">
        <f>VLOOKUP($A261,'S0 remplacer avec S44'!$C:$BQ,60,0)</f>
        <v>28</v>
      </c>
      <c r="K261" s="107" t="e">
        <f>VLOOKUP($A261,'S45'!$C:$BQ,32,0)</f>
        <v>#N/A</v>
      </c>
      <c r="L261" s="107" t="e">
        <f>VLOOKUP($A261,'S45'!$C:$BQ,39,0)</f>
        <v>#N/A</v>
      </c>
      <c r="M261" s="107" t="e">
        <f>VLOOKUP($A261,'S45'!$C:$BQ,40,0)</f>
        <v>#N/A</v>
      </c>
      <c r="N261" s="107" t="e">
        <f>VLOOKUP($A261,'S45'!$C:$BQ,22,0)</f>
        <v>#N/A</v>
      </c>
      <c r="O261" s="115" t="e">
        <f>VLOOKUP($A261,'S45'!$C:$BQ,29,0)</f>
        <v>#N/A</v>
      </c>
      <c r="P261" s="115" t="e">
        <f>VLOOKUP($A261,'S45'!$C:$BQ,30,0)</f>
        <v>#N/A</v>
      </c>
      <c r="Q261" s="115" t="e">
        <f>VLOOKUP($A261,'S45'!$C:$BQ,52,0)</f>
        <v>#N/A</v>
      </c>
      <c r="R261" s="115" t="e">
        <f>VLOOKUP($A261,'S45'!$C:$BQ,59,0)</f>
        <v>#N/A</v>
      </c>
      <c r="S261" s="115" t="e">
        <f>VLOOKUP($A261,'S45'!$C:$BQ,60,0)</f>
        <v>#N/A</v>
      </c>
      <c r="T261" s="107" t="e">
        <f>VLOOKUP($A261,'S46'!$C:$BQ,32,0)</f>
        <v>#N/A</v>
      </c>
      <c r="U261" s="107" t="e">
        <f>VLOOKUP($A261,'S46'!$C:$BQ,39,0)</f>
        <v>#N/A</v>
      </c>
      <c r="V261" s="107" t="e">
        <f>VLOOKUP($A261,'S46'!$C:$BQ,40,0)</f>
        <v>#N/A</v>
      </c>
      <c r="W261" s="107" t="e">
        <f>VLOOKUP($A261,'S46'!$C:$BQ,22,0)</f>
        <v>#N/A</v>
      </c>
      <c r="X261" s="115" t="e">
        <f>VLOOKUP($A261,'S46'!$C:$BQ,29,0)</f>
        <v>#N/A</v>
      </c>
      <c r="Y261" s="115" t="e">
        <f>VLOOKUP($A261,'S46'!$C:$BQ,30,0)</f>
        <v>#N/A</v>
      </c>
      <c r="Z261" s="115" t="e">
        <f>VLOOKUP($A261,'S46'!$C:$BQ,52,0)</f>
        <v>#N/A</v>
      </c>
      <c r="AA261" s="115" t="e">
        <f>VLOOKUP($A261,'S46'!$C:$BQ,59,0)</f>
        <v>#N/A</v>
      </c>
      <c r="AB261" s="115" t="e">
        <f>VLOOKUP($A261,'S46'!$C:$BQ,60,0)</f>
        <v>#N/A</v>
      </c>
      <c r="AC261" s="107" t="e">
        <f>VLOOKUP($A261,'S47'!$C:$BQ,32,0)</f>
        <v>#N/A</v>
      </c>
      <c r="AD261" s="107" t="e">
        <f>VLOOKUP($A261,'S47'!$C:$BQ,39,0)</f>
        <v>#N/A</v>
      </c>
      <c r="AE261" s="107" t="e">
        <f>VLOOKUP($A261,'S47'!$C:$BQ,40,0)</f>
        <v>#N/A</v>
      </c>
      <c r="AF261" s="107" t="e">
        <f>VLOOKUP($A261,'S47'!$C:$BQ,22,0)</f>
        <v>#N/A</v>
      </c>
      <c r="AG261" s="115" t="e">
        <f>VLOOKUP($A261,'S47'!$C:$BQ,29,0)</f>
        <v>#N/A</v>
      </c>
      <c r="AH261" s="115" t="e">
        <f>VLOOKUP($A261,'S47'!$C:$BQ,30,0)</f>
        <v>#N/A</v>
      </c>
      <c r="AI261" s="115" t="e">
        <f>VLOOKUP($A261,'S47'!$C:$BQ,52,0)</f>
        <v>#N/A</v>
      </c>
      <c r="AJ261" s="115" t="e">
        <f>VLOOKUP($A261,'S47'!$C:$BQ,59,0)</f>
        <v>#N/A</v>
      </c>
      <c r="AK261" s="115" t="e">
        <f>VLOOKUP($A261,'S47'!$C:$BQ,60,0)</f>
        <v>#N/A</v>
      </c>
      <c r="AL261" s="107" t="e">
        <f>VLOOKUP($A261,'S48'!$C:$BQ,32,0)</f>
        <v>#N/A</v>
      </c>
      <c r="AM261" s="107" t="e">
        <f>VLOOKUP($A261,'S48'!$C:$BQ,39,0)</f>
        <v>#N/A</v>
      </c>
      <c r="AN261" s="107" t="e">
        <f>VLOOKUP($A261,'S48'!$C:$BQ,40,0)</f>
        <v>#N/A</v>
      </c>
      <c r="AO261" s="107" t="e">
        <f>VLOOKUP($A261,'S48'!$C:$BQ,22,0)</f>
        <v>#N/A</v>
      </c>
      <c r="AP261" s="115" t="e">
        <f>VLOOKUP($A261,'S48'!$C:$BQ,29,0)</f>
        <v>#N/A</v>
      </c>
      <c r="AQ261" s="115" t="e">
        <f>VLOOKUP($A261,'S48'!$C:$BQ,30,0)</f>
        <v>#N/A</v>
      </c>
      <c r="AR261" s="115" t="e">
        <f>VLOOKUP($A261,'S48'!$C:$BQ,52,0)</f>
        <v>#N/A</v>
      </c>
      <c r="AS261" s="115" t="e">
        <f>VLOOKUP($A261,'S48'!$C:$BQ,59,0)</f>
        <v>#N/A</v>
      </c>
      <c r="AT261" s="115" t="e">
        <f>VLOOKUP($A261,'S48'!$C:$BQ,60,0)</f>
        <v>#N/A</v>
      </c>
      <c r="AU261" s="107" t="e">
        <f>VLOOKUP($A261,'S49'!$C:$BQ,32,0)</f>
        <v>#N/A</v>
      </c>
      <c r="AV261" s="107" t="e">
        <f>VLOOKUP($A261,'S49'!$C:$BQ,39,0)</f>
        <v>#N/A</v>
      </c>
      <c r="AW261" s="107" t="e">
        <f>VLOOKUP($A261,'S49'!$C:$BQ,40,0)</f>
        <v>#N/A</v>
      </c>
      <c r="AX261" s="107" t="e">
        <f>VLOOKUP($A261,'S49'!$C:$BQ,22,0)</f>
        <v>#N/A</v>
      </c>
      <c r="AY261" s="115" t="e">
        <f>VLOOKUP($A261,'S49'!$C:$BQ,29,0)</f>
        <v>#N/A</v>
      </c>
      <c r="AZ261" s="115" t="e">
        <f>VLOOKUP($A261,'S49'!$C:$BQ,30,0)</f>
        <v>#N/A</v>
      </c>
      <c r="BA261" s="115" t="e">
        <f>VLOOKUP($A261,'S49'!$C:$BQ,52,0)</f>
        <v>#N/A</v>
      </c>
      <c r="BB261" s="115" t="e">
        <f>VLOOKUP($A261,'S49'!$C:$BQ,59,0)</f>
        <v>#N/A</v>
      </c>
      <c r="BC261" s="115" t="e">
        <f>VLOOKUP($A261,'S49'!$C:$BQ,60,0)</f>
        <v>#N/A</v>
      </c>
      <c r="BD261" s="107" t="e">
        <f>VLOOKUP($A261,'S50'!$C:$BQ,32,0)</f>
        <v>#N/A</v>
      </c>
      <c r="BE261" s="107" t="e">
        <f>VLOOKUP($A261,'S50'!$C:$BQ,39,0)</f>
        <v>#N/A</v>
      </c>
      <c r="BF261" s="107" t="e">
        <f>VLOOKUP($A261,'S50'!$C:$BQ,40,0)</f>
        <v>#N/A</v>
      </c>
      <c r="BG261" s="107" t="e">
        <f>VLOOKUP($A261,'S50'!$C:$BQ,22,0)</f>
        <v>#N/A</v>
      </c>
      <c r="BH261" s="115" t="e">
        <f>VLOOKUP($A261,'S50'!$C:$BQ,29,0)</f>
        <v>#N/A</v>
      </c>
      <c r="BI261" s="115" t="e">
        <f>VLOOKUP($A261,'S50'!$C:$BQ,30,0)</f>
        <v>#N/A</v>
      </c>
      <c r="BJ261" s="115" t="e">
        <f>VLOOKUP($A261,'S50'!$C:$BQ,52,0)</f>
        <v>#N/A</v>
      </c>
      <c r="BK261" s="115" t="e">
        <f>VLOOKUP($A261,'S50'!$C:$BQ,59,0)</f>
        <v>#N/A</v>
      </c>
      <c r="BL261" s="115" t="e">
        <f>VLOOKUP($A261,'S50'!$C:$BQ,60,0)</f>
        <v>#N/A</v>
      </c>
    </row>
    <row r="262" spans="1:64" x14ac:dyDescent="0.2">
      <c r="A262" s="106" t="s">
        <v>334</v>
      </c>
      <c r="B262" s="107">
        <f>VLOOKUP($A262,'S0 remplacer avec S44'!$C:$BQ,32,0)</f>
        <v>489.75</v>
      </c>
      <c r="C262" s="107">
        <f>VLOOKUP($A262,'S0 remplacer avec S44'!$C:$BQ,39,0)</f>
        <v>60</v>
      </c>
      <c r="D262" s="107">
        <f>VLOOKUP($A262,'S0 remplacer avec S44'!$C:$BQ,40,0)</f>
        <v>170</v>
      </c>
      <c r="E262" s="107">
        <f>VLOOKUP($A262,'S0 remplacer avec S44'!$C:$BQ,22,0)</f>
        <v>3451.98261</v>
      </c>
      <c r="F262" s="115">
        <f>VLOOKUP($A262,'S0 remplacer avec S44'!$C:$BQ,29,0)</f>
        <v>1548</v>
      </c>
      <c r="G262" s="115">
        <f>VLOOKUP($A262,'S0 remplacer avec S44'!$C:$BQ,30,0)</f>
        <v>2547</v>
      </c>
      <c r="H262" s="115">
        <f>VLOOKUP($A262,'S0 remplacer avec S44'!$C:$BQ,52,0)</f>
        <v>267</v>
      </c>
      <c r="I262" s="115">
        <f>VLOOKUP($A262,'S0 remplacer avec S44'!$C:$BQ,59,0)</f>
        <v>13</v>
      </c>
      <c r="J262" s="115">
        <f>VLOOKUP($A262,'S0 remplacer avec S44'!$C:$BQ,60,0)</f>
        <v>69</v>
      </c>
      <c r="K262" s="107" t="e">
        <f>VLOOKUP($A262,'S45'!$C:$BQ,32,0)</f>
        <v>#N/A</v>
      </c>
      <c r="L262" s="107" t="e">
        <f>VLOOKUP($A262,'S45'!$C:$BQ,39,0)</f>
        <v>#N/A</v>
      </c>
      <c r="M262" s="107" t="e">
        <f>VLOOKUP($A262,'S45'!$C:$BQ,40,0)</f>
        <v>#N/A</v>
      </c>
      <c r="N262" s="107" t="e">
        <f>VLOOKUP($A262,'S45'!$C:$BQ,22,0)</f>
        <v>#N/A</v>
      </c>
      <c r="O262" s="115" t="e">
        <f>VLOOKUP($A262,'S45'!$C:$BQ,29,0)</f>
        <v>#N/A</v>
      </c>
      <c r="P262" s="115" t="e">
        <f>VLOOKUP($A262,'S45'!$C:$BQ,30,0)</f>
        <v>#N/A</v>
      </c>
      <c r="Q262" s="115" t="e">
        <f>VLOOKUP($A262,'S45'!$C:$BQ,52,0)</f>
        <v>#N/A</v>
      </c>
      <c r="R262" s="115" t="e">
        <f>VLOOKUP($A262,'S45'!$C:$BQ,59,0)</f>
        <v>#N/A</v>
      </c>
      <c r="S262" s="115" t="e">
        <f>VLOOKUP($A262,'S45'!$C:$BQ,60,0)</f>
        <v>#N/A</v>
      </c>
      <c r="T262" s="107" t="e">
        <f>VLOOKUP($A262,'S46'!$C:$BQ,32,0)</f>
        <v>#N/A</v>
      </c>
      <c r="U262" s="107" t="e">
        <f>VLOOKUP($A262,'S46'!$C:$BQ,39,0)</f>
        <v>#N/A</v>
      </c>
      <c r="V262" s="107" t="e">
        <f>VLOOKUP($A262,'S46'!$C:$BQ,40,0)</f>
        <v>#N/A</v>
      </c>
      <c r="W262" s="107" t="e">
        <f>VLOOKUP($A262,'S46'!$C:$BQ,22,0)</f>
        <v>#N/A</v>
      </c>
      <c r="X262" s="115" t="e">
        <f>VLOOKUP($A262,'S46'!$C:$BQ,29,0)</f>
        <v>#N/A</v>
      </c>
      <c r="Y262" s="115" t="e">
        <f>VLOOKUP($A262,'S46'!$C:$BQ,30,0)</f>
        <v>#N/A</v>
      </c>
      <c r="Z262" s="115" t="e">
        <f>VLOOKUP($A262,'S46'!$C:$BQ,52,0)</f>
        <v>#N/A</v>
      </c>
      <c r="AA262" s="115" t="e">
        <f>VLOOKUP($A262,'S46'!$C:$BQ,59,0)</f>
        <v>#N/A</v>
      </c>
      <c r="AB262" s="115" t="e">
        <f>VLOOKUP($A262,'S46'!$C:$BQ,60,0)</f>
        <v>#N/A</v>
      </c>
      <c r="AC262" s="107" t="e">
        <f>VLOOKUP($A262,'S47'!$C:$BQ,32,0)</f>
        <v>#N/A</v>
      </c>
      <c r="AD262" s="107" t="e">
        <f>VLOOKUP($A262,'S47'!$C:$BQ,39,0)</f>
        <v>#N/A</v>
      </c>
      <c r="AE262" s="107" t="e">
        <f>VLOOKUP($A262,'S47'!$C:$BQ,40,0)</f>
        <v>#N/A</v>
      </c>
      <c r="AF262" s="107" t="e">
        <f>VLOOKUP($A262,'S47'!$C:$BQ,22,0)</f>
        <v>#N/A</v>
      </c>
      <c r="AG262" s="115" t="e">
        <f>VLOOKUP($A262,'S47'!$C:$BQ,29,0)</f>
        <v>#N/A</v>
      </c>
      <c r="AH262" s="115" t="e">
        <f>VLOOKUP($A262,'S47'!$C:$BQ,30,0)</f>
        <v>#N/A</v>
      </c>
      <c r="AI262" s="115" t="e">
        <f>VLOOKUP($A262,'S47'!$C:$BQ,52,0)</f>
        <v>#N/A</v>
      </c>
      <c r="AJ262" s="115" t="e">
        <f>VLOOKUP($A262,'S47'!$C:$BQ,59,0)</f>
        <v>#N/A</v>
      </c>
      <c r="AK262" s="115" t="e">
        <f>VLOOKUP($A262,'S47'!$C:$BQ,60,0)</f>
        <v>#N/A</v>
      </c>
      <c r="AL262" s="107" t="e">
        <f>VLOOKUP($A262,'S48'!$C:$BQ,32,0)</f>
        <v>#N/A</v>
      </c>
      <c r="AM262" s="107" t="e">
        <f>VLOOKUP($A262,'S48'!$C:$BQ,39,0)</f>
        <v>#N/A</v>
      </c>
      <c r="AN262" s="107" t="e">
        <f>VLOOKUP($A262,'S48'!$C:$BQ,40,0)</f>
        <v>#N/A</v>
      </c>
      <c r="AO262" s="107" t="e">
        <f>VLOOKUP($A262,'S48'!$C:$BQ,22,0)</f>
        <v>#N/A</v>
      </c>
      <c r="AP262" s="115" t="e">
        <f>VLOOKUP($A262,'S48'!$C:$BQ,29,0)</f>
        <v>#N/A</v>
      </c>
      <c r="AQ262" s="115" t="e">
        <f>VLOOKUP($A262,'S48'!$C:$BQ,30,0)</f>
        <v>#N/A</v>
      </c>
      <c r="AR262" s="115" t="e">
        <f>VLOOKUP($A262,'S48'!$C:$BQ,52,0)</f>
        <v>#N/A</v>
      </c>
      <c r="AS262" s="115" t="e">
        <f>VLOOKUP($A262,'S48'!$C:$BQ,59,0)</f>
        <v>#N/A</v>
      </c>
      <c r="AT262" s="115" t="e">
        <f>VLOOKUP($A262,'S48'!$C:$BQ,60,0)</f>
        <v>#N/A</v>
      </c>
      <c r="AU262" s="107" t="e">
        <f>VLOOKUP($A262,'S49'!$C:$BQ,32,0)</f>
        <v>#N/A</v>
      </c>
      <c r="AV262" s="107" t="e">
        <f>VLOOKUP($A262,'S49'!$C:$BQ,39,0)</f>
        <v>#N/A</v>
      </c>
      <c r="AW262" s="107" t="e">
        <f>VLOOKUP($A262,'S49'!$C:$BQ,40,0)</f>
        <v>#N/A</v>
      </c>
      <c r="AX262" s="107" t="e">
        <f>VLOOKUP($A262,'S49'!$C:$BQ,22,0)</f>
        <v>#N/A</v>
      </c>
      <c r="AY262" s="115" t="e">
        <f>VLOOKUP($A262,'S49'!$C:$BQ,29,0)</f>
        <v>#N/A</v>
      </c>
      <c r="AZ262" s="115" t="e">
        <f>VLOOKUP($A262,'S49'!$C:$BQ,30,0)</f>
        <v>#N/A</v>
      </c>
      <c r="BA262" s="115" t="e">
        <f>VLOOKUP($A262,'S49'!$C:$BQ,52,0)</f>
        <v>#N/A</v>
      </c>
      <c r="BB262" s="115" t="e">
        <f>VLOOKUP($A262,'S49'!$C:$BQ,59,0)</f>
        <v>#N/A</v>
      </c>
      <c r="BC262" s="115" t="e">
        <f>VLOOKUP($A262,'S49'!$C:$BQ,60,0)</f>
        <v>#N/A</v>
      </c>
      <c r="BD262" s="107" t="e">
        <f>VLOOKUP($A262,'S50'!$C:$BQ,32,0)</f>
        <v>#N/A</v>
      </c>
      <c r="BE262" s="107" t="e">
        <f>VLOOKUP($A262,'S50'!$C:$BQ,39,0)</f>
        <v>#N/A</v>
      </c>
      <c r="BF262" s="107" t="e">
        <f>VLOOKUP($A262,'S50'!$C:$BQ,40,0)</f>
        <v>#N/A</v>
      </c>
      <c r="BG262" s="107" t="e">
        <f>VLOOKUP($A262,'S50'!$C:$BQ,22,0)</f>
        <v>#N/A</v>
      </c>
      <c r="BH262" s="115" t="e">
        <f>VLOOKUP($A262,'S50'!$C:$BQ,29,0)</f>
        <v>#N/A</v>
      </c>
      <c r="BI262" s="115" t="e">
        <f>VLOOKUP($A262,'S50'!$C:$BQ,30,0)</f>
        <v>#N/A</v>
      </c>
      <c r="BJ262" s="115" t="e">
        <f>VLOOKUP($A262,'S50'!$C:$BQ,52,0)</f>
        <v>#N/A</v>
      </c>
      <c r="BK262" s="115" t="e">
        <f>VLOOKUP($A262,'S50'!$C:$BQ,59,0)</f>
        <v>#N/A</v>
      </c>
      <c r="BL262" s="115" t="e">
        <f>VLOOKUP($A262,'S50'!$C:$BQ,60,0)</f>
        <v>#N/A</v>
      </c>
    </row>
    <row r="263" spans="1:64" x14ac:dyDescent="0.2">
      <c r="A263" s="106" t="s">
        <v>335</v>
      </c>
      <c r="B263" s="107">
        <f>VLOOKUP($A263,'S0 remplacer avec S44'!$C:$BQ,32,0)</f>
        <v>159.5</v>
      </c>
      <c r="C263" s="107">
        <f>VLOOKUP($A263,'S0 remplacer avec S44'!$C:$BQ,39,0)</f>
        <v>0</v>
      </c>
      <c r="D263" s="107">
        <f>VLOOKUP($A263,'S0 remplacer avec S44'!$C:$BQ,40,0)</f>
        <v>0</v>
      </c>
      <c r="E263" s="107">
        <f>VLOOKUP($A263,'S0 remplacer avec S44'!$C:$BQ,22,0)</f>
        <v>1773.9150950000001</v>
      </c>
      <c r="F263" s="115">
        <f>VLOOKUP($A263,'S0 remplacer avec S44'!$C:$BQ,29,0)</f>
        <v>0</v>
      </c>
      <c r="G263" s="115">
        <f>VLOOKUP($A263,'S0 remplacer avec S44'!$C:$BQ,30,0)</f>
        <v>0</v>
      </c>
      <c r="H263" s="115">
        <f>VLOOKUP($A263,'S0 remplacer avec S44'!$C:$BQ,52,0)</f>
        <v>101.8</v>
      </c>
      <c r="I263" s="115">
        <f>VLOOKUP($A263,'S0 remplacer avec S44'!$C:$BQ,59,0)</f>
        <v>0</v>
      </c>
      <c r="J263" s="115">
        <f>VLOOKUP($A263,'S0 remplacer avec S44'!$C:$BQ,60,0)</f>
        <v>0</v>
      </c>
      <c r="K263" s="107" t="e">
        <f>VLOOKUP($A263,'S45'!$C:$BQ,32,0)</f>
        <v>#N/A</v>
      </c>
      <c r="L263" s="107" t="e">
        <f>VLOOKUP($A263,'S45'!$C:$BQ,39,0)</f>
        <v>#N/A</v>
      </c>
      <c r="M263" s="107" t="e">
        <f>VLOOKUP($A263,'S45'!$C:$BQ,40,0)</f>
        <v>#N/A</v>
      </c>
      <c r="N263" s="107" t="e">
        <f>VLOOKUP($A263,'S45'!$C:$BQ,22,0)</f>
        <v>#N/A</v>
      </c>
      <c r="O263" s="115" t="e">
        <f>VLOOKUP($A263,'S45'!$C:$BQ,29,0)</f>
        <v>#N/A</v>
      </c>
      <c r="P263" s="115" t="e">
        <f>VLOOKUP($A263,'S45'!$C:$BQ,30,0)</f>
        <v>#N/A</v>
      </c>
      <c r="Q263" s="115" t="e">
        <f>VLOOKUP($A263,'S45'!$C:$BQ,52,0)</f>
        <v>#N/A</v>
      </c>
      <c r="R263" s="115" t="e">
        <f>VLOOKUP($A263,'S45'!$C:$BQ,59,0)</f>
        <v>#N/A</v>
      </c>
      <c r="S263" s="115" t="e">
        <f>VLOOKUP($A263,'S45'!$C:$BQ,60,0)</f>
        <v>#N/A</v>
      </c>
      <c r="T263" s="107" t="e">
        <f>VLOOKUP($A263,'S46'!$C:$BQ,32,0)</f>
        <v>#N/A</v>
      </c>
      <c r="U263" s="107" t="e">
        <f>VLOOKUP($A263,'S46'!$C:$BQ,39,0)</f>
        <v>#N/A</v>
      </c>
      <c r="V263" s="107" t="e">
        <f>VLOOKUP($A263,'S46'!$C:$BQ,40,0)</f>
        <v>#N/A</v>
      </c>
      <c r="W263" s="107" t="e">
        <f>VLOOKUP($A263,'S46'!$C:$BQ,22,0)</f>
        <v>#N/A</v>
      </c>
      <c r="X263" s="115" t="e">
        <f>VLOOKUP($A263,'S46'!$C:$BQ,29,0)</f>
        <v>#N/A</v>
      </c>
      <c r="Y263" s="115" t="e">
        <f>VLOOKUP($A263,'S46'!$C:$BQ,30,0)</f>
        <v>#N/A</v>
      </c>
      <c r="Z263" s="115" t="e">
        <f>VLOOKUP($A263,'S46'!$C:$BQ,52,0)</f>
        <v>#N/A</v>
      </c>
      <c r="AA263" s="115" t="e">
        <f>VLOOKUP($A263,'S46'!$C:$BQ,59,0)</f>
        <v>#N/A</v>
      </c>
      <c r="AB263" s="115" t="e">
        <f>VLOOKUP($A263,'S46'!$C:$BQ,60,0)</f>
        <v>#N/A</v>
      </c>
      <c r="AC263" s="107" t="e">
        <f>VLOOKUP($A263,'S47'!$C:$BQ,32,0)</f>
        <v>#N/A</v>
      </c>
      <c r="AD263" s="107" t="e">
        <f>VLOOKUP($A263,'S47'!$C:$BQ,39,0)</f>
        <v>#N/A</v>
      </c>
      <c r="AE263" s="107" t="e">
        <f>VLOOKUP($A263,'S47'!$C:$BQ,40,0)</f>
        <v>#N/A</v>
      </c>
      <c r="AF263" s="107" t="e">
        <f>VLOOKUP($A263,'S47'!$C:$BQ,22,0)</f>
        <v>#N/A</v>
      </c>
      <c r="AG263" s="115" t="e">
        <f>VLOOKUP($A263,'S47'!$C:$BQ,29,0)</f>
        <v>#N/A</v>
      </c>
      <c r="AH263" s="115" t="e">
        <f>VLOOKUP($A263,'S47'!$C:$BQ,30,0)</f>
        <v>#N/A</v>
      </c>
      <c r="AI263" s="115" t="e">
        <f>VLOOKUP($A263,'S47'!$C:$BQ,52,0)</f>
        <v>#N/A</v>
      </c>
      <c r="AJ263" s="115" t="e">
        <f>VLOOKUP($A263,'S47'!$C:$BQ,59,0)</f>
        <v>#N/A</v>
      </c>
      <c r="AK263" s="115" t="e">
        <f>VLOOKUP($A263,'S47'!$C:$BQ,60,0)</f>
        <v>#N/A</v>
      </c>
      <c r="AL263" s="107" t="e">
        <f>VLOOKUP($A263,'S48'!$C:$BQ,32,0)</f>
        <v>#N/A</v>
      </c>
      <c r="AM263" s="107" t="e">
        <f>VLOOKUP($A263,'S48'!$C:$BQ,39,0)</f>
        <v>#N/A</v>
      </c>
      <c r="AN263" s="107" t="e">
        <f>VLOOKUP($A263,'S48'!$C:$BQ,40,0)</f>
        <v>#N/A</v>
      </c>
      <c r="AO263" s="107" t="e">
        <f>VLOOKUP($A263,'S48'!$C:$BQ,22,0)</f>
        <v>#N/A</v>
      </c>
      <c r="AP263" s="115" t="e">
        <f>VLOOKUP($A263,'S48'!$C:$BQ,29,0)</f>
        <v>#N/A</v>
      </c>
      <c r="AQ263" s="115" t="e">
        <f>VLOOKUP($A263,'S48'!$C:$BQ,30,0)</f>
        <v>#N/A</v>
      </c>
      <c r="AR263" s="115" t="e">
        <f>VLOOKUP($A263,'S48'!$C:$BQ,52,0)</f>
        <v>#N/A</v>
      </c>
      <c r="AS263" s="115" t="e">
        <f>VLOOKUP($A263,'S48'!$C:$BQ,59,0)</f>
        <v>#N/A</v>
      </c>
      <c r="AT263" s="115" t="e">
        <f>VLOOKUP($A263,'S48'!$C:$BQ,60,0)</f>
        <v>#N/A</v>
      </c>
      <c r="AU263" s="107" t="e">
        <f>VLOOKUP($A263,'S49'!$C:$BQ,32,0)</f>
        <v>#N/A</v>
      </c>
      <c r="AV263" s="107" t="e">
        <f>VLOOKUP($A263,'S49'!$C:$BQ,39,0)</f>
        <v>#N/A</v>
      </c>
      <c r="AW263" s="107" t="e">
        <f>VLOOKUP($A263,'S49'!$C:$BQ,40,0)</f>
        <v>#N/A</v>
      </c>
      <c r="AX263" s="107" t="e">
        <f>VLOOKUP($A263,'S49'!$C:$BQ,22,0)</f>
        <v>#N/A</v>
      </c>
      <c r="AY263" s="115" t="e">
        <f>VLOOKUP($A263,'S49'!$C:$BQ,29,0)</f>
        <v>#N/A</v>
      </c>
      <c r="AZ263" s="115" t="e">
        <f>VLOOKUP($A263,'S49'!$C:$BQ,30,0)</f>
        <v>#N/A</v>
      </c>
      <c r="BA263" s="115" t="e">
        <f>VLOOKUP($A263,'S49'!$C:$BQ,52,0)</f>
        <v>#N/A</v>
      </c>
      <c r="BB263" s="115" t="e">
        <f>VLOOKUP($A263,'S49'!$C:$BQ,59,0)</f>
        <v>#N/A</v>
      </c>
      <c r="BC263" s="115" t="e">
        <f>VLOOKUP($A263,'S49'!$C:$BQ,60,0)</f>
        <v>#N/A</v>
      </c>
      <c r="BD263" s="107" t="e">
        <f>VLOOKUP($A263,'S50'!$C:$BQ,32,0)</f>
        <v>#N/A</v>
      </c>
      <c r="BE263" s="107" t="e">
        <f>VLOOKUP($A263,'S50'!$C:$BQ,39,0)</f>
        <v>#N/A</v>
      </c>
      <c r="BF263" s="107" t="e">
        <f>VLOOKUP($A263,'S50'!$C:$BQ,40,0)</f>
        <v>#N/A</v>
      </c>
      <c r="BG263" s="107" t="e">
        <f>VLOOKUP($A263,'S50'!$C:$BQ,22,0)</f>
        <v>#N/A</v>
      </c>
      <c r="BH263" s="115" t="e">
        <f>VLOOKUP($A263,'S50'!$C:$BQ,29,0)</f>
        <v>#N/A</v>
      </c>
      <c r="BI263" s="115" t="e">
        <f>VLOOKUP($A263,'S50'!$C:$BQ,30,0)</f>
        <v>#N/A</v>
      </c>
      <c r="BJ263" s="115" t="e">
        <f>VLOOKUP($A263,'S50'!$C:$BQ,52,0)</f>
        <v>#N/A</v>
      </c>
      <c r="BK263" s="115" t="e">
        <f>VLOOKUP($A263,'S50'!$C:$BQ,59,0)</f>
        <v>#N/A</v>
      </c>
      <c r="BL263" s="115" t="e">
        <f>VLOOKUP($A263,'S50'!$C:$BQ,60,0)</f>
        <v>#N/A</v>
      </c>
    </row>
    <row r="264" spans="1:64" x14ac:dyDescent="0.2">
      <c r="A264" s="106" t="s">
        <v>336</v>
      </c>
      <c r="B264" s="107">
        <f>VLOOKUP($A264,'S0 remplacer avec S44'!$C:$BQ,32,0)</f>
        <v>13.8</v>
      </c>
      <c r="C264" s="107">
        <f>VLOOKUP($A264,'S0 remplacer avec S44'!$C:$BQ,39,0)</f>
        <v>91</v>
      </c>
      <c r="D264" s="107">
        <f>VLOOKUP($A264,'S0 remplacer avec S44'!$C:$BQ,40,0)</f>
        <v>112</v>
      </c>
      <c r="E264" s="107">
        <f>VLOOKUP($A264,'S0 remplacer avec S44'!$C:$BQ,22,0)</f>
        <v>186.24148</v>
      </c>
      <c r="F264" s="115">
        <f>VLOOKUP($A264,'S0 remplacer avec S44'!$C:$BQ,29,0)</f>
        <v>765</v>
      </c>
      <c r="G264" s="115">
        <f>VLOOKUP($A264,'S0 remplacer avec S44'!$C:$BQ,30,0)</f>
        <v>955</v>
      </c>
      <c r="H264" s="115">
        <f>VLOOKUP($A264,'S0 remplacer avec S44'!$C:$BQ,52,0)</f>
        <v>1</v>
      </c>
      <c r="I264" s="115">
        <f>VLOOKUP($A264,'S0 remplacer avec S44'!$C:$BQ,59,0)</f>
        <v>53</v>
      </c>
      <c r="J264" s="115">
        <f>VLOOKUP($A264,'S0 remplacer avec S44'!$C:$BQ,60,0)</f>
        <v>63</v>
      </c>
      <c r="K264" s="107" t="e">
        <f>VLOOKUP($A264,'S45'!$C:$BQ,32,0)</f>
        <v>#N/A</v>
      </c>
      <c r="L264" s="107" t="e">
        <f>VLOOKUP($A264,'S45'!$C:$BQ,39,0)</f>
        <v>#N/A</v>
      </c>
      <c r="M264" s="107" t="e">
        <f>VLOOKUP($A264,'S45'!$C:$BQ,40,0)</f>
        <v>#N/A</v>
      </c>
      <c r="N264" s="107" t="e">
        <f>VLOOKUP($A264,'S45'!$C:$BQ,22,0)</f>
        <v>#N/A</v>
      </c>
      <c r="O264" s="115" t="e">
        <f>VLOOKUP($A264,'S45'!$C:$BQ,29,0)</f>
        <v>#N/A</v>
      </c>
      <c r="P264" s="115" t="e">
        <f>VLOOKUP($A264,'S45'!$C:$BQ,30,0)</f>
        <v>#N/A</v>
      </c>
      <c r="Q264" s="115" t="e">
        <f>VLOOKUP($A264,'S45'!$C:$BQ,52,0)</f>
        <v>#N/A</v>
      </c>
      <c r="R264" s="115" t="e">
        <f>VLOOKUP($A264,'S45'!$C:$BQ,59,0)</f>
        <v>#N/A</v>
      </c>
      <c r="S264" s="115" t="e">
        <f>VLOOKUP($A264,'S45'!$C:$BQ,60,0)</f>
        <v>#N/A</v>
      </c>
      <c r="T264" s="107" t="e">
        <f>VLOOKUP($A264,'S46'!$C:$BQ,32,0)</f>
        <v>#N/A</v>
      </c>
      <c r="U264" s="107" t="e">
        <f>VLOOKUP($A264,'S46'!$C:$BQ,39,0)</f>
        <v>#N/A</v>
      </c>
      <c r="V264" s="107" t="e">
        <f>VLOOKUP($A264,'S46'!$C:$BQ,40,0)</f>
        <v>#N/A</v>
      </c>
      <c r="W264" s="107" t="e">
        <f>VLOOKUP($A264,'S46'!$C:$BQ,22,0)</f>
        <v>#N/A</v>
      </c>
      <c r="X264" s="115" t="e">
        <f>VLOOKUP($A264,'S46'!$C:$BQ,29,0)</f>
        <v>#N/A</v>
      </c>
      <c r="Y264" s="115" t="e">
        <f>VLOOKUP($A264,'S46'!$C:$BQ,30,0)</f>
        <v>#N/A</v>
      </c>
      <c r="Z264" s="115" t="e">
        <f>VLOOKUP($A264,'S46'!$C:$BQ,52,0)</f>
        <v>#N/A</v>
      </c>
      <c r="AA264" s="115" t="e">
        <f>VLOOKUP($A264,'S46'!$C:$BQ,59,0)</f>
        <v>#N/A</v>
      </c>
      <c r="AB264" s="115" t="e">
        <f>VLOOKUP($A264,'S46'!$C:$BQ,60,0)</f>
        <v>#N/A</v>
      </c>
      <c r="AC264" s="107" t="e">
        <f>VLOOKUP($A264,'S47'!$C:$BQ,32,0)</f>
        <v>#N/A</v>
      </c>
      <c r="AD264" s="107" t="e">
        <f>VLOOKUP($A264,'S47'!$C:$BQ,39,0)</f>
        <v>#N/A</v>
      </c>
      <c r="AE264" s="107" t="e">
        <f>VLOOKUP($A264,'S47'!$C:$BQ,40,0)</f>
        <v>#N/A</v>
      </c>
      <c r="AF264" s="107" t="e">
        <f>VLOOKUP($A264,'S47'!$C:$BQ,22,0)</f>
        <v>#N/A</v>
      </c>
      <c r="AG264" s="115" t="e">
        <f>VLOOKUP($A264,'S47'!$C:$BQ,29,0)</f>
        <v>#N/A</v>
      </c>
      <c r="AH264" s="115" t="e">
        <f>VLOOKUP($A264,'S47'!$C:$BQ,30,0)</f>
        <v>#N/A</v>
      </c>
      <c r="AI264" s="115" t="e">
        <f>VLOOKUP($A264,'S47'!$C:$BQ,52,0)</f>
        <v>#N/A</v>
      </c>
      <c r="AJ264" s="115" t="e">
        <f>VLOOKUP($A264,'S47'!$C:$BQ,59,0)</f>
        <v>#N/A</v>
      </c>
      <c r="AK264" s="115" t="e">
        <f>VLOOKUP($A264,'S47'!$C:$BQ,60,0)</f>
        <v>#N/A</v>
      </c>
      <c r="AL264" s="107" t="e">
        <f>VLOOKUP($A264,'S48'!$C:$BQ,32,0)</f>
        <v>#N/A</v>
      </c>
      <c r="AM264" s="107" t="e">
        <f>VLOOKUP($A264,'S48'!$C:$BQ,39,0)</f>
        <v>#N/A</v>
      </c>
      <c r="AN264" s="107" t="e">
        <f>VLOOKUP($A264,'S48'!$C:$BQ,40,0)</f>
        <v>#N/A</v>
      </c>
      <c r="AO264" s="107" t="e">
        <f>VLOOKUP($A264,'S48'!$C:$BQ,22,0)</f>
        <v>#N/A</v>
      </c>
      <c r="AP264" s="115" t="e">
        <f>VLOOKUP($A264,'S48'!$C:$BQ,29,0)</f>
        <v>#N/A</v>
      </c>
      <c r="AQ264" s="115" t="e">
        <f>VLOOKUP($A264,'S48'!$C:$BQ,30,0)</f>
        <v>#N/A</v>
      </c>
      <c r="AR264" s="115" t="e">
        <f>VLOOKUP($A264,'S48'!$C:$BQ,52,0)</f>
        <v>#N/A</v>
      </c>
      <c r="AS264" s="115" t="e">
        <f>VLOOKUP($A264,'S48'!$C:$BQ,59,0)</f>
        <v>#N/A</v>
      </c>
      <c r="AT264" s="115" t="e">
        <f>VLOOKUP($A264,'S48'!$C:$BQ,60,0)</f>
        <v>#N/A</v>
      </c>
      <c r="AU264" s="107" t="e">
        <f>VLOOKUP($A264,'S49'!$C:$BQ,32,0)</f>
        <v>#N/A</v>
      </c>
      <c r="AV264" s="107" t="e">
        <f>VLOOKUP($A264,'S49'!$C:$BQ,39,0)</f>
        <v>#N/A</v>
      </c>
      <c r="AW264" s="107" t="e">
        <f>VLOOKUP($A264,'S49'!$C:$BQ,40,0)</f>
        <v>#N/A</v>
      </c>
      <c r="AX264" s="107" t="e">
        <f>VLOOKUP($A264,'S49'!$C:$BQ,22,0)</f>
        <v>#N/A</v>
      </c>
      <c r="AY264" s="115" t="e">
        <f>VLOOKUP($A264,'S49'!$C:$BQ,29,0)</f>
        <v>#N/A</v>
      </c>
      <c r="AZ264" s="115" t="e">
        <f>VLOOKUP($A264,'S49'!$C:$BQ,30,0)</f>
        <v>#N/A</v>
      </c>
      <c r="BA264" s="115" t="e">
        <f>VLOOKUP($A264,'S49'!$C:$BQ,52,0)</f>
        <v>#N/A</v>
      </c>
      <c r="BB264" s="115" t="e">
        <f>VLOOKUP($A264,'S49'!$C:$BQ,59,0)</f>
        <v>#N/A</v>
      </c>
      <c r="BC264" s="115" t="e">
        <f>VLOOKUP($A264,'S49'!$C:$BQ,60,0)</f>
        <v>#N/A</v>
      </c>
      <c r="BD264" s="107" t="e">
        <f>VLOOKUP($A264,'S50'!$C:$BQ,32,0)</f>
        <v>#N/A</v>
      </c>
      <c r="BE264" s="107" t="e">
        <f>VLOOKUP($A264,'S50'!$C:$BQ,39,0)</f>
        <v>#N/A</v>
      </c>
      <c r="BF264" s="107" t="e">
        <f>VLOOKUP($A264,'S50'!$C:$BQ,40,0)</f>
        <v>#N/A</v>
      </c>
      <c r="BG264" s="107" t="e">
        <f>VLOOKUP($A264,'S50'!$C:$BQ,22,0)</f>
        <v>#N/A</v>
      </c>
      <c r="BH264" s="115" t="e">
        <f>VLOOKUP($A264,'S50'!$C:$BQ,29,0)</f>
        <v>#N/A</v>
      </c>
      <c r="BI264" s="115" t="e">
        <f>VLOOKUP($A264,'S50'!$C:$BQ,30,0)</f>
        <v>#N/A</v>
      </c>
      <c r="BJ264" s="115" t="e">
        <f>VLOOKUP($A264,'S50'!$C:$BQ,52,0)</f>
        <v>#N/A</v>
      </c>
      <c r="BK264" s="115" t="e">
        <f>VLOOKUP($A264,'S50'!$C:$BQ,59,0)</f>
        <v>#N/A</v>
      </c>
      <c r="BL264" s="115" t="e">
        <f>VLOOKUP($A264,'S50'!$C:$BQ,60,0)</f>
        <v>#N/A</v>
      </c>
    </row>
    <row r="265" spans="1:64" x14ac:dyDescent="0.2">
      <c r="A265" s="106" t="s">
        <v>337</v>
      </c>
      <c r="B265" s="107">
        <f>VLOOKUP($A265,'S0 remplacer avec S44'!$C:$BQ,32,0)</f>
        <v>155.69999999999999</v>
      </c>
      <c r="C265" s="107">
        <f>VLOOKUP($A265,'S0 remplacer avec S44'!$C:$BQ,39,0)</f>
        <v>0</v>
      </c>
      <c r="D265" s="107">
        <f>VLOOKUP($A265,'S0 remplacer avec S44'!$C:$BQ,40,0)</f>
        <v>0</v>
      </c>
      <c r="E265" s="107">
        <f>VLOOKUP($A265,'S0 remplacer avec S44'!$C:$BQ,22,0)</f>
        <v>1369.4345249999999</v>
      </c>
      <c r="F265" s="115">
        <f>VLOOKUP($A265,'S0 remplacer avec S44'!$C:$BQ,29,0)</f>
        <v>0</v>
      </c>
      <c r="G265" s="115">
        <f>VLOOKUP($A265,'S0 remplacer avec S44'!$C:$BQ,30,0)</f>
        <v>0</v>
      </c>
      <c r="H265" s="115">
        <f>VLOOKUP($A265,'S0 remplacer avec S44'!$C:$BQ,52,0)</f>
        <v>129</v>
      </c>
      <c r="I265" s="115">
        <f>VLOOKUP($A265,'S0 remplacer avec S44'!$C:$BQ,59,0)</f>
        <v>0</v>
      </c>
      <c r="J265" s="115">
        <f>VLOOKUP($A265,'S0 remplacer avec S44'!$C:$BQ,60,0)</f>
        <v>0</v>
      </c>
      <c r="K265" s="107" t="e">
        <f>VLOOKUP($A265,'S45'!$C:$BQ,32,0)</f>
        <v>#N/A</v>
      </c>
      <c r="L265" s="107" t="e">
        <f>VLOOKUP($A265,'S45'!$C:$BQ,39,0)</f>
        <v>#N/A</v>
      </c>
      <c r="M265" s="107" t="e">
        <f>VLOOKUP($A265,'S45'!$C:$BQ,40,0)</f>
        <v>#N/A</v>
      </c>
      <c r="N265" s="107" t="e">
        <f>VLOOKUP($A265,'S45'!$C:$BQ,22,0)</f>
        <v>#N/A</v>
      </c>
      <c r="O265" s="115" t="e">
        <f>VLOOKUP($A265,'S45'!$C:$BQ,29,0)</f>
        <v>#N/A</v>
      </c>
      <c r="P265" s="115" t="e">
        <f>VLOOKUP($A265,'S45'!$C:$BQ,30,0)</f>
        <v>#N/A</v>
      </c>
      <c r="Q265" s="115" t="e">
        <f>VLOOKUP($A265,'S45'!$C:$BQ,52,0)</f>
        <v>#N/A</v>
      </c>
      <c r="R265" s="115" t="e">
        <f>VLOOKUP($A265,'S45'!$C:$BQ,59,0)</f>
        <v>#N/A</v>
      </c>
      <c r="S265" s="115" t="e">
        <f>VLOOKUP($A265,'S45'!$C:$BQ,60,0)</f>
        <v>#N/A</v>
      </c>
      <c r="T265" s="107" t="e">
        <f>VLOOKUP($A265,'S46'!$C:$BQ,32,0)</f>
        <v>#N/A</v>
      </c>
      <c r="U265" s="107" t="e">
        <f>VLOOKUP($A265,'S46'!$C:$BQ,39,0)</f>
        <v>#N/A</v>
      </c>
      <c r="V265" s="107" t="e">
        <f>VLOOKUP($A265,'S46'!$C:$BQ,40,0)</f>
        <v>#N/A</v>
      </c>
      <c r="W265" s="107" t="e">
        <f>VLOOKUP($A265,'S46'!$C:$BQ,22,0)</f>
        <v>#N/A</v>
      </c>
      <c r="X265" s="115" t="e">
        <f>VLOOKUP($A265,'S46'!$C:$BQ,29,0)</f>
        <v>#N/A</v>
      </c>
      <c r="Y265" s="115" t="e">
        <f>VLOOKUP($A265,'S46'!$C:$BQ,30,0)</f>
        <v>#N/A</v>
      </c>
      <c r="Z265" s="115" t="e">
        <f>VLOOKUP($A265,'S46'!$C:$BQ,52,0)</f>
        <v>#N/A</v>
      </c>
      <c r="AA265" s="115" t="e">
        <f>VLOOKUP($A265,'S46'!$C:$BQ,59,0)</f>
        <v>#N/A</v>
      </c>
      <c r="AB265" s="115" t="e">
        <f>VLOOKUP($A265,'S46'!$C:$BQ,60,0)</f>
        <v>#N/A</v>
      </c>
      <c r="AC265" s="107" t="e">
        <f>VLOOKUP($A265,'S47'!$C:$BQ,32,0)</f>
        <v>#N/A</v>
      </c>
      <c r="AD265" s="107" t="e">
        <f>VLOOKUP($A265,'S47'!$C:$BQ,39,0)</f>
        <v>#N/A</v>
      </c>
      <c r="AE265" s="107" t="e">
        <f>VLOOKUP($A265,'S47'!$C:$BQ,40,0)</f>
        <v>#N/A</v>
      </c>
      <c r="AF265" s="107" t="e">
        <f>VLOOKUP($A265,'S47'!$C:$BQ,22,0)</f>
        <v>#N/A</v>
      </c>
      <c r="AG265" s="115" t="e">
        <f>VLOOKUP($A265,'S47'!$C:$BQ,29,0)</f>
        <v>#N/A</v>
      </c>
      <c r="AH265" s="115" t="e">
        <f>VLOOKUP($A265,'S47'!$C:$BQ,30,0)</f>
        <v>#N/A</v>
      </c>
      <c r="AI265" s="115" t="e">
        <f>VLOOKUP($A265,'S47'!$C:$BQ,52,0)</f>
        <v>#N/A</v>
      </c>
      <c r="AJ265" s="115" t="e">
        <f>VLOOKUP($A265,'S47'!$C:$BQ,59,0)</f>
        <v>#N/A</v>
      </c>
      <c r="AK265" s="115" t="e">
        <f>VLOOKUP($A265,'S47'!$C:$BQ,60,0)</f>
        <v>#N/A</v>
      </c>
      <c r="AL265" s="107" t="e">
        <f>VLOOKUP($A265,'S48'!$C:$BQ,32,0)</f>
        <v>#N/A</v>
      </c>
      <c r="AM265" s="107" t="e">
        <f>VLOOKUP($A265,'S48'!$C:$BQ,39,0)</f>
        <v>#N/A</v>
      </c>
      <c r="AN265" s="107" t="e">
        <f>VLOOKUP($A265,'S48'!$C:$BQ,40,0)</f>
        <v>#N/A</v>
      </c>
      <c r="AO265" s="107" t="e">
        <f>VLOOKUP($A265,'S48'!$C:$BQ,22,0)</f>
        <v>#N/A</v>
      </c>
      <c r="AP265" s="115" t="e">
        <f>VLOOKUP($A265,'S48'!$C:$BQ,29,0)</f>
        <v>#N/A</v>
      </c>
      <c r="AQ265" s="115" t="e">
        <f>VLOOKUP($A265,'S48'!$C:$BQ,30,0)</f>
        <v>#N/A</v>
      </c>
      <c r="AR265" s="115" t="e">
        <f>VLOOKUP($A265,'S48'!$C:$BQ,52,0)</f>
        <v>#N/A</v>
      </c>
      <c r="AS265" s="115" t="e">
        <f>VLOOKUP($A265,'S48'!$C:$BQ,59,0)</f>
        <v>#N/A</v>
      </c>
      <c r="AT265" s="115" t="e">
        <f>VLOOKUP($A265,'S48'!$C:$BQ,60,0)</f>
        <v>#N/A</v>
      </c>
      <c r="AU265" s="107" t="e">
        <f>VLOOKUP($A265,'S49'!$C:$BQ,32,0)</f>
        <v>#N/A</v>
      </c>
      <c r="AV265" s="107" t="e">
        <f>VLOOKUP($A265,'S49'!$C:$BQ,39,0)</f>
        <v>#N/A</v>
      </c>
      <c r="AW265" s="107" t="e">
        <f>VLOOKUP($A265,'S49'!$C:$BQ,40,0)</f>
        <v>#N/A</v>
      </c>
      <c r="AX265" s="107" t="e">
        <f>VLOOKUP($A265,'S49'!$C:$BQ,22,0)</f>
        <v>#N/A</v>
      </c>
      <c r="AY265" s="115" t="e">
        <f>VLOOKUP($A265,'S49'!$C:$BQ,29,0)</f>
        <v>#N/A</v>
      </c>
      <c r="AZ265" s="115" t="e">
        <f>VLOOKUP($A265,'S49'!$C:$BQ,30,0)</f>
        <v>#N/A</v>
      </c>
      <c r="BA265" s="115" t="e">
        <f>VLOOKUP($A265,'S49'!$C:$BQ,52,0)</f>
        <v>#N/A</v>
      </c>
      <c r="BB265" s="115" t="e">
        <f>VLOOKUP($A265,'S49'!$C:$BQ,59,0)</f>
        <v>#N/A</v>
      </c>
      <c r="BC265" s="115" t="e">
        <f>VLOOKUP($A265,'S49'!$C:$BQ,60,0)</f>
        <v>#N/A</v>
      </c>
      <c r="BD265" s="107" t="e">
        <f>VLOOKUP($A265,'S50'!$C:$BQ,32,0)</f>
        <v>#N/A</v>
      </c>
      <c r="BE265" s="107" t="e">
        <f>VLOOKUP($A265,'S50'!$C:$BQ,39,0)</f>
        <v>#N/A</v>
      </c>
      <c r="BF265" s="107" t="e">
        <f>VLOOKUP($A265,'S50'!$C:$BQ,40,0)</f>
        <v>#N/A</v>
      </c>
      <c r="BG265" s="107" t="e">
        <f>VLOOKUP($A265,'S50'!$C:$BQ,22,0)</f>
        <v>#N/A</v>
      </c>
      <c r="BH265" s="115" t="e">
        <f>VLOOKUP($A265,'S50'!$C:$BQ,29,0)</f>
        <v>#N/A</v>
      </c>
      <c r="BI265" s="115" t="e">
        <f>VLOOKUP($A265,'S50'!$C:$BQ,30,0)</f>
        <v>#N/A</v>
      </c>
      <c r="BJ265" s="115" t="e">
        <f>VLOOKUP($A265,'S50'!$C:$BQ,52,0)</f>
        <v>#N/A</v>
      </c>
      <c r="BK265" s="115" t="e">
        <f>VLOOKUP($A265,'S50'!$C:$BQ,59,0)</f>
        <v>#N/A</v>
      </c>
      <c r="BL265" s="115" t="e">
        <f>VLOOKUP($A265,'S50'!$C:$BQ,60,0)</f>
        <v>#N/A</v>
      </c>
    </row>
    <row r="266" spans="1:64" x14ac:dyDescent="0.2">
      <c r="A266" s="106" t="s">
        <v>338</v>
      </c>
      <c r="B266" s="107">
        <f>VLOOKUP($A266,'S0 remplacer avec S44'!$C:$BQ,32,0)</f>
        <v>210.1</v>
      </c>
      <c r="C266" s="107">
        <f>VLOOKUP($A266,'S0 remplacer avec S44'!$C:$BQ,39,0)</f>
        <v>63</v>
      </c>
      <c r="D266" s="107">
        <f>VLOOKUP($A266,'S0 remplacer avec S44'!$C:$BQ,40,0)</f>
        <v>118</v>
      </c>
      <c r="E266" s="107">
        <f>VLOOKUP($A266,'S0 remplacer avec S44'!$C:$BQ,22,0)</f>
        <v>2340.9368049999998</v>
      </c>
      <c r="F266" s="115">
        <f>VLOOKUP($A266,'S0 remplacer avec S44'!$C:$BQ,29,0)</f>
        <v>140</v>
      </c>
      <c r="G266" s="115">
        <f>VLOOKUP($A266,'S0 remplacer avec S44'!$C:$BQ,30,0)</f>
        <v>636</v>
      </c>
      <c r="H266" s="115">
        <f>VLOOKUP($A266,'S0 remplacer avec S44'!$C:$BQ,52,0)</f>
        <v>152.80000000000001</v>
      </c>
      <c r="I266" s="115">
        <f>VLOOKUP($A266,'S0 remplacer avec S44'!$C:$BQ,59,0)</f>
        <v>0</v>
      </c>
      <c r="J266" s="115">
        <f>VLOOKUP($A266,'S0 remplacer avec S44'!$C:$BQ,60,0)</f>
        <v>14</v>
      </c>
      <c r="K266" s="107" t="e">
        <f>VLOOKUP($A266,'S45'!$C:$BQ,32,0)</f>
        <v>#N/A</v>
      </c>
      <c r="L266" s="107" t="e">
        <f>VLOOKUP($A266,'S45'!$C:$BQ,39,0)</f>
        <v>#N/A</v>
      </c>
      <c r="M266" s="107" t="e">
        <f>VLOOKUP($A266,'S45'!$C:$BQ,40,0)</f>
        <v>#N/A</v>
      </c>
      <c r="N266" s="107" t="e">
        <f>VLOOKUP($A266,'S45'!$C:$BQ,22,0)</f>
        <v>#N/A</v>
      </c>
      <c r="O266" s="115" t="e">
        <f>VLOOKUP($A266,'S45'!$C:$BQ,29,0)</f>
        <v>#N/A</v>
      </c>
      <c r="P266" s="115" t="e">
        <f>VLOOKUP($A266,'S45'!$C:$BQ,30,0)</f>
        <v>#N/A</v>
      </c>
      <c r="Q266" s="115" t="e">
        <f>VLOOKUP($A266,'S45'!$C:$BQ,52,0)</f>
        <v>#N/A</v>
      </c>
      <c r="R266" s="115" t="e">
        <f>VLOOKUP($A266,'S45'!$C:$BQ,59,0)</f>
        <v>#N/A</v>
      </c>
      <c r="S266" s="115" t="e">
        <f>VLOOKUP($A266,'S45'!$C:$BQ,60,0)</f>
        <v>#N/A</v>
      </c>
      <c r="T266" s="107" t="e">
        <f>VLOOKUP($A266,'S46'!$C:$BQ,32,0)</f>
        <v>#N/A</v>
      </c>
      <c r="U266" s="107" t="e">
        <f>VLOOKUP($A266,'S46'!$C:$BQ,39,0)</f>
        <v>#N/A</v>
      </c>
      <c r="V266" s="107" t="e">
        <f>VLOOKUP($A266,'S46'!$C:$BQ,40,0)</f>
        <v>#N/A</v>
      </c>
      <c r="W266" s="107" t="e">
        <f>VLOOKUP($A266,'S46'!$C:$BQ,22,0)</f>
        <v>#N/A</v>
      </c>
      <c r="X266" s="115" t="e">
        <f>VLOOKUP($A266,'S46'!$C:$BQ,29,0)</f>
        <v>#N/A</v>
      </c>
      <c r="Y266" s="115" t="e">
        <f>VLOOKUP($A266,'S46'!$C:$BQ,30,0)</f>
        <v>#N/A</v>
      </c>
      <c r="Z266" s="115" t="e">
        <f>VLOOKUP($A266,'S46'!$C:$BQ,52,0)</f>
        <v>#N/A</v>
      </c>
      <c r="AA266" s="115" t="e">
        <f>VLOOKUP($A266,'S46'!$C:$BQ,59,0)</f>
        <v>#N/A</v>
      </c>
      <c r="AB266" s="115" t="e">
        <f>VLOOKUP($A266,'S46'!$C:$BQ,60,0)</f>
        <v>#N/A</v>
      </c>
      <c r="AC266" s="107" t="e">
        <f>VLOOKUP($A266,'S47'!$C:$BQ,32,0)</f>
        <v>#N/A</v>
      </c>
      <c r="AD266" s="107" t="e">
        <f>VLOOKUP($A266,'S47'!$C:$BQ,39,0)</f>
        <v>#N/A</v>
      </c>
      <c r="AE266" s="107" t="e">
        <f>VLOOKUP($A266,'S47'!$C:$BQ,40,0)</f>
        <v>#N/A</v>
      </c>
      <c r="AF266" s="107" t="e">
        <f>VLOOKUP($A266,'S47'!$C:$BQ,22,0)</f>
        <v>#N/A</v>
      </c>
      <c r="AG266" s="115" t="e">
        <f>VLOOKUP($A266,'S47'!$C:$BQ,29,0)</f>
        <v>#N/A</v>
      </c>
      <c r="AH266" s="115" t="e">
        <f>VLOOKUP($A266,'S47'!$C:$BQ,30,0)</f>
        <v>#N/A</v>
      </c>
      <c r="AI266" s="115" t="e">
        <f>VLOOKUP($A266,'S47'!$C:$BQ,52,0)</f>
        <v>#N/A</v>
      </c>
      <c r="AJ266" s="115" t="e">
        <f>VLOOKUP($A266,'S47'!$C:$BQ,59,0)</f>
        <v>#N/A</v>
      </c>
      <c r="AK266" s="115" t="e">
        <f>VLOOKUP($A266,'S47'!$C:$BQ,60,0)</f>
        <v>#N/A</v>
      </c>
      <c r="AL266" s="107" t="e">
        <f>VLOOKUP($A266,'S48'!$C:$BQ,32,0)</f>
        <v>#N/A</v>
      </c>
      <c r="AM266" s="107" t="e">
        <f>VLOOKUP($A266,'S48'!$C:$BQ,39,0)</f>
        <v>#N/A</v>
      </c>
      <c r="AN266" s="107" t="e">
        <f>VLOOKUP($A266,'S48'!$C:$BQ,40,0)</f>
        <v>#N/A</v>
      </c>
      <c r="AO266" s="107" t="e">
        <f>VLOOKUP($A266,'S48'!$C:$BQ,22,0)</f>
        <v>#N/A</v>
      </c>
      <c r="AP266" s="115" t="e">
        <f>VLOOKUP($A266,'S48'!$C:$BQ,29,0)</f>
        <v>#N/A</v>
      </c>
      <c r="AQ266" s="115" t="e">
        <f>VLOOKUP($A266,'S48'!$C:$BQ,30,0)</f>
        <v>#N/A</v>
      </c>
      <c r="AR266" s="115" t="e">
        <f>VLOOKUP($A266,'S48'!$C:$BQ,52,0)</f>
        <v>#N/A</v>
      </c>
      <c r="AS266" s="115" t="e">
        <f>VLOOKUP($A266,'S48'!$C:$BQ,59,0)</f>
        <v>#N/A</v>
      </c>
      <c r="AT266" s="115" t="e">
        <f>VLOOKUP($A266,'S48'!$C:$BQ,60,0)</f>
        <v>#N/A</v>
      </c>
      <c r="AU266" s="107" t="e">
        <f>VLOOKUP($A266,'S49'!$C:$BQ,32,0)</f>
        <v>#N/A</v>
      </c>
      <c r="AV266" s="107" t="e">
        <f>VLOOKUP($A266,'S49'!$C:$BQ,39,0)</f>
        <v>#N/A</v>
      </c>
      <c r="AW266" s="107" t="e">
        <f>VLOOKUP($A266,'S49'!$C:$BQ,40,0)</f>
        <v>#N/A</v>
      </c>
      <c r="AX266" s="107" t="e">
        <f>VLOOKUP($A266,'S49'!$C:$BQ,22,0)</f>
        <v>#N/A</v>
      </c>
      <c r="AY266" s="115" t="e">
        <f>VLOOKUP($A266,'S49'!$C:$BQ,29,0)</f>
        <v>#N/A</v>
      </c>
      <c r="AZ266" s="115" t="e">
        <f>VLOOKUP($A266,'S49'!$C:$BQ,30,0)</f>
        <v>#N/A</v>
      </c>
      <c r="BA266" s="115" t="e">
        <f>VLOOKUP($A266,'S49'!$C:$BQ,52,0)</f>
        <v>#N/A</v>
      </c>
      <c r="BB266" s="115" t="e">
        <f>VLOOKUP($A266,'S49'!$C:$BQ,59,0)</f>
        <v>#N/A</v>
      </c>
      <c r="BC266" s="115" t="e">
        <f>VLOOKUP($A266,'S49'!$C:$BQ,60,0)</f>
        <v>#N/A</v>
      </c>
      <c r="BD266" s="107" t="e">
        <f>VLOOKUP($A266,'S50'!$C:$BQ,32,0)</f>
        <v>#N/A</v>
      </c>
      <c r="BE266" s="107" t="e">
        <f>VLOOKUP($A266,'S50'!$C:$BQ,39,0)</f>
        <v>#N/A</v>
      </c>
      <c r="BF266" s="107" t="e">
        <f>VLOOKUP($A266,'S50'!$C:$BQ,40,0)</f>
        <v>#N/A</v>
      </c>
      <c r="BG266" s="107" t="e">
        <f>VLOOKUP($A266,'S50'!$C:$BQ,22,0)</f>
        <v>#N/A</v>
      </c>
      <c r="BH266" s="115" t="e">
        <f>VLOOKUP($A266,'S50'!$C:$BQ,29,0)</f>
        <v>#N/A</v>
      </c>
      <c r="BI266" s="115" t="e">
        <f>VLOOKUP($A266,'S50'!$C:$BQ,30,0)</f>
        <v>#N/A</v>
      </c>
      <c r="BJ266" s="115" t="e">
        <f>VLOOKUP($A266,'S50'!$C:$BQ,52,0)</f>
        <v>#N/A</v>
      </c>
      <c r="BK266" s="115" t="e">
        <f>VLOOKUP($A266,'S50'!$C:$BQ,59,0)</f>
        <v>#N/A</v>
      </c>
      <c r="BL266" s="115" t="e">
        <f>VLOOKUP($A266,'S50'!$C:$BQ,60,0)</f>
        <v>#N/A</v>
      </c>
    </row>
    <row r="267" spans="1:64" x14ac:dyDescent="0.2">
      <c r="A267" s="106" t="s">
        <v>341</v>
      </c>
      <c r="B267" s="107">
        <f>VLOOKUP($A267,'S0 remplacer avec S44'!$C:$BQ,32,0)</f>
        <v>125.8</v>
      </c>
      <c r="C267" s="107">
        <f>VLOOKUP($A267,'S0 remplacer avec S44'!$C:$BQ,39,0)</f>
        <v>91</v>
      </c>
      <c r="D267" s="107">
        <f>VLOOKUP($A267,'S0 remplacer avec S44'!$C:$BQ,40,0)</f>
        <v>135</v>
      </c>
      <c r="E267" s="107">
        <f>VLOOKUP($A267,'S0 remplacer avec S44'!$C:$BQ,22,0)</f>
        <v>1356.5941499999999</v>
      </c>
      <c r="F267" s="115">
        <f>VLOOKUP($A267,'S0 remplacer avec S44'!$C:$BQ,29,0)</f>
        <v>613</v>
      </c>
      <c r="G267" s="115">
        <f>VLOOKUP($A267,'S0 remplacer avec S44'!$C:$BQ,30,0)</f>
        <v>1007</v>
      </c>
      <c r="H267" s="115">
        <f>VLOOKUP($A267,'S0 remplacer avec S44'!$C:$BQ,52,0)</f>
        <v>93.6</v>
      </c>
      <c r="I267" s="115">
        <f>VLOOKUP($A267,'S0 remplacer avec S44'!$C:$BQ,59,0)</f>
        <v>17</v>
      </c>
      <c r="J267" s="115">
        <f>VLOOKUP($A267,'S0 remplacer avec S44'!$C:$BQ,60,0)</f>
        <v>39</v>
      </c>
      <c r="K267" s="107" t="e">
        <f>VLOOKUP($A267,'S45'!$C:$BQ,32,0)</f>
        <v>#N/A</v>
      </c>
      <c r="L267" s="107" t="e">
        <f>VLOOKUP($A267,'S45'!$C:$BQ,39,0)</f>
        <v>#N/A</v>
      </c>
      <c r="M267" s="107" t="e">
        <f>VLOOKUP($A267,'S45'!$C:$BQ,40,0)</f>
        <v>#N/A</v>
      </c>
      <c r="N267" s="107" t="e">
        <f>VLOOKUP($A267,'S45'!$C:$BQ,22,0)</f>
        <v>#N/A</v>
      </c>
      <c r="O267" s="115" t="e">
        <f>VLOOKUP($A267,'S45'!$C:$BQ,29,0)</f>
        <v>#N/A</v>
      </c>
      <c r="P267" s="115" t="e">
        <f>VLOOKUP($A267,'S45'!$C:$BQ,30,0)</f>
        <v>#N/A</v>
      </c>
      <c r="Q267" s="115" t="e">
        <f>VLOOKUP($A267,'S45'!$C:$BQ,52,0)</f>
        <v>#N/A</v>
      </c>
      <c r="R267" s="115" t="e">
        <f>VLOOKUP($A267,'S45'!$C:$BQ,59,0)</f>
        <v>#N/A</v>
      </c>
      <c r="S267" s="115" t="e">
        <f>VLOOKUP($A267,'S45'!$C:$BQ,60,0)</f>
        <v>#N/A</v>
      </c>
      <c r="T267" s="107" t="e">
        <f>VLOOKUP($A267,'S46'!$C:$BQ,32,0)</f>
        <v>#N/A</v>
      </c>
      <c r="U267" s="107" t="e">
        <f>VLOOKUP($A267,'S46'!$C:$BQ,39,0)</f>
        <v>#N/A</v>
      </c>
      <c r="V267" s="107" t="e">
        <f>VLOOKUP($A267,'S46'!$C:$BQ,40,0)</f>
        <v>#N/A</v>
      </c>
      <c r="W267" s="107" t="e">
        <f>VLOOKUP($A267,'S46'!$C:$BQ,22,0)</f>
        <v>#N/A</v>
      </c>
      <c r="X267" s="115" t="e">
        <f>VLOOKUP($A267,'S46'!$C:$BQ,29,0)</f>
        <v>#N/A</v>
      </c>
      <c r="Y267" s="115" t="e">
        <f>VLOOKUP($A267,'S46'!$C:$BQ,30,0)</f>
        <v>#N/A</v>
      </c>
      <c r="Z267" s="115" t="e">
        <f>VLOOKUP($A267,'S46'!$C:$BQ,52,0)</f>
        <v>#N/A</v>
      </c>
      <c r="AA267" s="115" t="e">
        <f>VLOOKUP($A267,'S46'!$C:$BQ,59,0)</f>
        <v>#N/A</v>
      </c>
      <c r="AB267" s="115" t="e">
        <f>VLOOKUP($A267,'S46'!$C:$BQ,60,0)</f>
        <v>#N/A</v>
      </c>
      <c r="AC267" s="107" t="e">
        <f>VLOOKUP($A267,'S47'!$C:$BQ,32,0)</f>
        <v>#N/A</v>
      </c>
      <c r="AD267" s="107" t="e">
        <f>VLOOKUP($A267,'S47'!$C:$BQ,39,0)</f>
        <v>#N/A</v>
      </c>
      <c r="AE267" s="107" t="e">
        <f>VLOOKUP($A267,'S47'!$C:$BQ,40,0)</f>
        <v>#N/A</v>
      </c>
      <c r="AF267" s="107" t="e">
        <f>VLOOKUP($A267,'S47'!$C:$BQ,22,0)</f>
        <v>#N/A</v>
      </c>
      <c r="AG267" s="115" t="e">
        <f>VLOOKUP($A267,'S47'!$C:$BQ,29,0)</f>
        <v>#N/A</v>
      </c>
      <c r="AH267" s="115" t="e">
        <f>VLOOKUP($A267,'S47'!$C:$BQ,30,0)</f>
        <v>#N/A</v>
      </c>
      <c r="AI267" s="115" t="e">
        <f>VLOOKUP($A267,'S47'!$C:$BQ,52,0)</f>
        <v>#N/A</v>
      </c>
      <c r="AJ267" s="115" t="e">
        <f>VLOOKUP($A267,'S47'!$C:$BQ,59,0)</f>
        <v>#N/A</v>
      </c>
      <c r="AK267" s="115" t="e">
        <f>VLOOKUP($A267,'S47'!$C:$BQ,60,0)</f>
        <v>#N/A</v>
      </c>
      <c r="AL267" s="107" t="e">
        <f>VLOOKUP($A267,'S48'!$C:$BQ,32,0)</f>
        <v>#N/A</v>
      </c>
      <c r="AM267" s="107" t="e">
        <f>VLOOKUP($A267,'S48'!$C:$BQ,39,0)</f>
        <v>#N/A</v>
      </c>
      <c r="AN267" s="107" t="e">
        <f>VLOOKUP($A267,'S48'!$C:$BQ,40,0)</f>
        <v>#N/A</v>
      </c>
      <c r="AO267" s="107" t="e">
        <f>VLOOKUP($A267,'S48'!$C:$BQ,22,0)</f>
        <v>#N/A</v>
      </c>
      <c r="AP267" s="115" t="e">
        <f>VLOOKUP($A267,'S48'!$C:$BQ,29,0)</f>
        <v>#N/A</v>
      </c>
      <c r="AQ267" s="115" t="e">
        <f>VLOOKUP($A267,'S48'!$C:$BQ,30,0)</f>
        <v>#N/A</v>
      </c>
      <c r="AR267" s="115" t="e">
        <f>VLOOKUP($A267,'S48'!$C:$BQ,52,0)</f>
        <v>#N/A</v>
      </c>
      <c r="AS267" s="115" t="e">
        <f>VLOOKUP($A267,'S48'!$C:$BQ,59,0)</f>
        <v>#N/A</v>
      </c>
      <c r="AT267" s="115" t="e">
        <f>VLOOKUP($A267,'S48'!$C:$BQ,60,0)</f>
        <v>#N/A</v>
      </c>
      <c r="AU267" s="107" t="e">
        <f>VLOOKUP($A267,'S49'!$C:$BQ,32,0)</f>
        <v>#N/A</v>
      </c>
      <c r="AV267" s="107" t="e">
        <f>VLOOKUP($A267,'S49'!$C:$BQ,39,0)</f>
        <v>#N/A</v>
      </c>
      <c r="AW267" s="107" t="e">
        <f>VLOOKUP($A267,'S49'!$C:$BQ,40,0)</f>
        <v>#N/A</v>
      </c>
      <c r="AX267" s="107" t="e">
        <f>VLOOKUP($A267,'S49'!$C:$BQ,22,0)</f>
        <v>#N/A</v>
      </c>
      <c r="AY267" s="115" t="e">
        <f>VLOOKUP($A267,'S49'!$C:$BQ,29,0)</f>
        <v>#N/A</v>
      </c>
      <c r="AZ267" s="115" t="e">
        <f>VLOOKUP($A267,'S49'!$C:$BQ,30,0)</f>
        <v>#N/A</v>
      </c>
      <c r="BA267" s="115" t="e">
        <f>VLOOKUP($A267,'S49'!$C:$BQ,52,0)</f>
        <v>#N/A</v>
      </c>
      <c r="BB267" s="115" t="e">
        <f>VLOOKUP($A267,'S49'!$C:$BQ,59,0)</f>
        <v>#N/A</v>
      </c>
      <c r="BC267" s="115" t="e">
        <f>VLOOKUP($A267,'S49'!$C:$BQ,60,0)</f>
        <v>#N/A</v>
      </c>
      <c r="BD267" s="107" t="e">
        <f>VLOOKUP($A267,'S50'!$C:$BQ,32,0)</f>
        <v>#N/A</v>
      </c>
      <c r="BE267" s="107" t="e">
        <f>VLOOKUP($A267,'S50'!$C:$BQ,39,0)</f>
        <v>#N/A</v>
      </c>
      <c r="BF267" s="107" t="e">
        <f>VLOOKUP($A267,'S50'!$C:$BQ,40,0)</f>
        <v>#N/A</v>
      </c>
      <c r="BG267" s="107" t="e">
        <f>VLOOKUP($A267,'S50'!$C:$BQ,22,0)</f>
        <v>#N/A</v>
      </c>
      <c r="BH267" s="115" t="e">
        <f>VLOOKUP($A267,'S50'!$C:$BQ,29,0)</f>
        <v>#N/A</v>
      </c>
      <c r="BI267" s="115" t="e">
        <f>VLOOKUP($A267,'S50'!$C:$BQ,30,0)</f>
        <v>#N/A</v>
      </c>
      <c r="BJ267" s="115" t="e">
        <f>VLOOKUP($A267,'S50'!$C:$BQ,52,0)</f>
        <v>#N/A</v>
      </c>
      <c r="BK267" s="115" t="e">
        <f>VLOOKUP($A267,'S50'!$C:$BQ,59,0)</f>
        <v>#N/A</v>
      </c>
      <c r="BL267" s="115" t="e">
        <f>VLOOKUP($A267,'S50'!$C:$BQ,60,0)</f>
        <v>#N/A</v>
      </c>
    </row>
    <row r="268" spans="1:64" x14ac:dyDescent="0.2">
      <c r="A268" s="106" t="s">
        <v>342</v>
      </c>
      <c r="B268" s="107">
        <f>VLOOKUP($A268,'S0 remplacer avec S44'!$C:$BQ,32,0)</f>
        <v>150.9</v>
      </c>
      <c r="C268" s="107">
        <f>VLOOKUP($A268,'S0 remplacer avec S44'!$C:$BQ,39,0)</f>
        <v>19</v>
      </c>
      <c r="D268" s="107">
        <f>VLOOKUP($A268,'S0 remplacer avec S44'!$C:$BQ,40,0)</f>
        <v>53</v>
      </c>
      <c r="E268" s="107">
        <f>VLOOKUP($A268,'S0 remplacer avec S44'!$C:$BQ,22,0)</f>
        <v>1819.8643300000001</v>
      </c>
      <c r="F268" s="115">
        <f>VLOOKUP($A268,'S0 remplacer avec S44'!$C:$BQ,29,0)</f>
        <v>0</v>
      </c>
      <c r="G268" s="115">
        <f>VLOOKUP($A268,'S0 remplacer avec S44'!$C:$BQ,30,0)</f>
        <v>28</v>
      </c>
      <c r="H268" s="115">
        <f>VLOOKUP($A268,'S0 remplacer avec S44'!$C:$BQ,52,0)</f>
        <v>94.4</v>
      </c>
      <c r="I268" s="115">
        <f>VLOOKUP($A268,'S0 remplacer avec S44'!$C:$BQ,59,0)</f>
        <v>0</v>
      </c>
      <c r="J268" s="115">
        <f>VLOOKUP($A268,'S0 remplacer avec S44'!$C:$BQ,60,0)</f>
        <v>9</v>
      </c>
      <c r="K268" s="107" t="e">
        <f>VLOOKUP($A268,'S45'!$C:$BQ,32,0)</f>
        <v>#N/A</v>
      </c>
      <c r="L268" s="107" t="e">
        <f>VLOOKUP($A268,'S45'!$C:$BQ,39,0)</f>
        <v>#N/A</v>
      </c>
      <c r="M268" s="107" t="e">
        <f>VLOOKUP($A268,'S45'!$C:$BQ,40,0)</f>
        <v>#N/A</v>
      </c>
      <c r="N268" s="107" t="e">
        <f>VLOOKUP($A268,'S45'!$C:$BQ,22,0)</f>
        <v>#N/A</v>
      </c>
      <c r="O268" s="115" t="e">
        <f>VLOOKUP($A268,'S45'!$C:$BQ,29,0)</f>
        <v>#N/A</v>
      </c>
      <c r="P268" s="115" t="e">
        <f>VLOOKUP($A268,'S45'!$C:$BQ,30,0)</f>
        <v>#N/A</v>
      </c>
      <c r="Q268" s="115" t="e">
        <f>VLOOKUP($A268,'S45'!$C:$BQ,52,0)</f>
        <v>#N/A</v>
      </c>
      <c r="R268" s="115" t="e">
        <f>VLOOKUP($A268,'S45'!$C:$BQ,59,0)</f>
        <v>#N/A</v>
      </c>
      <c r="S268" s="115" t="e">
        <f>VLOOKUP($A268,'S45'!$C:$BQ,60,0)</f>
        <v>#N/A</v>
      </c>
      <c r="T268" s="107" t="e">
        <f>VLOOKUP($A268,'S46'!$C:$BQ,32,0)</f>
        <v>#N/A</v>
      </c>
      <c r="U268" s="107" t="e">
        <f>VLOOKUP($A268,'S46'!$C:$BQ,39,0)</f>
        <v>#N/A</v>
      </c>
      <c r="V268" s="107" t="e">
        <f>VLOOKUP($A268,'S46'!$C:$BQ,40,0)</f>
        <v>#N/A</v>
      </c>
      <c r="W268" s="107" t="e">
        <f>VLOOKUP($A268,'S46'!$C:$BQ,22,0)</f>
        <v>#N/A</v>
      </c>
      <c r="X268" s="115" t="e">
        <f>VLOOKUP($A268,'S46'!$C:$BQ,29,0)</f>
        <v>#N/A</v>
      </c>
      <c r="Y268" s="115" t="e">
        <f>VLOOKUP($A268,'S46'!$C:$BQ,30,0)</f>
        <v>#N/A</v>
      </c>
      <c r="Z268" s="115" t="e">
        <f>VLOOKUP($A268,'S46'!$C:$BQ,52,0)</f>
        <v>#N/A</v>
      </c>
      <c r="AA268" s="115" t="e">
        <f>VLOOKUP($A268,'S46'!$C:$BQ,59,0)</f>
        <v>#N/A</v>
      </c>
      <c r="AB268" s="115" t="e">
        <f>VLOOKUP($A268,'S46'!$C:$BQ,60,0)</f>
        <v>#N/A</v>
      </c>
      <c r="AC268" s="107" t="e">
        <f>VLOOKUP($A268,'S47'!$C:$BQ,32,0)</f>
        <v>#N/A</v>
      </c>
      <c r="AD268" s="107" t="e">
        <f>VLOOKUP($A268,'S47'!$C:$BQ,39,0)</f>
        <v>#N/A</v>
      </c>
      <c r="AE268" s="107" t="e">
        <f>VLOOKUP($A268,'S47'!$C:$BQ,40,0)</f>
        <v>#N/A</v>
      </c>
      <c r="AF268" s="107" t="e">
        <f>VLOOKUP($A268,'S47'!$C:$BQ,22,0)</f>
        <v>#N/A</v>
      </c>
      <c r="AG268" s="115" t="e">
        <f>VLOOKUP($A268,'S47'!$C:$BQ,29,0)</f>
        <v>#N/A</v>
      </c>
      <c r="AH268" s="115" t="e">
        <f>VLOOKUP($A268,'S47'!$C:$BQ,30,0)</f>
        <v>#N/A</v>
      </c>
      <c r="AI268" s="115" t="e">
        <f>VLOOKUP($A268,'S47'!$C:$BQ,52,0)</f>
        <v>#N/A</v>
      </c>
      <c r="AJ268" s="115" t="e">
        <f>VLOOKUP($A268,'S47'!$C:$BQ,59,0)</f>
        <v>#N/A</v>
      </c>
      <c r="AK268" s="115" t="e">
        <f>VLOOKUP($A268,'S47'!$C:$BQ,60,0)</f>
        <v>#N/A</v>
      </c>
      <c r="AL268" s="107" t="e">
        <f>VLOOKUP($A268,'S48'!$C:$BQ,32,0)</f>
        <v>#N/A</v>
      </c>
      <c r="AM268" s="107" t="e">
        <f>VLOOKUP($A268,'S48'!$C:$BQ,39,0)</f>
        <v>#N/A</v>
      </c>
      <c r="AN268" s="107" t="e">
        <f>VLOOKUP($A268,'S48'!$C:$BQ,40,0)</f>
        <v>#N/A</v>
      </c>
      <c r="AO268" s="107" t="e">
        <f>VLOOKUP($A268,'S48'!$C:$BQ,22,0)</f>
        <v>#N/A</v>
      </c>
      <c r="AP268" s="115" t="e">
        <f>VLOOKUP($A268,'S48'!$C:$BQ,29,0)</f>
        <v>#N/A</v>
      </c>
      <c r="AQ268" s="115" t="e">
        <f>VLOOKUP($A268,'S48'!$C:$BQ,30,0)</f>
        <v>#N/A</v>
      </c>
      <c r="AR268" s="115" t="e">
        <f>VLOOKUP($A268,'S48'!$C:$BQ,52,0)</f>
        <v>#N/A</v>
      </c>
      <c r="AS268" s="115" t="e">
        <f>VLOOKUP($A268,'S48'!$C:$BQ,59,0)</f>
        <v>#N/A</v>
      </c>
      <c r="AT268" s="115" t="e">
        <f>VLOOKUP($A268,'S48'!$C:$BQ,60,0)</f>
        <v>#N/A</v>
      </c>
      <c r="AU268" s="107" t="e">
        <f>VLOOKUP($A268,'S49'!$C:$BQ,32,0)</f>
        <v>#N/A</v>
      </c>
      <c r="AV268" s="107" t="e">
        <f>VLOOKUP($A268,'S49'!$C:$BQ,39,0)</f>
        <v>#N/A</v>
      </c>
      <c r="AW268" s="107" t="e">
        <f>VLOOKUP($A268,'S49'!$C:$BQ,40,0)</f>
        <v>#N/A</v>
      </c>
      <c r="AX268" s="107" t="e">
        <f>VLOOKUP($A268,'S49'!$C:$BQ,22,0)</f>
        <v>#N/A</v>
      </c>
      <c r="AY268" s="115" t="e">
        <f>VLOOKUP($A268,'S49'!$C:$BQ,29,0)</f>
        <v>#N/A</v>
      </c>
      <c r="AZ268" s="115" t="e">
        <f>VLOOKUP($A268,'S49'!$C:$BQ,30,0)</f>
        <v>#N/A</v>
      </c>
      <c r="BA268" s="115" t="e">
        <f>VLOOKUP($A268,'S49'!$C:$BQ,52,0)</f>
        <v>#N/A</v>
      </c>
      <c r="BB268" s="115" t="e">
        <f>VLOOKUP($A268,'S49'!$C:$BQ,59,0)</f>
        <v>#N/A</v>
      </c>
      <c r="BC268" s="115" t="e">
        <f>VLOOKUP($A268,'S49'!$C:$BQ,60,0)</f>
        <v>#N/A</v>
      </c>
      <c r="BD268" s="107" t="e">
        <f>VLOOKUP($A268,'S50'!$C:$BQ,32,0)</f>
        <v>#N/A</v>
      </c>
      <c r="BE268" s="107" t="e">
        <f>VLOOKUP($A268,'S50'!$C:$BQ,39,0)</f>
        <v>#N/A</v>
      </c>
      <c r="BF268" s="107" t="e">
        <f>VLOOKUP($A268,'S50'!$C:$BQ,40,0)</f>
        <v>#N/A</v>
      </c>
      <c r="BG268" s="107" t="e">
        <f>VLOOKUP($A268,'S50'!$C:$BQ,22,0)</f>
        <v>#N/A</v>
      </c>
      <c r="BH268" s="115" t="e">
        <f>VLOOKUP($A268,'S50'!$C:$BQ,29,0)</f>
        <v>#N/A</v>
      </c>
      <c r="BI268" s="115" t="e">
        <f>VLOOKUP($A268,'S50'!$C:$BQ,30,0)</f>
        <v>#N/A</v>
      </c>
      <c r="BJ268" s="115" t="e">
        <f>VLOOKUP($A268,'S50'!$C:$BQ,52,0)</f>
        <v>#N/A</v>
      </c>
      <c r="BK268" s="115" t="e">
        <f>VLOOKUP($A268,'S50'!$C:$BQ,59,0)</f>
        <v>#N/A</v>
      </c>
      <c r="BL268" s="115" t="e">
        <f>VLOOKUP($A268,'S50'!$C:$BQ,60,0)</f>
        <v>#N/A</v>
      </c>
    </row>
    <row r="269" spans="1:64" x14ac:dyDescent="0.2">
      <c r="A269" s="106" t="s">
        <v>343</v>
      </c>
      <c r="B269" s="107">
        <f>VLOOKUP($A269,'S0 remplacer avec S44'!$C:$BQ,32,0)</f>
        <v>51.7</v>
      </c>
      <c r="C269" s="107">
        <f>VLOOKUP($A269,'S0 remplacer avec S44'!$C:$BQ,39,0)</f>
        <v>12</v>
      </c>
      <c r="D269" s="107">
        <f>VLOOKUP($A269,'S0 remplacer avec S44'!$C:$BQ,40,0)</f>
        <v>24</v>
      </c>
      <c r="E269" s="107">
        <f>VLOOKUP($A269,'S0 remplacer avec S44'!$C:$BQ,22,0)</f>
        <v>350.16750500000001</v>
      </c>
      <c r="F269" s="115">
        <f>VLOOKUP($A269,'S0 remplacer avec S44'!$C:$BQ,29,0)</f>
        <v>223</v>
      </c>
      <c r="G269" s="115">
        <f>VLOOKUP($A269,'S0 remplacer avec S44'!$C:$BQ,30,0)</f>
        <v>338</v>
      </c>
      <c r="H269" s="115">
        <f>VLOOKUP($A269,'S0 remplacer avec S44'!$C:$BQ,52,0)</f>
        <v>47.2</v>
      </c>
      <c r="I269" s="115">
        <f>VLOOKUP($A269,'S0 remplacer avec S44'!$C:$BQ,59,0)</f>
        <v>0</v>
      </c>
      <c r="J269" s="115">
        <f>VLOOKUP($A269,'S0 remplacer avec S44'!$C:$BQ,60,0)</f>
        <v>0</v>
      </c>
      <c r="K269" s="107" t="e">
        <f>VLOOKUP($A269,'S45'!$C:$BQ,32,0)</f>
        <v>#N/A</v>
      </c>
      <c r="L269" s="107" t="e">
        <f>VLOOKUP($A269,'S45'!$C:$BQ,39,0)</f>
        <v>#N/A</v>
      </c>
      <c r="M269" s="107" t="e">
        <f>VLOOKUP($A269,'S45'!$C:$BQ,40,0)</f>
        <v>#N/A</v>
      </c>
      <c r="N269" s="107" t="e">
        <f>VLOOKUP($A269,'S45'!$C:$BQ,22,0)</f>
        <v>#N/A</v>
      </c>
      <c r="O269" s="115" t="e">
        <f>VLOOKUP($A269,'S45'!$C:$BQ,29,0)</f>
        <v>#N/A</v>
      </c>
      <c r="P269" s="115" t="e">
        <f>VLOOKUP($A269,'S45'!$C:$BQ,30,0)</f>
        <v>#N/A</v>
      </c>
      <c r="Q269" s="115" t="e">
        <f>VLOOKUP($A269,'S45'!$C:$BQ,52,0)</f>
        <v>#N/A</v>
      </c>
      <c r="R269" s="115" t="e">
        <f>VLOOKUP($A269,'S45'!$C:$BQ,59,0)</f>
        <v>#N/A</v>
      </c>
      <c r="S269" s="115" t="e">
        <f>VLOOKUP($A269,'S45'!$C:$BQ,60,0)</f>
        <v>#N/A</v>
      </c>
      <c r="T269" s="107" t="e">
        <f>VLOOKUP($A269,'S46'!$C:$BQ,32,0)</f>
        <v>#N/A</v>
      </c>
      <c r="U269" s="107" t="e">
        <f>VLOOKUP($A269,'S46'!$C:$BQ,39,0)</f>
        <v>#N/A</v>
      </c>
      <c r="V269" s="107" t="e">
        <f>VLOOKUP($A269,'S46'!$C:$BQ,40,0)</f>
        <v>#N/A</v>
      </c>
      <c r="W269" s="107" t="e">
        <f>VLOOKUP($A269,'S46'!$C:$BQ,22,0)</f>
        <v>#N/A</v>
      </c>
      <c r="X269" s="115" t="e">
        <f>VLOOKUP($A269,'S46'!$C:$BQ,29,0)</f>
        <v>#N/A</v>
      </c>
      <c r="Y269" s="115" t="e">
        <f>VLOOKUP($A269,'S46'!$C:$BQ,30,0)</f>
        <v>#N/A</v>
      </c>
      <c r="Z269" s="115" t="e">
        <f>VLOOKUP($A269,'S46'!$C:$BQ,52,0)</f>
        <v>#N/A</v>
      </c>
      <c r="AA269" s="115" t="e">
        <f>VLOOKUP($A269,'S46'!$C:$BQ,59,0)</f>
        <v>#N/A</v>
      </c>
      <c r="AB269" s="115" t="e">
        <f>VLOOKUP($A269,'S46'!$C:$BQ,60,0)</f>
        <v>#N/A</v>
      </c>
      <c r="AC269" s="107" t="e">
        <f>VLOOKUP($A269,'S47'!$C:$BQ,32,0)</f>
        <v>#N/A</v>
      </c>
      <c r="AD269" s="107" t="e">
        <f>VLOOKUP($A269,'S47'!$C:$BQ,39,0)</f>
        <v>#N/A</v>
      </c>
      <c r="AE269" s="107" t="e">
        <f>VLOOKUP($A269,'S47'!$C:$BQ,40,0)</f>
        <v>#N/A</v>
      </c>
      <c r="AF269" s="107" t="e">
        <f>VLOOKUP($A269,'S47'!$C:$BQ,22,0)</f>
        <v>#N/A</v>
      </c>
      <c r="AG269" s="115" t="e">
        <f>VLOOKUP($A269,'S47'!$C:$BQ,29,0)</f>
        <v>#N/A</v>
      </c>
      <c r="AH269" s="115" t="e">
        <f>VLOOKUP($A269,'S47'!$C:$BQ,30,0)</f>
        <v>#N/A</v>
      </c>
      <c r="AI269" s="115" t="e">
        <f>VLOOKUP($A269,'S47'!$C:$BQ,52,0)</f>
        <v>#N/A</v>
      </c>
      <c r="AJ269" s="115" t="e">
        <f>VLOOKUP($A269,'S47'!$C:$BQ,59,0)</f>
        <v>#N/A</v>
      </c>
      <c r="AK269" s="115" t="e">
        <f>VLOOKUP($A269,'S47'!$C:$BQ,60,0)</f>
        <v>#N/A</v>
      </c>
      <c r="AL269" s="107" t="e">
        <f>VLOOKUP($A269,'S48'!$C:$BQ,32,0)</f>
        <v>#N/A</v>
      </c>
      <c r="AM269" s="107" t="e">
        <f>VLOOKUP($A269,'S48'!$C:$BQ,39,0)</f>
        <v>#N/A</v>
      </c>
      <c r="AN269" s="107" t="e">
        <f>VLOOKUP($A269,'S48'!$C:$BQ,40,0)</f>
        <v>#N/A</v>
      </c>
      <c r="AO269" s="107" t="e">
        <f>VLOOKUP($A269,'S48'!$C:$BQ,22,0)</f>
        <v>#N/A</v>
      </c>
      <c r="AP269" s="115" t="e">
        <f>VLOOKUP($A269,'S48'!$C:$BQ,29,0)</f>
        <v>#N/A</v>
      </c>
      <c r="AQ269" s="115" t="e">
        <f>VLOOKUP($A269,'S48'!$C:$BQ,30,0)</f>
        <v>#N/A</v>
      </c>
      <c r="AR269" s="115" t="e">
        <f>VLOOKUP($A269,'S48'!$C:$BQ,52,0)</f>
        <v>#N/A</v>
      </c>
      <c r="AS269" s="115" t="e">
        <f>VLOOKUP($A269,'S48'!$C:$BQ,59,0)</f>
        <v>#N/A</v>
      </c>
      <c r="AT269" s="115" t="e">
        <f>VLOOKUP($A269,'S48'!$C:$BQ,60,0)</f>
        <v>#N/A</v>
      </c>
      <c r="AU269" s="107" t="e">
        <f>VLOOKUP($A269,'S49'!$C:$BQ,32,0)</f>
        <v>#N/A</v>
      </c>
      <c r="AV269" s="107" t="e">
        <f>VLOOKUP($A269,'S49'!$C:$BQ,39,0)</f>
        <v>#N/A</v>
      </c>
      <c r="AW269" s="107" t="e">
        <f>VLOOKUP($A269,'S49'!$C:$BQ,40,0)</f>
        <v>#N/A</v>
      </c>
      <c r="AX269" s="107" t="e">
        <f>VLOOKUP($A269,'S49'!$C:$BQ,22,0)</f>
        <v>#N/A</v>
      </c>
      <c r="AY269" s="115" t="e">
        <f>VLOOKUP($A269,'S49'!$C:$BQ,29,0)</f>
        <v>#N/A</v>
      </c>
      <c r="AZ269" s="115" t="e">
        <f>VLOOKUP($A269,'S49'!$C:$BQ,30,0)</f>
        <v>#N/A</v>
      </c>
      <c r="BA269" s="115" t="e">
        <f>VLOOKUP($A269,'S49'!$C:$BQ,52,0)</f>
        <v>#N/A</v>
      </c>
      <c r="BB269" s="115" t="e">
        <f>VLOOKUP($A269,'S49'!$C:$BQ,59,0)</f>
        <v>#N/A</v>
      </c>
      <c r="BC269" s="115" t="e">
        <f>VLOOKUP($A269,'S49'!$C:$BQ,60,0)</f>
        <v>#N/A</v>
      </c>
      <c r="BD269" s="107" t="e">
        <f>VLOOKUP($A269,'S50'!$C:$BQ,32,0)</f>
        <v>#N/A</v>
      </c>
      <c r="BE269" s="107" t="e">
        <f>VLOOKUP($A269,'S50'!$C:$BQ,39,0)</f>
        <v>#N/A</v>
      </c>
      <c r="BF269" s="107" t="e">
        <f>VLOOKUP($A269,'S50'!$C:$BQ,40,0)</f>
        <v>#N/A</v>
      </c>
      <c r="BG269" s="107" t="e">
        <f>VLOOKUP($A269,'S50'!$C:$BQ,22,0)</f>
        <v>#N/A</v>
      </c>
      <c r="BH269" s="115" t="e">
        <f>VLOOKUP($A269,'S50'!$C:$BQ,29,0)</f>
        <v>#N/A</v>
      </c>
      <c r="BI269" s="115" t="e">
        <f>VLOOKUP($A269,'S50'!$C:$BQ,30,0)</f>
        <v>#N/A</v>
      </c>
      <c r="BJ269" s="115" t="e">
        <f>VLOOKUP($A269,'S50'!$C:$BQ,52,0)</f>
        <v>#N/A</v>
      </c>
      <c r="BK269" s="115" t="e">
        <f>VLOOKUP($A269,'S50'!$C:$BQ,59,0)</f>
        <v>#N/A</v>
      </c>
      <c r="BL269" s="115" t="e">
        <f>VLOOKUP($A269,'S50'!$C:$BQ,60,0)</f>
        <v>#N/A</v>
      </c>
    </row>
    <row r="270" spans="1:64" x14ac:dyDescent="0.2">
      <c r="A270" s="106" t="s">
        <v>344</v>
      </c>
      <c r="B270" s="107">
        <f>VLOOKUP($A270,'S0 remplacer avec S44'!$C:$BQ,32,0)</f>
        <v>78.2</v>
      </c>
      <c r="C270" s="107">
        <f>VLOOKUP($A270,'S0 remplacer avec S44'!$C:$BQ,39,0)</f>
        <v>88</v>
      </c>
      <c r="D270" s="107">
        <f>VLOOKUP($A270,'S0 remplacer avec S44'!$C:$BQ,40,0)</f>
        <v>121</v>
      </c>
      <c r="E270" s="107">
        <f>VLOOKUP($A270,'S0 remplacer avec S44'!$C:$BQ,22,0)</f>
        <v>1338.6740299999999</v>
      </c>
      <c r="F270" s="115">
        <f>VLOOKUP($A270,'S0 remplacer avec S44'!$C:$BQ,29,0)</f>
        <v>166</v>
      </c>
      <c r="G270" s="115">
        <f>VLOOKUP($A270,'S0 remplacer avec S44'!$C:$BQ,30,0)</f>
        <v>467</v>
      </c>
      <c r="H270" s="115">
        <f>VLOOKUP($A270,'S0 remplacer avec S44'!$C:$BQ,52,0)</f>
        <v>43.6</v>
      </c>
      <c r="I270" s="115">
        <f>VLOOKUP($A270,'S0 remplacer avec S44'!$C:$BQ,59,0)</f>
        <v>41</v>
      </c>
      <c r="J270" s="115">
        <f>VLOOKUP($A270,'S0 remplacer avec S44'!$C:$BQ,60,0)</f>
        <v>58</v>
      </c>
      <c r="K270" s="107" t="e">
        <f>VLOOKUP($A270,'S45'!$C:$BQ,32,0)</f>
        <v>#N/A</v>
      </c>
      <c r="L270" s="107" t="e">
        <f>VLOOKUP($A270,'S45'!$C:$BQ,39,0)</f>
        <v>#N/A</v>
      </c>
      <c r="M270" s="107" t="e">
        <f>VLOOKUP($A270,'S45'!$C:$BQ,40,0)</f>
        <v>#N/A</v>
      </c>
      <c r="N270" s="107" t="e">
        <f>VLOOKUP($A270,'S45'!$C:$BQ,22,0)</f>
        <v>#N/A</v>
      </c>
      <c r="O270" s="115" t="e">
        <f>VLOOKUP($A270,'S45'!$C:$BQ,29,0)</f>
        <v>#N/A</v>
      </c>
      <c r="P270" s="115" t="e">
        <f>VLOOKUP($A270,'S45'!$C:$BQ,30,0)</f>
        <v>#N/A</v>
      </c>
      <c r="Q270" s="115" t="e">
        <f>VLOOKUP($A270,'S45'!$C:$BQ,52,0)</f>
        <v>#N/A</v>
      </c>
      <c r="R270" s="115" t="e">
        <f>VLOOKUP($A270,'S45'!$C:$BQ,59,0)</f>
        <v>#N/A</v>
      </c>
      <c r="S270" s="115" t="e">
        <f>VLOOKUP($A270,'S45'!$C:$BQ,60,0)</f>
        <v>#N/A</v>
      </c>
      <c r="T270" s="107" t="e">
        <f>VLOOKUP($A270,'S46'!$C:$BQ,32,0)</f>
        <v>#N/A</v>
      </c>
      <c r="U270" s="107" t="e">
        <f>VLOOKUP($A270,'S46'!$C:$BQ,39,0)</f>
        <v>#N/A</v>
      </c>
      <c r="V270" s="107" t="e">
        <f>VLOOKUP($A270,'S46'!$C:$BQ,40,0)</f>
        <v>#N/A</v>
      </c>
      <c r="W270" s="107" t="e">
        <f>VLOOKUP($A270,'S46'!$C:$BQ,22,0)</f>
        <v>#N/A</v>
      </c>
      <c r="X270" s="115" t="e">
        <f>VLOOKUP($A270,'S46'!$C:$BQ,29,0)</f>
        <v>#N/A</v>
      </c>
      <c r="Y270" s="115" t="e">
        <f>VLOOKUP($A270,'S46'!$C:$BQ,30,0)</f>
        <v>#N/A</v>
      </c>
      <c r="Z270" s="115" t="e">
        <f>VLOOKUP($A270,'S46'!$C:$BQ,52,0)</f>
        <v>#N/A</v>
      </c>
      <c r="AA270" s="115" t="e">
        <f>VLOOKUP($A270,'S46'!$C:$BQ,59,0)</f>
        <v>#N/A</v>
      </c>
      <c r="AB270" s="115" t="e">
        <f>VLOOKUP($A270,'S46'!$C:$BQ,60,0)</f>
        <v>#N/A</v>
      </c>
      <c r="AC270" s="107" t="e">
        <f>VLOOKUP($A270,'S47'!$C:$BQ,32,0)</f>
        <v>#N/A</v>
      </c>
      <c r="AD270" s="107" t="e">
        <f>VLOOKUP($A270,'S47'!$C:$BQ,39,0)</f>
        <v>#N/A</v>
      </c>
      <c r="AE270" s="107" t="e">
        <f>VLOOKUP($A270,'S47'!$C:$BQ,40,0)</f>
        <v>#N/A</v>
      </c>
      <c r="AF270" s="107" t="e">
        <f>VLOOKUP($A270,'S47'!$C:$BQ,22,0)</f>
        <v>#N/A</v>
      </c>
      <c r="AG270" s="115" t="e">
        <f>VLOOKUP($A270,'S47'!$C:$BQ,29,0)</f>
        <v>#N/A</v>
      </c>
      <c r="AH270" s="115" t="e">
        <f>VLOOKUP($A270,'S47'!$C:$BQ,30,0)</f>
        <v>#N/A</v>
      </c>
      <c r="AI270" s="115" t="e">
        <f>VLOOKUP($A270,'S47'!$C:$BQ,52,0)</f>
        <v>#N/A</v>
      </c>
      <c r="AJ270" s="115" t="e">
        <f>VLOOKUP($A270,'S47'!$C:$BQ,59,0)</f>
        <v>#N/A</v>
      </c>
      <c r="AK270" s="115" t="e">
        <f>VLOOKUP($A270,'S47'!$C:$BQ,60,0)</f>
        <v>#N/A</v>
      </c>
      <c r="AL270" s="107" t="e">
        <f>VLOOKUP($A270,'S48'!$C:$BQ,32,0)</f>
        <v>#N/A</v>
      </c>
      <c r="AM270" s="107" t="e">
        <f>VLOOKUP($A270,'S48'!$C:$BQ,39,0)</f>
        <v>#N/A</v>
      </c>
      <c r="AN270" s="107" t="e">
        <f>VLOOKUP($A270,'S48'!$C:$BQ,40,0)</f>
        <v>#N/A</v>
      </c>
      <c r="AO270" s="107" t="e">
        <f>VLOOKUP($A270,'S48'!$C:$BQ,22,0)</f>
        <v>#N/A</v>
      </c>
      <c r="AP270" s="115" t="e">
        <f>VLOOKUP($A270,'S48'!$C:$BQ,29,0)</f>
        <v>#N/A</v>
      </c>
      <c r="AQ270" s="115" t="e">
        <f>VLOOKUP($A270,'S48'!$C:$BQ,30,0)</f>
        <v>#N/A</v>
      </c>
      <c r="AR270" s="115" t="e">
        <f>VLOOKUP($A270,'S48'!$C:$BQ,52,0)</f>
        <v>#N/A</v>
      </c>
      <c r="AS270" s="115" t="e">
        <f>VLOOKUP($A270,'S48'!$C:$BQ,59,0)</f>
        <v>#N/A</v>
      </c>
      <c r="AT270" s="115" t="e">
        <f>VLOOKUP($A270,'S48'!$C:$BQ,60,0)</f>
        <v>#N/A</v>
      </c>
      <c r="AU270" s="107" t="e">
        <f>VLOOKUP($A270,'S49'!$C:$BQ,32,0)</f>
        <v>#N/A</v>
      </c>
      <c r="AV270" s="107" t="e">
        <f>VLOOKUP($A270,'S49'!$C:$BQ,39,0)</f>
        <v>#N/A</v>
      </c>
      <c r="AW270" s="107" t="e">
        <f>VLOOKUP($A270,'S49'!$C:$BQ,40,0)</f>
        <v>#N/A</v>
      </c>
      <c r="AX270" s="107" t="e">
        <f>VLOOKUP($A270,'S49'!$C:$BQ,22,0)</f>
        <v>#N/A</v>
      </c>
      <c r="AY270" s="115" t="e">
        <f>VLOOKUP($A270,'S49'!$C:$BQ,29,0)</f>
        <v>#N/A</v>
      </c>
      <c r="AZ270" s="115" t="e">
        <f>VLOOKUP($A270,'S49'!$C:$BQ,30,0)</f>
        <v>#N/A</v>
      </c>
      <c r="BA270" s="115" t="e">
        <f>VLOOKUP($A270,'S49'!$C:$BQ,52,0)</f>
        <v>#N/A</v>
      </c>
      <c r="BB270" s="115" t="e">
        <f>VLOOKUP($A270,'S49'!$C:$BQ,59,0)</f>
        <v>#N/A</v>
      </c>
      <c r="BC270" s="115" t="e">
        <f>VLOOKUP($A270,'S49'!$C:$BQ,60,0)</f>
        <v>#N/A</v>
      </c>
      <c r="BD270" s="107" t="e">
        <f>VLOOKUP($A270,'S50'!$C:$BQ,32,0)</f>
        <v>#N/A</v>
      </c>
      <c r="BE270" s="107" t="e">
        <f>VLOOKUP($A270,'S50'!$C:$BQ,39,0)</f>
        <v>#N/A</v>
      </c>
      <c r="BF270" s="107" t="e">
        <f>VLOOKUP($A270,'S50'!$C:$BQ,40,0)</f>
        <v>#N/A</v>
      </c>
      <c r="BG270" s="107" t="e">
        <f>VLOOKUP($A270,'S50'!$C:$BQ,22,0)</f>
        <v>#N/A</v>
      </c>
      <c r="BH270" s="115" t="e">
        <f>VLOOKUP($A270,'S50'!$C:$BQ,29,0)</f>
        <v>#N/A</v>
      </c>
      <c r="BI270" s="115" t="e">
        <f>VLOOKUP($A270,'S50'!$C:$BQ,30,0)</f>
        <v>#N/A</v>
      </c>
      <c r="BJ270" s="115" t="e">
        <f>VLOOKUP($A270,'S50'!$C:$BQ,52,0)</f>
        <v>#N/A</v>
      </c>
      <c r="BK270" s="115" t="e">
        <f>VLOOKUP($A270,'S50'!$C:$BQ,59,0)</f>
        <v>#N/A</v>
      </c>
      <c r="BL270" s="115" t="e">
        <f>VLOOKUP($A270,'S50'!$C:$BQ,60,0)</f>
        <v>#N/A</v>
      </c>
    </row>
    <row r="271" spans="1:64" x14ac:dyDescent="0.2">
      <c r="A271" s="106" t="s">
        <v>345</v>
      </c>
      <c r="B271" s="107">
        <f>VLOOKUP($A271,'S0 remplacer avec S44'!$C:$BQ,32,0)</f>
        <v>167.9</v>
      </c>
      <c r="C271" s="107">
        <f>VLOOKUP($A271,'S0 remplacer avec S44'!$C:$BQ,39,0)</f>
        <v>116</v>
      </c>
      <c r="D271" s="107">
        <f>VLOOKUP($A271,'S0 remplacer avec S44'!$C:$BQ,40,0)</f>
        <v>173</v>
      </c>
      <c r="E271" s="107">
        <f>VLOOKUP($A271,'S0 remplacer avec S44'!$C:$BQ,22,0)</f>
        <v>2284.5295099999998</v>
      </c>
      <c r="F271" s="115">
        <f>VLOOKUP($A271,'S0 remplacer avec S44'!$C:$BQ,29,0)</f>
        <v>295</v>
      </c>
      <c r="G271" s="115">
        <f>VLOOKUP($A271,'S0 remplacer avec S44'!$C:$BQ,30,0)</f>
        <v>811</v>
      </c>
      <c r="H271" s="115">
        <f>VLOOKUP($A271,'S0 remplacer avec S44'!$C:$BQ,52,0)</f>
        <v>122.4</v>
      </c>
      <c r="I271" s="115">
        <f>VLOOKUP($A271,'S0 remplacer avec S44'!$C:$BQ,59,0)</f>
        <v>22</v>
      </c>
      <c r="J271" s="115">
        <f>VLOOKUP($A271,'S0 remplacer avec S44'!$C:$BQ,60,0)</f>
        <v>51</v>
      </c>
      <c r="K271" s="107" t="e">
        <f>VLOOKUP($A271,'S45'!$C:$BQ,32,0)</f>
        <v>#N/A</v>
      </c>
      <c r="L271" s="107" t="e">
        <f>VLOOKUP($A271,'S45'!$C:$BQ,39,0)</f>
        <v>#N/A</v>
      </c>
      <c r="M271" s="107" t="e">
        <f>VLOOKUP($A271,'S45'!$C:$BQ,40,0)</f>
        <v>#N/A</v>
      </c>
      <c r="N271" s="107" t="e">
        <f>VLOOKUP($A271,'S45'!$C:$BQ,22,0)</f>
        <v>#N/A</v>
      </c>
      <c r="O271" s="115" t="e">
        <f>VLOOKUP($A271,'S45'!$C:$BQ,29,0)</f>
        <v>#N/A</v>
      </c>
      <c r="P271" s="115" t="e">
        <f>VLOOKUP($A271,'S45'!$C:$BQ,30,0)</f>
        <v>#N/A</v>
      </c>
      <c r="Q271" s="115" t="e">
        <f>VLOOKUP($A271,'S45'!$C:$BQ,52,0)</f>
        <v>#N/A</v>
      </c>
      <c r="R271" s="115" t="e">
        <f>VLOOKUP($A271,'S45'!$C:$BQ,59,0)</f>
        <v>#N/A</v>
      </c>
      <c r="S271" s="115" t="e">
        <f>VLOOKUP($A271,'S45'!$C:$BQ,60,0)</f>
        <v>#N/A</v>
      </c>
      <c r="T271" s="107" t="e">
        <f>VLOOKUP($A271,'S46'!$C:$BQ,32,0)</f>
        <v>#N/A</v>
      </c>
      <c r="U271" s="107" t="e">
        <f>VLOOKUP($A271,'S46'!$C:$BQ,39,0)</f>
        <v>#N/A</v>
      </c>
      <c r="V271" s="107" t="e">
        <f>VLOOKUP($A271,'S46'!$C:$BQ,40,0)</f>
        <v>#N/A</v>
      </c>
      <c r="W271" s="107" t="e">
        <f>VLOOKUP($A271,'S46'!$C:$BQ,22,0)</f>
        <v>#N/A</v>
      </c>
      <c r="X271" s="115" t="e">
        <f>VLOOKUP($A271,'S46'!$C:$BQ,29,0)</f>
        <v>#N/A</v>
      </c>
      <c r="Y271" s="115" t="e">
        <f>VLOOKUP($A271,'S46'!$C:$BQ,30,0)</f>
        <v>#N/A</v>
      </c>
      <c r="Z271" s="115" t="e">
        <f>VLOOKUP($A271,'S46'!$C:$BQ,52,0)</f>
        <v>#N/A</v>
      </c>
      <c r="AA271" s="115" t="e">
        <f>VLOOKUP($A271,'S46'!$C:$BQ,59,0)</f>
        <v>#N/A</v>
      </c>
      <c r="AB271" s="115" t="e">
        <f>VLOOKUP($A271,'S46'!$C:$BQ,60,0)</f>
        <v>#N/A</v>
      </c>
      <c r="AC271" s="107" t="e">
        <f>VLOOKUP($A271,'S47'!$C:$BQ,32,0)</f>
        <v>#N/A</v>
      </c>
      <c r="AD271" s="107" t="e">
        <f>VLOOKUP($A271,'S47'!$C:$BQ,39,0)</f>
        <v>#N/A</v>
      </c>
      <c r="AE271" s="107" t="e">
        <f>VLOOKUP($A271,'S47'!$C:$BQ,40,0)</f>
        <v>#N/A</v>
      </c>
      <c r="AF271" s="107" t="e">
        <f>VLOOKUP($A271,'S47'!$C:$BQ,22,0)</f>
        <v>#N/A</v>
      </c>
      <c r="AG271" s="115" t="e">
        <f>VLOOKUP($A271,'S47'!$C:$BQ,29,0)</f>
        <v>#N/A</v>
      </c>
      <c r="AH271" s="115" t="e">
        <f>VLOOKUP($A271,'S47'!$C:$BQ,30,0)</f>
        <v>#N/A</v>
      </c>
      <c r="AI271" s="115" t="e">
        <f>VLOOKUP($A271,'S47'!$C:$BQ,52,0)</f>
        <v>#N/A</v>
      </c>
      <c r="AJ271" s="115" t="e">
        <f>VLOOKUP($A271,'S47'!$C:$BQ,59,0)</f>
        <v>#N/A</v>
      </c>
      <c r="AK271" s="115" t="e">
        <f>VLOOKUP($A271,'S47'!$C:$BQ,60,0)</f>
        <v>#N/A</v>
      </c>
      <c r="AL271" s="107" t="e">
        <f>VLOOKUP($A271,'S48'!$C:$BQ,32,0)</f>
        <v>#N/A</v>
      </c>
      <c r="AM271" s="107" t="e">
        <f>VLOOKUP($A271,'S48'!$C:$BQ,39,0)</f>
        <v>#N/A</v>
      </c>
      <c r="AN271" s="107" t="e">
        <f>VLOOKUP($A271,'S48'!$C:$BQ,40,0)</f>
        <v>#N/A</v>
      </c>
      <c r="AO271" s="107" t="e">
        <f>VLOOKUP($A271,'S48'!$C:$BQ,22,0)</f>
        <v>#N/A</v>
      </c>
      <c r="AP271" s="115" t="e">
        <f>VLOOKUP($A271,'S48'!$C:$BQ,29,0)</f>
        <v>#N/A</v>
      </c>
      <c r="AQ271" s="115" t="e">
        <f>VLOOKUP($A271,'S48'!$C:$BQ,30,0)</f>
        <v>#N/A</v>
      </c>
      <c r="AR271" s="115" t="e">
        <f>VLOOKUP($A271,'S48'!$C:$BQ,52,0)</f>
        <v>#N/A</v>
      </c>
      <c r="AS271" s="115" t="e">
        <f>VLOOKUP($A271,'S48'!$C:$BQ,59,0)</f>
        <v>#N/A</v>
      </c>
      <c r="AT271" s="115" t="e">
        <f>VLOOKUP($A271,'S48'!$C:$BQ,60,0)</f>
        <v>#N/A</v>
      </c>
      <c r="AU271" s="107" t="e">
        <f>VLOOKUP($A271,'S49'!$C:$BQ,32,0)</f>
        <v>#N/A</v>
      </c>
      <c r="AV271" s="107" t="e">
        <f>VLOOKUP($A271,'S49'!$C:$BQ,39,0)</f>
        <v>#N/A</v>
      </c>
      <c r="AW271" s="107" t="e">
        <f>VLOOKUP($A271,'S49'!$C:$BQ,40,0)</f>
        <v>#N/A</v>
      </c>
      <c r="AX271" s="107" t="e">
        <f>VLOOKUP($A271,'S49'!$C:$BQ,22,0)</f>
        <v>#N/A</v>
      </c>
      <c r="AY271" s="115" t="e">
        <f>VLOOKUP($A271,'S49'!$C:$BQ,29,0)</f>
        <v>#N/A</v>
      </c>
      <c r="AZ271" s="115" t="e">
        <f>VLOOKUP($A271,'S49'!$C:$BQ,30,0)</f>
        <v>#N/A</v>
      </c>
      <c r="BA271" s="115" t="e">
        <f>VLOOKUP($A271,'S49'!$C:$BQ,52,0)</f>
        <v>#N/A</v>
      </c>
      <c r="BB271" s="115" t="e">
        <f>VLOOKUP($A271,'S49'!$C:$BQ,59,0)</f>
        <v>#N/A</v>
      </c>
      <c r="BC271" s="115" t="e">
        <f>VLOOKUP($A271,'S49'!$C:$BQ,60,0)</f>
        <v>#N/A</v>
      </c>
      <c r="BD271" s="107" t="e">
        <f>VLOOKUP($A271,'S50'!$C:$BQ,32,0)</f>
        <v>#N/A</v>
      </c>
      <c r="BE271" s="107" t="e">
        <f>VLOOKUP($A271,'S50'!$C:$BQ,39,0)</f>
        <v>#N/A</v>
      </c>
      <c r="BF271" s="107" t="e">
        <f>VLOOKUP($A271,'S50'!$C:$BQ,40,0)</f>
        <v>#N/A</v>
      </c>
      <c r="BG271" s="107" t="e">
        <f>VLOOKUP($A271,'S50'!$C:$BQ,22,0)</f>
        <v>#N/A</v>
      </c>
      <c r="BH271" s="115" t="e">
        <f>VLOOKUP($A271,'S50'!$C:$BQ,29,0)</f>
        <v>#N/A</v>
      </c>
      <c r="BI271" s="115" t="e">
        <f>VLOOKUP($A271,'S50'!$C:$BQ,30,0)</f>
        <v>#N/A</v>
      </c>
      <c r="BJ271" s="115" t="e">
        <f>VLOOKUP($A271,'S50'!$C:$BQ,52,0)</f>
        <v>#N/A</v>
      </c>
      <c r="BK271" s="115" t="e">
        <f>VLOOKUP($A271,'S50'!$C:$BQ,59,0)</f>
        <v>#N/A</v>
      </c>
      <c r="BL271" s="115" t="e">
        <f>VLOOKUP($A271,'S50'!$C:$BQ,60,0)</f>
        <v>#N/A</v>
      </c>
    </row>
    <row r="272" spans="1:64" x14ac:dyDescent="0.2">
      <c r="A272" s="106" t="s">
        <v>346</v>
      </c>
      <c r="B272" s="107">
        <f>VLOOKUP($A272,'S0 remplacer avec S44'!$C:$BQ,32,0)</f>
        <v>474.15</v>
      </c>
      <c r="C272" s="107">
        <f>VLOOKUP($A272,'S0 remplacer avec S44'!$C:$BQ,39,0)</f>
        <v>73</v>
      </c>
      <c r="D272" s="107">
        <f>VLOOKUP($A272,'S0 remplacer avec S44'!$C:$BQ,40,0)</f>
        <v>182</v>
      </c>
      <c r="E272" s="107">
        <f>VLOOKUP($A272,'S0 remplacer avec S44'!$C:$BQ,22,0)</f>
        <v>4102.5174299999999</v>
      </c>
      <c r="F272" s="115">
        <f>VLOOKUP($A272,'S0 remplacer avec S44'!$C:$BQ,29,0)</f>
        <v>869</v>
      </c>
      <c r="G272" s="115">
        <f>VLOOKUP($A272,'S0 remplacer avec S44'!$C:$BQ,30,0)</f>
        <v>1864</v>
      </c>
      <c r="H272" s="115">
        <f>VLOOKUP($A272,'S0 remplacer avec S44'!$C:$BQ,52,0)</f>
        <v>535.79999999999995</v>
      </c>
      <c r="I272" s="115">
        <f>VLOOKUP($A272,'S0 remplacer avec S44'!$C:$BQ,59,0)</f>
        <v>0</v>
      </c>
      <c r="J272" s="115">
        <f>VLOOKUP($A272,'S0 remplacer avec S44'!$C:$BQ,60,0)</f>
        <v>0</v>
      </c>
      <c r="K272" s="107" t="e">
        <f>VLOOKUP($A272,'S45'!$C:$BQ,32,0)</f>
        <v>#N/A</v>
      </c>
      <c r="L272" s="107" t="e">
        <f>VLOOKUP($A272,'S45'!$C:$BQ,39,0)</f>
        <v>#N/A</v>
      </c>
      <c r="M272" s="107" t="e">
        <f>VLOOKUP($A272,'S45'!$C:$BQ,40,0)</f>
        <v>#N/A</v>
      </c>
      <c r="N272" s="107" t="e">
        <f>VLOOKUP($A272,'S45'!$C:$BQ,22,0)</f>
        <v>#N/A</v>
      </c>
      <c r="O272" s="115" t="e">
        <f>VLOOKUP($A272,'S45'!$C:$BQ,29,0)</f>
        <v>#N/A</v>
      </c>
      <c r="P272" s="115" t="e">
        <f>VLOOKUP($A272,'S45'!$C:$BQ,30,0)</f>
        <v>#N/A</v>
      </c>
      <c r="Q272" s="115" t="e">
        <f>VLOOKUP($A272,'S45'!$C:$BQ,52,0)</f>
        <v>#N/A</v>
      </c>
      <c r="R272" s="115" t="e">
        <f>VLOOKUP($A272,'S45'!$C:$BQ,59,0)</f>
        <v>#N/A</v>
      </c>
      <c r="S272" s="115" t="e">
        <f>VLOOKUP($A272,'S45'!$C:$BQ,60,0)</f>
        <v>#N/A</v>
      </c>
      <c r="T272" s="107" t="e">
        <f>VLOOKUP($A272,'S46'!$C:$BQ,32,0)</f>
        <v>#N/A</v>
      </c>
      <c r="U272" s="107" t="e">
        <f>VLOOKUP($A272,'S46'!$C:$BQ,39,0)</f>
        <v>#N/A</v>
      </c>
      <c r="V272" s="107" t="e">
        <f>VLOOKUP($A272,'S46'!$C:$BQ,40,0)</f>
        <v>#N/A</v>
      </c>
      <c r="W272" s="107" t="e">
        <f>VLOOKUP($A272,'S46'!$C:$BQ,22,0)</f>
        <v>#N/A</v>
      </c>
      <c r="X272" s="115" t="e">
        <f>VLOOKUP($A272,'S46'!$C:$BQ,29,0)</f>
        <v>#N/A</v>
      </c>
      <c r="Y272" s="115" t="e">
        <f>VLOOKUP($A272,'S46'!$C:$BQ,30,0)</f>
        <v>#N/A</v>
      </c>
      <c r="Z272" s="115" t="e">
        <f>VLOOKUP($A272,'S46'!$C:$BQ,52,0)</f>
        <v>#N/A</v>
      </c>
      <c r="AA272" s="115" t="e">
        <f>VLOOKUP($A272,'S46'!$C:$BQ,59,0)</f>
        <v>#N/A</v>
      </c>
      <c r="AB272" s="115" t="e">
        <f>VLOOKUP($A272,'S46'!$C:$BQ,60,0)</f>
        <v>#N/A</v>
      </c>
      <c r="AC272" s="107" t="e">
        <f>VLOOKUP($A272,'S47'!$C:$BQ,32,0)</f>
        <v>#N/A</v>
      </c>
      <c r="AD272" s="107" t="e">
        <f>VLOOKUP($A272,'S47'!$C:$BQ,39,0)</f>
        <v>#N/A</v>
      </c>
      <c r="AE272" s="107" t="e">
        <f>VLOOKUP($A272,'S47'!$C:$BQ,40,0)</f>
        <v>#N/A</v>
      </c>
      <c r="AF272" s="107" t="e">
        <f>VLOOKUP($A272,'S47'!$C:$BQ,22,0)</f>
        <v>#N/A</v>
      </c>
      <c r="AG272" s="115" t="e">
        <f>VLOOKUP($A272,'S47'!$C:$BQ,29,0)</f>
        <v>#N/A</v>
      </c>
      <c r="AH272" s="115" t="e">
        <f>VLOOKUP($A272,'S47'!$C:$BQ,30,0)</f>
        <v>#N/A</v>
      </c>
      <c r="AI272" s="115" t="e">
        <f>VLOOKUP($A272,'S47'!$C:$BQ,52,0)</f>
        <v>#N/A</v>
      </c>
      <c r="AJ272" s="115" t="e">
        <f>VLOOKUP($A272,'S47'!$C:$BQ,59,0)</f>
        <v>#N/A</v>
      </c>
      <c r="AK272" s="115" t="e">
        <f>VLOOKUP($A272,'S47'!$C:$BQ,60,0)</f>
        <v>#N/A</v>
      </c>
      <c r="AL272" s="107" t="e">
        <f>VLOOKUP($A272,'S48'!$C:$BQ,32,0)</f>
        <v>#N/A</v>
      </c>
      <c r="AM272" s="107" t="e">
        <f>VLOOKUP($A272,'S48'!$C:$BQ,39,0)</f>
        <v>#N/A</v>
      </c>
      <c r="AN272" s="107" t="e">
        <f>VLOOKUP($A272,'S48'!$C:$BQ,40,0)</f>
        <v>#N/A</v>
      </c>
      <c r="AO272" s="107" t="e">
        <f>VLOOKUP($A272,'S48'!$C:$BQ,22,0)</f>
        <v>#N/A</v>
      </c>
      <c r="AP272" s="115" t="e">
        <f>VLOOKUP($A272,'S48'!$C:$BQ,29,0)</f>
        <v>#N/A</v>
      </c>
      <c r="AQ272" s="115" t="e">
        <f>VLOOKUP($A272,'S48'!$C:$BQ,30,0)</f>
        <v>#N/A</v>
      </c>
      <c r="AR272" s="115" t="e">
        <f>VLOOKUP($A272,'S48'!$C:$BQ,52,0)</f>
        <v>#N/A</v>
      </c>
      <c r="AS272" s="115" t="e">
        <f>VLOOKUP($A272,'S48'!$C:$BQ,59,0)</f>
        <v>#N/A</v>
      </c>
      <c r="AT272" s="115" t="e">
        <f>VLOOKUP($A272,'S48'!$C:$BQ,60,0)</f>
        <v>#N/A</v>
      </c>
      <c r="AU272" s="107" t="e">
        <f>VLOOKUP($A272,'S49'!$C:$BQ,32,0)</f>
        <v>#N/A</v>
      </c>
      <c r="AV272" s="107" t="e">
        <f>VLOOKUP($A272,'S49'!$C:$BQ,39,0)</f>
        <v>#N/A</v>
      </c>
      <c r="AW272" s="107" t="e">
        <f>VLOOKUP($A272,'S49'!$C:$BQ,40,0)</f>
        <v>#N/A</v>
      </c>
      <c r="AX272" s="107" t="e">
        <f>VLOOKUP($A272,'S49'!$C:$BQ,22,0)</f>
        <v>#N/A</v>
      </c>
      <c r="AY272" s="115" t="e">
        <f>VLOOKUP($A272,'S49'!$C:$BQ,29,0)</f>
        <v>#N/A</v>
      </c>
      <c r="AZ272" s="115" t="e">
        <f>VLOOKUP($A272,'S49'!$C:$BQ,30,0)</f>
        <v>#N/A</v>
      </c>
      <c r="BA272" s="115" t="e">
        <f>VLOOKUP($A272,'S49'!$C:$BQ,52,0)</f>
        <v>#N/A</v>
      </c>
      <c r="BB272" s="115" t="e">
        <f>VLOOKUP($A272,'S49'!$C:$BQ,59,0)</f>
        <v>#N/A</v>
      </c>
      <c r="BC272" s="115" t="e">
        <f>VLOOKUP($A272,'S49'!$C:$BQ,60,0)</f>
        <v>#N/A</v>
      </c>
      <c r="BD272" s="107" t="e">
        <f>VLOOKUP($A272,'S50'!$C:$BQ,32,0)</f>
        <v>#N/A</v>
      </c>
      <c r="BE272" s="107" t="e">
        <f>VLOOKUP($A272,'S50'!$C:$BQ,39,0)</f>
        <v>#N/A</v>
      </c>
      <c r="BF272" s="107" t="e">
        <f>VLOOKUP($A272,'S50'!$C:$BQ,40,0)</f>
        <v>#N/A</v>
      </c>
      <c r="BG272" s="107" t="e">
        <f>VLOOKUP($A272,'S50'!$C:$BQ,22,0)</f>
        <v>#N/A</v>
      </c>
      <c r="BH272" s="115" t="e">
        <f>VLOOKUP($A272,'S50'!$C:$BQ,29,0)</f>
        <v>#N/A</v>
      </c>
      <c r="BI272" s="115" t="e">
        <f>VLOOKUP($A272,'S50'!$C:$BQ,30,0)</f>
        <v>#N/A</v>
      </c>
      <c r="BJ272" s="115" t="e">
        <f>VLOOKUP($A272,'S50'!$C:$BQ,52,0)</f>
        <v>#N/A</v>
      </c>
      <c r="BK272" s="115" t="e">
        <f>VLOOKUP($A272,'S50'!$C:$BQ,59,0)</f>
        <v>#N/A</v>
      </c>
      <c r="BL272" s="115" t="e">
        <f>VLOOKUP($A272,'S50'!$C:$BQ,60,0)</f>
        <v>#N/A</v>
      </c>
    </row>
    <row r="273" spans="1:64" x14ac:dyDescent="0.2">
      <c r="A273" s="106" t="s">
        <v>347</v>
      </c>
      <c r="B273" s="107">
        <f>VLOOKUP($A273,'S0 remplacer avec S44'!$C:$BQ,32,0)</f>
        <v>101.7</v>
      </c>
      <c r="C273" s="107">
        <f>VLOOKUP($A273,'S0 remplacer avec S44'!$C:$BQ,39,0)</f>
        <v>18</v>
      </c>
      <c r="D273" s="107">
        <f>VLOOKUP($A273,'S0 remplacer avec S44'!$C:$BQ,40,0)</f>
        <v>42</v>
      </c>
      <c r="E273" s="107">
        <f>VLOOKUP($A273,'S0 remplacer avec S44'!$C:$BQ,22,0)</f>
        <v>967.91809499999999</v>
      </c>
      <c r="F273" s="115">
        <f>VLOOKUP($A273,'S0 remplacer avec S44'!$C:$BQ,29,0)</f>
        <v>121</v>
      </c>
      <c r="G273" s="115">
        <f>VLOOKUP($A273,'S0 remplacer avec S44'!$C:$BQ,30,0)</f>
        <v>338</v>
      </c>
      <c r="H273" s="115">
        <f>VLOOKUP($A273,'S0 remplacer avec S44'!$C:$BQ,52,0)</f>
        <v>83.4</v>
      </c>
      <c r="I273" s="115">
        <f>VLOOKUP($A273,'S0 remplacer avec S44'!$C:$BQ,59,0)</f>
        <v>0</v>
      </c>
      <c r="J273" s="115">
        <f>VLOOKUP($A273,'S0 remplacer avec S44'!$C:$BQ,60,0)</f>
        <v>0</v>
      </c>
      <c r="K273" s="107" t="e">
        <f>VLOOKUP($A273,'S45'!$C:$BQ,32,0)</f>
        <v>#N/A</v>
      </c>
      <c r="L273" s="107" t="e">
        <f>VLOOKUP($A273,'S45'!$C:$BQ,39,0)</f>
        <v>#N/A</v>
      </c>
      <c r="M273" s="107" t="e">
        <f>VLOOKUP($A273,'S45'!$C:$BQ,40,0)</f>
        <v>#N/A</v>
      </c>
      <c r="N273" s="107" t="e">
        <f>VLOOKUP($A273,'S45'!$C:$BQ,22,0)</f>
        <v>#N/A</v>
      </c>
      <c r="O273" s="115" t="e">
        <f>VLOOKUP($A273,'S45'!$C:$BQ,29,0)</f>
        <v>#N/A</v>
      </c>
      <c r="P273" s="115" t="e">
        <f>VLOOKUP($A273,'S45'!$C:$BQ,30,0)</f>
        <v>#N/A</v>
      </c>
      <c r="Q273" s="115" t="e">
        <f>VLOOKUP($A273,'S45'!$C:$BQ,52,0)</f>
        <v>#N/A</v>
      </c>
      <c r="R273" s="115" t="e">
        <f>VLOOKUP($A273,'S45'!$C:$BQ,59,0)</f>
        <v>#N/A</v>
      </c>
      <c r="S273" s="115" t="e">
        <f>VLOOKUP($A273,'S45'!$C:$BQ,60,0)</f>
        <v>#N/A</v>
      </c>
      <c r="T273" s="107" t="e">
        <f>VLOOKUP($A273,'S46'!$C:$BQ,32,0)</f>
        <v>#N/A</v>
      </c>
      <c r="U273" s="107" t="e">
        <f>VLOOKUP($A273,'S46'!$C:$BQ,39,0)</f>
        <v>#N/A</v>
      </c>
      <c r="V273" s="107" t="e">
        <f>VLOOKUP($A273,'S46'!$C:$BQ,40,0)</f>
        <v>#N/A</v>
      </c>
      <c r="W273" s="107" t="e">
        <f>VLOOKUP($A273,'S46'!$C:$BQ,22,0)</f>
        <v>#N/A</v>
      </c>
      <c r="X273" s="115" t="e">
        <f>VLOOKUP($A273,'S46'!$C:$BQ,29,0)</f>
        <v>#N/A</v>
      </c>
      <c r="Y273" s="115" t="e">
        <f>VLOOKUP($A273,'S46'!$C:$BQ,30,0)</f>
        <v>#N/A</v>
      </c>
      <c r="Z273" s="115" t="e">
        <f>VLOOKUP($A273,'S46'!$C:$BQ,52,0)</f>
        <v>#N/A</v>
      </c>
      <c r="AA273" s="115" t="e">
        <f>VLOOKUP($A273,'S46'!$C:$BQ,59,0)</f>
        <v>#N/A</v>
      </c>
      <c r="AB273" s="115" t="e">
        <f>VLOOKUP($A273,'S46'!$C:$BQ,60,0)</f>
        <v>#N/A</v>
      </c>
      <c r="AC273" s="107" t="e">
        <f>VLOOKUP($A273,'S47'!$C:$BQ,32,0)</f>
        <v>#N/A</v>
      </c>
      <c r="AD273" s="107" t="e">
        <f>VLOOKUP($A273,'S47'!$C:$BQ,39,0)</f>
        <v>#N/A</v>
      </c>
      <c r="AE273" s="107" t="e">
        <f>VLOOKUP($A273,'S47'!$C:$BQ,40,0)</f>
        <v>#N/A</v>
      </c>
      <c r="AF273" s="107" t="e">
        <f>VLOOKUP($A273,'S47'!$C:$BQ,22,0)</f>
        <v>#N/A</v>
      </c>
      <c r="AG273" s="115" t="e">
        <f>VLOOKUP($A273,'S47'!$C:$BQ,29,0)</f>
        <v>#N/A</v>
      </c>
      <c r="AH273" s="115" t="e">
        <f>VLOOKUP($A273,'S47'!$C:$BQ,30,0)</f>
        <v>#N/A</v>
      </c>
      <c r="AI273" s="115" t="e">
        <f>VLOOKUP($A273,'S47'!$C:$BQ,52,0)</f>
        <v>#N/A</v>
      </c>
      <c r="AJ273" s="115" t="e">
        <f>VLOOKUP($A273,'S47'!$C:$BQ,59,0)</f>
        <v>#N/A</v>
      </c>
      <c r="AK273" s="115" t="e">
        <f>VLOOKUP($A273,'S47'!$C:$BQ,60,0)</f>
        <v>#N/A</v>
      </c>
      <c r="AL273" s="107" t="e">
        <f>VLOOKUP($A273,'S48'!$C:$BQ,32,0)</f>
        <v>#N/A</v>
      </c>
      <c r="AM273" s="107" t="e">
        <f>VLOOKUP($A273,'S48'!$C:$BQ,39,0)</f>
        <v>#N/A</v>
      </c>
      <c r="AN273" s="107" t="e">
        <f>VLOOKUP($A273,'S48'!$C:$BQ,40,0)</f>
        <v>#N/A</v>
      </c>
      <c r="AO273" s="107" t="e">
        <f>VLOOKUP($A273,'S48'!$C:$BQ,22,0)</f>
        <v>#N/A</v>
      </c>
      <c r="AP273" s="115" t="e">
        <f>VLOOKUP($A273,'S48'!$C:$BQ,29,0)</f>
        <v>#N/A</v>
      </c>
      <c r="AQ273" s="115" t="e">
        <f>VLOOKUP($A273,'S48'!$C:$BQ,30,0)</f>
        <v>#N/A</v>
      </c>
      <c r="AR273" s="115" t="e">
        <f>VLOOKUP($A273,'S48'!$C:$BQ,52,0)</f>
        <v>#N/A</v>
      </c>
      <c r="AS273" s="115" t="e">
        <f>VLOOKUP($A273,'S48'!$C:$BQ,59,0)</f>
        <v>#N/A</v>
      </c>
      <c r="AT273" s="115" t="e">
        <f>VLOOKUP($A273,'S48'!$C:$BQ,60,0)</f>
        <v>#N/A</v>
      </c>
      <c r="AU273" s="107" t="e">
        <f>VLOOKUP($A273,'S49'!$C:$BQ,32,0)</f>
        <v>#N/A</v>
      </c>
      <c r="AV273" s="107" t="e">
        <f>VLOOKUP($A273,'S49'!$C:$BQ,39,0)</f>
        <v>#N/A</v>
      </c>
      <c r="AW273" s="107" t="e">
        <f>VLOOKUP($A273,'S49'!$C:$BQ,40,0)</f>
        <v>#N/A</v>
      </c>
      <c r="AX273" s="107" t="e">
        <f>VLOOKUP($A273,'S49'!$C:$BQ,22,0)</f>
        <v>#N/A</v>
      </c>
      <c r="AY273" s="115" t="e">
        <f>VLOOKUP($A273,'S49'!$C:$BQ,29,0)</f>
        <v>#N/A</v>
      </c>
      <c r="AZ273" s="115" t="e">
        <f>VLOOKUP($A273,'S49'!$C:$BQ,30,0)</f>
        <v>#N/A</v>
      </c>
      <c r="BA273" s="115" t="e">
        <f>VLOOKUP($A273,'S49'!$C:$BQ,52,0)</f>
        <v>#N/A</v>
      </c>
      <c r="BB273" s="115" t="e">
        <f>VLOOKUP($A273,'S49'!$C:$BQ,59,0)</f>
        <v>#N/A</v>
      </c>
      <c r="BC273" s="115" t="e">
        <f>VLOOKUP($A273,'S49'!$C:$BQ,60,0)</f>
        <v>#N/A</v>
      </c>
      <c r="BD273" s="107" t="e">
        <f>VLOOKUP($A273,'S50'!$C:$BQ,32,0)</f>
        <v>#N/A</v>
      </c>
      <c r="BE273" s="107" t="e">
        <f>VLOOKUP($A273,'S50'!$C:$BQ,39,0)</f>
        <v>#N/A</v>
      </c>
      <c r="BF273" s="107" t="e">
        <f>VLOOKUP($A273,'S50'!$C:$BQ,40,0)</f>
        <v>#N/A</v>
      </c>
      <c r="BG273" s="107" t="e">
        <f>VLOOKUP($A273,'S50'!$C:$BQ,22,0)</f>
        <v>#N/A</v>
      </c>
      <c r="BH273" s="115" t="e">
        <f>VLOOKUP($A273,'S50'!$C:$BQ,29,0)</f>
        <v>#N/A</v>
      </c>
      <c r="BI273" s="115" t="e">
        <f>VLOOKUP($A273,'S50'!$C:$BQ,30,0)</f>
        <v>#N/A</v>
      </c>
      <c r="BJ273" s="115" t="e">
        <f>VLOOKUP($A273,'S50'!$C:$BQ,52,0)</f>
        <v>#N/A</v>
      </c>
      <c r="BK273" s="115" t="e">
        <f>VLOOKUP($A273,'S50'!$C:$BQ,59,0)</f>
        <v>#N/A</v>
      </c>
      <c r="BL273" s="115" t="e">
        <f>VLOOKUP($A273,'S50'!$C:$BQ,60,0)</f>
        <v>#N/A</v>
      </c>
    </row>
    <row r="274" spans="1:64" x14ac:dyDescent="0.2">
      <c r="A274" s="106" t="s">
        <v>348</v>
      </c>
      <c r="B274" s="107">
        <f>VLOOKUP($A274,'S0 remplacer avec S44'!$C:$BQ,32,0)</f>
        <v>140.80000000000001</v>
      </c>
      <c r="C274" s="107">
        <f>VLOOKUP($A274,'S0 remplacer avec S44'!$C:$BQ,39,0)</f>
        <v>0</v>
      </c>
      <c r="D274" s="107">
        <f>VLOOKUP($A274,'S0 remplacer avec S44'!$C:$BQ,40,0)</f>
        <v>0</v>
      </c>
      <c r="E274" s="107">
        <f>VLOOKUP($A274,'S0 remplacer avec S44'!$C:$BQ,22,0)</f>
        <v>1735.7796249999999</v>
      </c>
      <c r="F274" s="115">
        <f>VLOOKUP($A274,'S0 remplacer avec S44'!$C:$BQ,29,0)</f>
        <v>0</v>
      </c>
      <c r="G274" s="115">
        <f>VLOOKUP($A274,'S0 remplacer avec S44'!$C:$BQ,30,0)</f>
        <v>0</v>
      </c>
      <c r="H274" s="115">
        <f>VLOOKUP($A274,'S0 remplacer avec S44'!$C:$BQ,52,0)</f>
        <v>105.8</v>
      </c>
      <c r="I274" s="115">
        <f>VLOOKUP($A274,'S0 remplacer avec S44'!$C:$BQ,59,0)</f>
        <v>0</v>
      </c>
      <c r="J274" s="115">
        <f>VLOOKUP($A274,'S0 remplacer avec S44'!$C:$BQ,60,0)</f>
        <v>0</v>
      </c>
      <c r="K274" s="107" t="e">
        <f>VLOOKUP($A274,'S45'!$C:$BQ,32,0)</f>
        <v>#N/A</v>
      </c>
      <c r="L274" s="107" t="e">
        <f>VLOOKUP($A274,'S45'!$C:$BQ,39,0)</f>
        <v>#N/A</v>
      </c>
      <c r="M274" s="107" t="e">
        <f>VLOOKUP($A274,'S45'!$C:$BQ,40,0)</f>
        <v>#N/A</v>
      </c>
      <c r="N274" s="107" t="e">
        <f>VLOOKUP($A274,'S45'!$C:$BQ,22,0)</f>
        <v>#N/A</v>
      </c>
      <c r="O274" s="115" t="e">
        <f>VLOOKUP($A274,'S45'!$C:$BQ,29,0)</f>
        <v>#N/A</v>
      </c>
      <c r="P274" s="115" t="e">
        <f>VLOOKUP($A274,'S45'!$C:$BQ,30,0)</f>
        <v>#N/A</v>
      </c>
      <c r="Q274" s="115" t="e">
        <f>VLOOKUP($A274,'S45'!$C:$BQ,52,0)</f>
        <v>#N/A</v>
      </c>
      <c r="R274" s="115" t="e">
        <f>VLOOKUP($A274,'S45'!$C:$BQ,59,0)</f>
        <v>#N/A</v>
      </c>
      <c r="S274" s="115" t="e">
        <f>VLOOKUP($A274,'S45'!$C:$BQ,60,0)</f>
        <v>#N/A</v>
      </c>
      <c r="T274" s="107" t="e">
        <f>VLOOKUP($A274,'S46'!$C:$BQ,32,0)</f>
        <v>#N/A</v>
      </c>
      <c r="U274" s="107" t="e">
        <f>VLOOKUP($A274,'S46'!$C:$BQ,39,0)</f>
        <v>#N/A</v>
      </c>
      <c r="V274" s="107" t="e">
        <f>VLOOKUP($A274,'S46'!$C:$BQ,40,0)</f>
        <v>#N/A</v>
      </c>
      <c r="W274" s="107" t="e">
        <f>VLOOKUP($A274,'S46'!$C:$BQ,22,0)</f>
        <v>#N/A</v>
      </c>
      <c r="X274" s="115" t="e">
        <f>VLOOKUP($A274,'S46'!$C:$BQ,29,0)</f>
        <v>#N/A</v>
      </c>
      <c r="Y274" s="115" t="e">
        <f>VLOOKUP($A274,'S46'!$C:$BQ,30,0)</f>
        <v>#N/A</v>
      </c>
      <c r="Z274" s="115" t="e">
        <f>VLOOKUP($A274,'S46'!$C:$BQ,52,0)</f>
        <v>#N/A</v>
      </c>
      <c r="AA274" s="115" t="e">
        <f>VLOOKUP($A274,'S46'!$C:$BQ,59,0)</f>
        <v>#N/A</v>
      </c>
      <c r="AB274" s="115" t="e">
        <f>VLOOKUP($A274,'S46'!$C:$BQ,60,0)</f>
        <v>#N/A</v>
      </c>
      <c r="AC274" s="107" t="e">
        <f>VLOOKUP($A274,'S47'!$C:$BQ,32,0)</f>
        <v>#N/A</v>
      </c>
      <c r="AD274" s="107" t="e">
        <f>VLOOKUP($A274,'S47'!$C:$BQ,39,0)</f>
        <v>#N/A</v>
      </c>
      <c r="AE274" s="107" t="e">
        <f>VLOOKUP($A274,'S47'!$C:$BQ,40,0)</f>
        <v>#N/A</v>
      </c>
      <c r="AF274" s="107" t="e">
        <f>VLOOKUP($A274,'S47'!$C:$BQ,22,0)</f>
        <v>#N/A</v>
      </c>
      <c r="AG274" s="115" t="e">
        <f>VLOOKUP($A274,'S47'!$C:$BQ,29,0)</f>
        <v>#N/A</v>
      </c>
      <c r="AH274" s="115" t="e">
        <f>VLOOKUP($A274,'S47'!$C:$BQ,30,0)</f>
        <v>#N/A</v>
      </c>
      <c r="AI274" s="115" t="e">
        <f>VLOOKUP($A274,'S47'!$C:$BQ,52,0)</f>
        <v>#N/A</v>
      </c>
      <c r="AJ274" s="115" t="e">
        <f>VLOOKUP($A274,'S47'!$C:$BQ,59,0)</f>
        <v>#N/A</v>
      </c>
      <c r="AK274" s="115" t="e">
        <f>VLOOKUP($A274,'S47'!$C:$BQ,60,0)</f>
        <v>#N/A</v>
      </c>
      <c r="AL274" s="107" t="e">
        <f>VLOOKUP($A274,'S48'!$C:$BQ,32,0)</f>
        <v>#N/A</v>
      </c>
      <c r="AM274" s="107" t="e">
        <f>VLOOKUP($A274,'S48'!$C:$BQ,39,0)</f>
        <v>#N/A</v>
      </c>
      <c r="AN274" s="107" t="e">
        <f>VLOOKUP($A274,'S48'!$C:$BQ,40,0)</f>
        <v>#N/A</v>
      </c>
      <c r="AO274" s="107" t="e">
        <f>VLOOKUP($A274,'S48'!$C:$BQ,22,0)</f>
        <v>#N/A</v>
      </c>
      <c r="AP274" s="115" t="e">
        <f>VLOOKUP($A274,'S48'!$C:$BQ,29,0)</f>
        <v>#N/A</v>
      </c>
      <c r="AQ274" s="115" t="e">
        <f>VLOOKUP($A274,'S48'!$C:$BQ,30,0)</f>
        <v>#N/A</v>
      </c>
      <c r="AR274" s="115" t="e">
        <f>VLOOKUP($A274,'S48'!$C:$BQ,52,0)</f>
        <v>#N/A</v>
      </c>
      <c r="AS274" s="115" t="e">
        <f>VLOOKUP($A274,'S48'!$C:$BQ,59,0)</f>
        <v>#N/A</v>
      </c>
      <c r="AT274" s="115" t="e">
        <f>VLOOKUP($A274,'S48'!$C:$BQ,60,0)</f>
        <v>#N/A</v>
      </c>
      <c r="AU274" s="107" t="e">
        <f>VLOOKUP($A274,'S49'!$C:$BQ,32,0)</f>
        <v>#N/A</v>
      </c>
      <c r="AV274" s="107" t="e">
        <f>VLOOKUP($A274,'S49'!$C:$BQ,39,0)</f>
        <v>#N/A</v>
      </c>
      <c r="AW274" s="107" t="e">
        <f>VLOOKUP($A274,'S49'!$C:$BQ,40,0)</f>
        <v>#N/A</v>
      </c>
      <c r="AX274" s="107" t="e">
        <f>VLOOKUP($A274,'S49'!$C:$BQ,22,0)</f>
        <v>#N/A</v>
      </c>
      <c r="AY274" s="115" t="e">
        <f>VLOOKUP($A274,'S49'!$C:$BQ,29,0)</f>
        <v>#N/A</v>
      </c>
      <c r="AZ274" s="115" t="e">
        <f>VLOOKUP($A274,'S49'!$C:$BQ,30,0)</f>
        <v>#N/A</v>
      </c>
      <c r="BA274" s="115" t="e">
        <f>VLOOKUP($A274,'S49'!$C:$BQ,52,0)</f>
        <v>#N/A</v>
      </c>
      <c r="BB274" s="115" t="e">
        <f>VLOOKUP($A274,'S49'!$C:$BQ,59,0)</f>
        <v>#N/A</v>
      </c>
      <c r="BC274" s="115" t="e">
        <f>VLOOKUP($A274,'S49'!$C:$BQ,60,0)</f>
        <v>#N/A</v>
      </c>
      <c r="BD274" s="107" t="e">
        <f>VLOOKUP($A274,'S50'!$C:$BQ,32,0)</f>
        <v>#N/A</v>
      </c>
      <c r="BE274" s="107" t="e">
        <f>VLOOKUP($A274,'S50'!$C:$BQ,39,0)</f>
        <v>#N/A</v>
      </c>
      <c r="BF274" s="107" t="e">
        <f>VLOOKUP($A274,'S50'!$C:$BQ,40,0)</f>
        <v>#N/A</v>
      </c>
      <c r="BG274" s="107" t="e">
        <f>VLOOKUP($A274,'S50'!$C:$BQ,22,0)</f>
        <v>#N/A</v>
      </c>
      <c r="BH274" s="115" t="e">
        <f>VLOOKUP($A274,'S50'!$C:$BQ,29,0)</f>
        <v>#N/A</v>
      </c>
      <c r="BI274" s="115" t="e">
        <f>VLOOKUP($A274,'S50'!$C:$BQ,30,0)</f>
        <v>#N/A</v>
      </c>
      <c r="BJ274" s="115" t="e">
        <f>VLOOKUP($A274,'S50'!$C:$BQ,52,0)</f>
        <v>#N/A</v>
      </c>
      <c r="BK274" s="115" t="e">
        <f>VLOOKUP($A274,'S50'!$C:$BQ,59,0)</f>
        <v>#N/A</v>
      </c>
      <c r="BL274" s="115" t="e">
        <f>VLOOKUP($A274,'S50'!$C:$BQ,60,0)</f>
        <v>#N/A</v>
      </c>
    </row>
    <row r="275" spans="1:64" x14ac:dyDescent="0.2">
      <c r="A275" s="106" t="s">
        <v>349</v>
      </c>
      <c r="B275" s="107">
        <f>VLOOKUP($A275,'S0 remplacer avec S44'!$C:$BQ,32,0)</f>
        <v>153.5</v>
      </c>
      <c r="C275" s="107">
        <f>VLOOKUP($A275,'S0 remplacer avec S44'!$C:$BQ,39,0)</f>
        <v>103</v>
      </c>
      <c r="D275" s="107">
        <f>VLOOKUP($A275,'S0 remplacer avec S44'!$C:$BQ,40,0)</f>
        <v>154</v>
      </c>
      <c r="E275" s="107">
        <f>VLOOKUP($A275,'S0 remplacer avec S44'!$C:$BQ,22,0)</f>
        <v>1478.75477</v>
      </c>
      <c r="F275" s="115">
        <f>VLOOKUP($A275,'S0 remplacer avec S44'!$C:$BQ,29,0)</f>
        <v>851</v>
      </c>
      <c r="G275" s="115">
        <f>VLOOKUP($A275,'S0 remplacer avec S44'!$C:$BQ,30,0)</f>
        <v>1317</v>
      </c>
      <c r="H275" s="115">
        <f>VLOOKUP($A275,'S0 remplacer avec S44'!$C:$BQ,52,0)</f>
        <v>140.4</v>
      </c>
      <c r="I275" s="115">
        <f>VLOOKUP($A275,'S0 remplacer avec S44'!$C:$BQ,59,0)</f>
        <v>0</v>
      </c>
      <c r="J275" s="115">
        <f>VLOOKUP($A275,'S0 remplacer avec S44'!$C:$BQ,60,0)</f>
        <v>16</v>
      </c>
      <c r="K275" s="107" t="e">
        <f>VLOOKUP($A275,'S45'!$C:$BQ,32,0)</f>
        <v>#N/A</v>
      </c>
      <c r="L275" s="107" t="e">
        <f>VLOOKUP($A275,'S45'!$C:$BQ,39,0)</f>
        <v>#N/A</v>
      </c>
      <c r="M275" s="107" t="e">
        <f>VLOOKUP($A275,'S45'!$C:$BQ,40,0)</f>
        <v>#N/A</v>
      </c>
      <c r="N275" s="107" t="e">
        <f>VLOOKUP($A275,'S45'!$C:$BQ,22,0)</f>
        <v>#N/A</v>
      </c>
      <c r="O275" s="115" t="e">
        <f>VLOOKUP($A275,'S45'!$C:$BQ,29,0)</f>
        <v>#N/A</v>
      </c>
      <c r="P275" s="115" t="e">
        <f>VLOOKUP($A275,'S45'!$C:$BQ,30,0)</f>
        <v>#N/A</v>
      </c>
      <c r="Q275" s="115" t="e">
        <f>VLOOKUP($A275,'S45'!$C:$BQ,52,0)</f>
        <v>#N/A</v>
      </c>
      <c r="R275" s="115" t="e">
        <f>VLOOKUP($A275,'S45'!$C:$BQ,59,0)</f>
        <v>#N/A</v>
      </c>
      <c r="S275" s="115" t="e">
        <f>VLOOKUP($A275,'S45'!$C:$BQ,60,0)</f>
        <v>#N/A</v>
      </c>
      <c r="T275" s="107" t="e">
        <f>VLOOKUP($A275,'S46'!$C:$BQ,32,0)</f>
        <v>#N/A</v>
      </c>
      <c r="U275" s="107" t="e">
        <f>VLOOKUP($A275,'S46'!$C:$BQ,39,0)</f>
        <v>#N/A</v>
      </c>
      <c r="V275" s="107" t="e">
        <f>VLOOKUP($A275,'S46'!$C:$BQ,40,0)</f>
        <v>#N/A</v>
      </c>
      <c r="W275" s="107" t="e">
        <f>VLOOKUP($A275,'S46'!$C:$BQ,22,0)</f>
        <v>#N/A</v>
      </c>
      <c r="X275" s="115" t="e">
        <f>VLOOKUP($A275,'S46'!$C:$BQ,29,0)</f>
        <v>#N/A</v>
      </c>
      <c r="Y275" s="115" t="e">
        <f>VLOOKUP($A275,'S46'!$C:$BQ,30,0)</f>
        <v>#N/A</v>
      </c>
      <c r="Z275" s="115" t="e">
        <f>VLOOKUP($A275,'S46'!$C:$BQ,52,0)</f>
        <v>#N/A</v>
      </c>
      <c r="AA275" s="115" t="e">
        <f>VLOOKUP($A275,'S46'!$C:$BQ,59,0)</f>
        <v>#N/A</v>
      </c>
      <c r="AB275" s="115" t="e">
        <f>VLOOKUP($A275,'S46'!$C:$BQ,60,0)</f>
        <v>#N/A</v>
      </c>
      <c r="AC275" s="107" t="e">
        <f>VLOOKUP($A275,'S47'!$C:$BQ,32,0)</f>
        <v>#N/A</v>
      </c>
      <c r="AD275" s="107" t="e">
        <f>VLOOKUP($A275,'S47'!$C:$BQ,39,0)</f>
        <v>#N/A</v>
      </c>
      <c r="AE275" s="107" t="e">
        <f>VLOOKUP($A275,'S47'!$C:$BQ,40,0)</f>
        <v>#N/A</v>
      </c>
      <c r="AF275" s="107" t="e">
        <f>VLOOKUP($A275,'S47'!$C:$BQ,22,0)</f>
        <v>#N/A</v>
      </c>
      <c r="AG275" s="115" t="e">
        <f>VLOOKUP($A275,'S47'!$C:$BQ,29,0)</f>
        <v>#N/A</v>
      </c>
      <c r="AH275" s="115" t="e">
        <f>VLOOKUP($A275,'S47'!$C:$BQ,30,0)</f>
        <v>#N/A</v>
      </c>
      <c r="AI275" s="115" t="e">
        <f>VLOOKUP($A275,'S47'!$C:$BQ,52,0)</f>
        <v>#N/A</v>
      </c>
      <c r="AJ275" s="115" t="e">
        <f>VLOOKUP($A275,'S47'!$C:$BQ,59,0)</f>
        <v>#N/A</v>
      </c>
      <c r="AK275" s="115" t="e">
        <f>VLOOKUP($A275,'S47'!$C:$BQ,60,0)</f>
        <v>#N/A</v>
      </c>
      <c r="AL275" s="107" t="e">
        <f>VLOOKUP($A275,'S48'!$C:$BQ,32,0)</f>
        <v>#N/A</v>
      </c>
      <c r="AM275" s="107" t="e">
        <f>VLOOKUP($A275,'S48'!$C:$BQ,39,0)</f>
        <v>#N/A</v>
      </c>
      <c r="AN275" s="107" t="e">
        <f>VLOOKUP($A275,'S48'!$C:$BQ,40,0)</f>
        <v>#N/A</v>
      </c>
      <c r="AO275" s="107" t="e">
        <f>VLOOKUP($A275,'S48'!$C:$BQ,22,0)</f>
        <v>#N/A</v>
      </c>
      <c r="AP275" s="115" t="e">
        <f>VLOOKUP($A275,'S48'!$C:$BQ,29,0)</f>
        <v>#N/A</v>
      </c>
      <c r="AQ275" s="115" t="e">
        <f>VLOOKUP($A275,'S48'!$C:$BQ,30,0)</f>
        <v>#N/A</v>
      </c>
      <c r="AR275" s="115" t="e">
        <f>VLOOKUP($A275,'S48'!$C:$BQ,52,0)</f>
        <v>#N/A</v>
      </c>
      <c r="AS275" s="115" t="e">
        <f>VLOOKUP($A275,'S48'!$C:$BQ,59,0)</f>
        <v>#N/A</v>
      </c>
      <c r="AT275" s="115" t="e">
        <f>VLOOKUP($A275,'S48'!$C:$BQ,60,0)</f>
        <v>#N/A</v>
      </c>
      <c r="AU275" s="107" t="e">
        <f>VLOOKUP($A275,'S49'!$C:$BQ,32,0)</f>
        <v>#N/A</v>
      </c>
      <c r="AV275" s="107" t="e">
        <f>VLOOKUP($A275,'S49'!$C:$BQ,39,0)</f>
        <v>#N/A</v>
      </c>
      <c r="AW275" s="107" t="e">
        <f>VLOOKUP($A275,'S49'!$C:$BQ,40,0)</f>
        <v>#N/A</v>
      </c>
      <c r="AX275" s="107" t="e">
        <f>VLOOKUP($A275,'S49'!$C:$BQ,22,0)</f>
        <v>#N/A</v>
      </c>
      <c r="AY275" s="115" t="e">
        <f>VLOOKUP($A275,'S49'!$C:$BQ,29,0)</f>
        <v>#N/A</v>
      </c>
      <c r="AZ275" s="115" t="e">
        <f>VLOOKUP($A275,'S49'!$C:$BQ,30,0)</f>
        <v>#N/A</v>
      </c>
      <c r="BA275" s="115" t="e">
        <f>VLOOKUP($A275,'S49'!$C:$BQ,52,0)</f>
        <v>#N/A</v>
      </c>
      <c r="BB275" s="115" t="e">
        <f>VLOOKUP($A275,'S49'!$C:$BQ,59,0)</f>
        <v>#N/A</v>
      </c>
      <c r="BC275" s="115" t="e">
        <f>VLOOKUP($A275,'S49'!$C:$BQ,60,0)</f>
        <v>#N/A</v>
      </c>
      <c r="BD275" s="107" t="e">
        <f>VLOOKUP($A275,'S50'!$C:$BQ,32,0)</f>
        <v>#N/A</v>
      </c>
      <c r="BE275" s="107" t="e">
        <f>VLOOKUP($A275,'S50'!$C:$BQ,39,0)</f>
        <v>#N/A</v>
      </c>
      <c r="BF275" s="107" t="e">
        <f>VLOOKUP($A275,'S50'!$C:$BQ,40,0)</f>
        <v>#N/A</v>
      </c>
      <c r="BG275" s="107" t="e">
        <f>VLOOKUP($A275,'S50'!$C:$BQ,22,0)</f>
        <v>#N/A</v>
      </c>
      <c r="BH275" s="115" t="e">
        <f>VLOOKUP($A275,'S50'!$C:$BQ,29,0)</f>
        <v>#N/A</v>
      </c>
      <c r="BI275" s="115" t="e">
        <f>VLOOKUP($A275,'S50'!$C:$BQ,30,0)</f>
        <v>#N/A</v>
      </c>
      <c r="BJ275" s="115" t="e">
        <f>VLOOKUP($A275,'S50'!$C:$BQ,52,0)</f>
        <v>#N/A</v>
      </c>
      <c r="BK275" s="115" t="e">
        <f>VLOOKUP($A275,'S50'!$C:$BQ,59,0)</f>
        <v>#N/A</v>
      </c>
      <c r="BL275" s="115" t="e">
        <f>VLOOKUP($A275,'S50'!$C:$BQ,60,0)</f>
        <v>#N/A</v>
      </c>
    </row>
    <row r="276" spans="1:64" x14ac:dyDescent="0.2">
      <c r="A276" s="106" t="s">
        <v>350</v>
      </c>
      <c r="B276" s="107">
        <f>VLOOKUP($A276,'S0 remplacer avec S44'!$C:$BQ,32,0)</f>
        <v>150.19999999999999</v>
      </c>
      <c r="C276" s="107">
        <f>VLOOKUP($A276,'S0 remplacer avec S44'!$C:$BQ,39,0)</f>
        <v>26</v>
      </c>
      <c r="D276" s="107">
        <f>VLOOKUP($A276,'S0 remplacer avec S44'!$C:$BQ,40,0)</f>
        <v>61</v>
      </c>
      <c r="E276" s="107">
        <f>VLOOKUP($A276,'S0 remplacer avec S44'!$C:$BQ,22,0)</f>
        <v>762.15051500000004</v>
      </c>
      <c r="F276" s="115">
        <f>VLOOKUP($A276,'S0 remplacer avec S44'!$C:$BQ,29,0)</f>
        <v>834</v>
      </c>
      <c r="G276" s="115">
        <f>VLOOKUP($A276,'S0 remplacer avec S44'!$C:$BQ,30,0)</f>
        <v>1153</v>
      </c>
      <c r="H276" s="115">
        <f>VLOOKUP($A276,'S0 remplacer avec S44'!$C:$BQ,52,0)</f>
        <v>81.8</v>
      </c>
      <c r="I276" s="115">
        <f>VLOOKUP($A276,'S0 remplacer avec S44'!$C:$BQ,59,0)</f>
        <v>8</v>
      </c>
      <c r="J276" s="115">
        <f>VLOOKUP($A276,'S0 remplacer avec S44'!$C:$BQ,60,0)</f>
        <v>26</v>
      </c>
      <c r="K276" s="107" t="e">
        <f>VLOOKUP($A276,'S45'!$C:$BQ,32,0)</f>
        <v>#N/A</v>
      </c>
      <c r="L276" s="107" t="e">
        <f>VLOOKUP($A276,'S45'!$C:$BQ,39,0)</f>
        <v>#N/A</v>
      </c>
      <c r="M276" s="107" t="e">
        <f>VLOOKUP($A276,'S45'!$C:$BQ,40,0)</f>
        <v>#N/A</v>
      </c>
      <c r="N276" s="107" t="e">
        <f>VLOOKUP($A276,'S45'!$C:$BQ,22,0)</f>
        <v>#N/A</v>
      </c>
      <c r="O276" s="115" t="e">
        <f>VLOOKUP($A276,'S45'!$C:$BQ,29,0)</f>
        <v>#N/A</v>
      </c>
      <c r="P276" s="115" t="e">
        <f>VLOOKUP($A276,'S45'!$C:$BQ,30,0)</f>
        <v>#N/A</v>
      </c>
      <c r="Q276" s="115" t="e">
        <f>VLOOKUP($A276,'S45'!$C:$BQ,52,0)</f>
        <v>#N/A</v>
      </c>
      <c r="R276" s="115" t="e">
        <f>VLOOKUP($A276,'S45'!$C:$BQ,59,0)</f>
        <v>#N/A</v>
      </c>
      <c r="S276" s="115" t="e">
        <f>VLOOKUP($A276,'S45'!$C:$BQ,60,0)</f>
        <v>#N/A</v>
      </c>
      <c r="T276" s="107" t="e">
        <f>VLOOKUP($A276,'S46'!$C:$BQ,32,0)</f>
        <v>#N/A</v>
      </c>
      <c r="U276" s="107" t="e">
        <f>VLOOKUP($A276,'S46'!$C:$BQ,39,0)</f>
        <v>#N/A</v>
      </c>
      <c r="V276" s="107" t="e">
        <f>VLOOKUP($A276,'S46'!$C:$BQ,40,0)</f>
        <v>#N/A</v>
      </c>
      <c r="W276" s="107" t="e">
        <f>VLOOKUP($A276,'S46'!$C:$BQ,22,0)</f>
        <v>#N/A</v>
      </c>
      <c r="X276" s="115" t="e">
        <f>VLOOKUP($A276,'S46'!$C:$BQ,29,0)</f>
        <v>#N/A</v>
      </c>
      <c r="Y276" s="115" t="e">
        <f>VLOOKUP($A276,'S46'!$C:$BQ,30,0)</f>
        <v>#N/A</v>
      </c>
      <c r="Z276" s="115" t="e">
        <f>VLOOKUP($A276,'S46'!$C:$BQ,52,0)</f>
        <v>#N/A</v>
      </c>
      <c r="AA276" s="115" t="e">
        <f>VLOOKUP($A276,'S46'!$C:$BQ,59,0)</f>
        <v>#N/A</v>
      </c>
      <c r="AB276" s="115" t="e">
        <f>VLOOKUP($A276,'S46'!$C:$BQ,60,0)</f>
        <v>#N/A</v>
      </c>
      <c r="AC276" s="107" t="e">
        <f>VLOOKUP($A276,'S47'!$C:$BQ,32,0)</f>
        <v>#N/A</v>
      </c>
      <c r="AD276" s="107" t="e">
        <f>VLOOKUP($A276,'S47'!$C:$BQ,39,0)</f>
        <v>#N/A</v>
      </c>
      <c r="AE276" s="107" t="e">
        <f>VLOOKUP($A276,'S47'!$C:$BQ,40,0)</f>
        <v>#N/A</v>
      </c>
      <c r="AF276" s="107" t="e">
        <f>VLOOKUP($A276,'S47'!$C:$BQ,22,0)</f>
        <v>#N/A</v>
      </c>
      <c r="AG276" s="115" t="e">
        <f>VLOOKUP($A276,'S47'!$C:$BQ,29,0)</f>
        <v>#N/A</v>
      </c>
      <c r="AH276" s="115" t="e">
        <f>VLOOKUP($A276,'S47'!$C:$BQ,30,0)</f>
        <v>#N/A</v>
      </c>
      <c r="AI276" s="115" t="e">
        <f>VLOOKUP($A276,'S47'!$C:$BQ,52,0)</f>
        <v>#N/A</v>
      </c>
      <c r="AJ276" s="115" t="e">
        <f>VLOOKUP($A276,'S47'!$C:$BQ,59,0)</f>
        <v>#N/A</v>
      </c>
      <c r="AK276" s="115" t="e">
        <f>VLOOKUP($A276,'S47'!$C:$BQ,60,0)</f>
        <v>#N/A</v>
      </c>
      <c r="AL276" s="107" t="e">
        <f>VLOOKUP($A276,'S48'!$C:$BQ,32,0)</f>
        <v>#N/A</v>
      </c>
      <c r="AM276" s="107" t="e">
        <f>VLOOKUP($A276,'S48'!$C:$BQ,39,0)</f>
        <v>#N/A</v>
      </c>
      <c r="AN276" s="107" t="e">
        <f>VLOOKUP($A276,'S48'!$C:$BQ,40,0)</f>
        <v>#N/A</v>
      </c>
      <c r="AO276" s="107" t="e">
        <f>VLOOKUP($A276,'S48'!$C:$BQ,22,0)</f>
        <v>#N/A</v>
      </c>
      <c r="AP276" s="115" t="e">
        <f>VLOOKUP($A276,'S48'!$C:$BQ,29,0)</f>
        <v>#N/A</v>
      </c>
      <c r="AQ276" s="115" t="e">
        <f>VLOOKUP($A276,'S48'!$C:$BQ,30,0)</f>
        <v>#N/A</v>
      </c>
      <c r="AR276" s="115" t="e">
        <f>VLOOKUP($A276,'S48'!$C:$BQ,52,0)</f>
        <v>#N/A</v>
      </c>
      <c r="AS276" s="115" t="e">
        <f>VLOOKUP($A276,'S48'!$C:$BQ,59,0)</f>
        <v>#N/A</v>
      </c>
      <c r="AT276" s="115" t="e">
        <f>VLOOKUP($A276,'S48'!$C:$BQ,60,0)</f>
        <v>#N/A</v>
      </c>
      <c r="AU276" s="107" t="e">
        <f>VLOOKUP($A276,'S49'!$C:$BQ,32,0)</f>
        <v>#N/A</v>
      </c>
      <c r="AV276" s="107" t="e">
        <f>VLOOKUP($A276,'S49'!$C:$BQ,39,0)</f>
        <v>#N/A</v>
      </c>
      <c r="AW276" s="107" t="e">
        <f>VLOOKUP($A276,'S49'!$C:$BQ,40,0)</f>
        <v>#N/A</v>
      </c>
      <c r="AX276" s="107" t="e">
        <f>VLOOKUP($A276,'S49'!$C:$BQ,22,0)</f>
        <v>#N/A</v>
      </c>
      <c r="AY276" s="115" t="e">
        <f>VLOOKUP($A276,'S49'!$C:$BQ,29,0)</f>
        <v>#N/A</v>
      </c>
      <c r="AZ276" s="115" t="e">
        <f>VLOOKUP($A276,'S49'!$C:$BQ,30,0)</f>
        <v>#N/A</v>
      </c>
      <c r="BA276" s="115" t="e">
        <f>VLOOKUP($A276,'S49'!$C:$BQ,52,0)</f>
        <v>#N/A</v>
      </c>
      <c r="BB276" s="115" t="e">
        <f>VLOOKUP($A276,'S49'!$C:$BQ,59,0)</f>
        <v>#N/A</v>
      </c>
      <c r="BC276" s="115" t="e">
        <f>VLOOKUP($A276,'S49'!$C:$BQ,60,0)</f>
        <v>#N/A</v>
      </c>
      <c r="BD276" s="107" t="e">
        <f>VLOOKUP($A276,'S50'!$C:$BQ,32,0)</f>
        <v>#N/A</v>
      </c>
      <c r="BE276" s="107" t="e">
        <f>VLOOKUP($A276,'S50'!$C:$BQ,39,0)</f>
        <v>#N/A</v>
      </c>
      <c r="BF276" s="107" t="e">
        <f>VLOOKUP($A276,'S50'!$C:$BQ,40,0)</f>
        <v>#N/A</v>
      </c>
      <c r="BG276" s="107" t="e">
        <f>VLOOKUP($A276,'S50'!$C:$BQ,22,0)</f>
        <v>#N/A</v>
      </c>
      <c r="BH276" s="115" t="e">
        <f>VLOOKUP($A276,'S50'!$C:$BQ,29,0)</f>
        <v>#N/A</v>
      </c>
      <c r="BI276" s="115" t="e">
        <f>VLOOKUP($A276,'S50'!$C:$BQ,30,0)</f>
        <v>#N/A</v>
      </c>
      <c r="BJ276" s="115" t="e">
        <f>VLOOKUP($A276,'S50'!$C:$BQ,52,0)</f>
        <v>#N/A</v>
      </c>
      <c r="BK276" s="115" t="e">
        <f>VLOOKUP($A276,'S50'!$C:$BQ,59,0)</f>
        <v>#N/A</v>
      </c>
      <c r="BL276" s="115" t="e">
        <f>VLOOKUP($A276,'S50'!$C:$BQ,60,0)</f>
        <v>#N/A</v>
      </c>
    </row>
    <row r="277" spans="1:64" x14ac:dyDescent="0.2">
      <c r="A277" s="106" t="s">
        <v>351</v>
      </c>
      <c r="B277" s="107">
        <f>VLOOKUP($A277,'S0 remplacer avec S44'!$C:$BQ,32,0)</f>
        <v>238.2</v>
      </c>
      <c r="C277" s="107">
        <f>VLOOKUP($A277,'S0 remplacer avec S44'!$C:$BQ,39,0)</f>
        <v>53</v>
      </c>
      <c r="D277" s="107">
        <f>VLOOKUP($A277,'S0 remplacer avec S44'!$C:$BQ,40,0)</f>
        <v>111</v>
      </c>
      <c r="E277" s="107">
        <f>VLOOKUP($A277,'S0 remplacer avec S44'!$C:$BQ,22,0)</f>
        <v>1691.20444</v>
      </c>
      <c r="F277" s="115">
        <f>VLOOKUP($A277,'S0 remplacer avec S44'!$C:$BQ,29,0)</f>
        <v>951</v>
      </c>
      <c r="G277" s="115">
        <f>VLOOKUP($A277,'S0 remplacer avec S44'!$C:$BQ,30,0)</f>
        <v>1479</v>
      </c>
      <c r="H277" s="115">
        <f>VLOOKUP($A277,'S0 remplacer avec S44'!$C:$BQ,52,0)</f>
        <v>133.19999999999999</v>
      </c>
      <c r="I277" s="115">
        <f>VLOOKUP($A277,'S0 remplacer avec S44'!$C:$BQ,59,0)</f>
        <v>15</v>
      </c>
      <c r="J277" s="115">
        <f>VLOOKUP($A277,'S0 remplacer avec S44'!$C:$BQ,60,0)</f>
        <v>44</v>
      </c>
      <c r="K277" s="107" t="e">
        <f>VLOOKUP($A277,'S45'!$C:$BQ,32,0)</f>
        <v>#N/A</v>
      </c>
      <c r="L277" s="107" t="e">
        <f>VLOOKUP($A277,'S45'!$C:$BQ,39,0)</f>
        <v>#N/A</v>
      </c>
      <c r="M277" s="107" t="e">
        <f>VLOOKUP($A277,'S45'!$C:$BQ,40,0)</f>
        <v>#N/A</v>
      </c>
      <c r="N277" s="107" t="e">
        <f>VLOOKUP($A277,'S45'!$C:$BQ,22,0)</f>
        <v>#N/A</v>
      </c>
      <c r="O277" s="115" t="e">
        <f>VLOOKUP($A277,'S45'!$C:$BQ,29,0)</f>
        <v>#N/A</v>
      </c>
      <c r="P277" s="115" t="e">
        <f>VLOOKUP($A277,'S45'!$C:$BQ,30,0)</f>
        <v>#N/A</v>
      </c>
      <c r="Q277" s="115" t="e">
        <f>VLOOKUP($A277,'S45'!$C:$BQ,52,0)</f>
        <v>#N/A</v>
      </c>
      <c r="R277" s="115" t="e">
        <f>VLOOKUP($A277,'S45'!$C:$BQ,59,0)</f>
        <v>#N/A</v>
      </c>
      <c r="S277" s="115" t="e">
        <f>VLOOKUP($A277,'S45'!$C:$BQ,60,0)</f>
        <v>#N/A</v>
      </c>
      <c r="T277" s="107" t="e">
        <f>VLOOKUP($A277,'S46'!$C:$BQ,32,0)</f>
        <v>#N/A</v>
      </c>
      <c r="U277" s="107" t="e">
        <f>VLOOKUP($A277,'S46'!$C:$BQ,39,0)</f>
        <v>#N/A</v>
      </c>
      <c r="V277" s="107" t="e">
        <f>VLOOKUP($A277,'S46'!$C:$BQ,40,0)</f>
        <v>#N/A</v>
      </c>
      <c r="W277" s="107" t="e">
        <f>VLOOKUP($A277,'S46'!$C:$BQ,22,0)</f>
        <v>#N/A</v>
      </c>
      <c r="X277" s="115" t="e">
        <f>VLOOKUP($A277,'S46'!$C:$BQ,29,0)</f>
        <v>#N/A</v>
      </c>
      <c r="Y277" s="115" t="e">
        <f>VLOOKUP($A277,'S46'!$C:$BQ,30,0)</f>
        <v>#N/A</v>
      </c>
      <c r="Z277" s="115" t="e">
        <f>VLOOKUP($A277,'S46'!$C:$BQ,52,0)</f>
        <v>#N/A</v>
      </c>
      <c r="AA277" s="115" t="e">
        <f>VLOOKUP($A277,'S46'!$C:$BQ,59,0)</f>
        <v>#N/A</v>
      </c>
      <c r="AB277" s="115" t="e">
        <f>VLOOKUP($A277,'S46'!$C:$BQ,60,0)</f>
        <v>#N/A</v>
      </c>
      <c r="AC277" s="107" t="e">
        <f>VLOOKUP($A277,'S47'!$C:$BQ,32,0)</f>
        <v>#N/A</v>
      </c>
      <c r="AD277" s="107" t="e">
        <f>VLOOKUP($A277,'S47'!$C:$BQ,39,0)</f>
        <v>#N/A</v>
      </c>
      <c r="AE277" s="107" t="e">
        <f>VLOOKUP($A277,'S47'!$C:$BQ,40,0)</f>
        <v>#N/A</v>
      </c>
      <c r="AF277" s="107" t="e">
        <f>VLOOKUP($A277,'S47'!$C:$BQ,22,0)</f>
        <v>#N/A</v>
      </c>
      <c r="AG277" s="115" t="e">
        <f>VLOOKUP($A277,'S47'!$C:$BQ,29,0)</f>
        <v>#N/A</v>
      </c>
      <c r="AH277" s="115" t="e">
        <f>VLOOKUP($A277,'S47'!$C:$BQ,30,0)</f>
        <v>#N/A</v>
      </c>
      <c r="AI277" s="115" t="e">
        <f>VLOOKUP($A277,'S47'!$C:$BQ,52,0)</f>
        <v>#N/A</v>
      </c>
      <c r="AJ277" s="115" t="e">
        <f>VLOOKUP($A277,'S47'!$C:$BQ,59,0)</f>
        <v>#N/A</v>
      </c>
      <c r="AK277" s="115" t="e">
        <f>VLOOKUP($A277,'S47'!$C:$BQ,60,0)</f>
        <v>#N/A</v>
      </c>
      <c r="AL277" s="107" t="e">
        <f>VLOOKUP($A277,'S48'!$C:$BQ,32,0)</f>
        <v>#N/A</v>
      </c>
      <c r="AM277" s="107" t="e">
        <f>VLOOKUP($A277,'S48'!$C:$BQ,39,0)</f>
        <v>#N/A</v>
      </c>
      <c r="AN277" s="107" t="e">
        <f>VLOOKUP($A277,'S48'!$C:$BQ,40,0)</f>
        <v>#N/A</v>
      </c>
      <c r="AO277" s="107" t="e">
        <f>VLOOKUP($A277,'S48'!$C:$BQ,22,0)</f>
        <v>#N/A</v>
      </c>
      <c r="AP277" s="115" t="e">
        <f>VLOOKUP($A277,'S48'!$C:$BQ,29,0)</f>
        <v>#N/A</v>
      </c>
      <c r="AQ277" s="115" t="e">
        <f>VLOOKUP($A277,'S48'!$C:$BQ,30,0)</f>
        <v>#N/A</v>
      </c>
      <c r="AR277" s="115" t="e">
        <f>VLOOKUP($A277,'S48'!$C:$BQ,52,0)</f>
        <v>#N/A</v>
      </c>
      <c r="AS277" s="115" t="e">
        <f>VLOOKUP($A277,'S48'!$C:$BQ,59,0)</f>
        <v>#N/A</v>
      </c>
      <c r="AT277" s="115" t="e">
        <f>VLOOKUP($A277,'S48'!$C:$BQ,60,0)</f>
        <v>#N/A</v>
      </c>
      <c r="AU277" s="107" t="e">
        <f>VLOOKUP($A277,'S49'!$C:$BQ,32,0)</f>
        <v>#N/A</v>
      </c>
      <c r="AV277" s="107" t="e">
        <f>VLOOKUP($A277,'S49'!$C:$BQ,39,0)</f>
        <v>#N/A</v>
      </c>
      <c r="AW277" s="107" t="e">
        <f>VLOOKUP($A277,'S49'!$C:$BQ,40,0)</f>
        <v>#N/A</v>
      </c>
      <c r="AX277" s="107" t="e">
        <f>VLOOKUP($A277,'S49'!$C:$BQ,22,0)</f>
        <v>#N/A</v>
      </c>
      <c r="AY277" s="115" t="e">
        <f>VLOOKUP($A277,'S49'!$C:$BQ,29,0)</f>
        <v>#N/A</v>
      </c>
      <c r="AZ277" s="115" t="e">
        <f>VLOOKUP($A277,'S49'!$C:$BQ,30,0)</f>
        <v>#N/A</v>
      </c>
      <c r="BA277" s="115" t="e">
        <f>VLOOKUP($A277,'S49'!$C:$BQ,52,0)</f>
        <v>#N/A</v>
      </c>
      <c r="BB277" s="115" t="e">
        <f>VLOOKUP($A277,'S49'!$C:$BQ,59,0)</f>
        <v>#N/A</v>
      </c>
      <c r="BC277" s="115" t="e">
        <f>VLOOKUP($A277,'S49'!$C:$BQ,60,0)</f>
        <v>#N/A</v>
      </c>
      <c r="BD277" s="107" t="e">
        <f>VLOOKUP($A277,'S50'!$C:$BQ,32,0)</f>
        <v>#N/A</v>
      </c>
      <c r="BE277" s="107" t="e">
        <f>VLOOKUP($A277,'S50'!$C:$BQ,39,0)</f>
        <v>#N/A</v>
      </c>
      <c r="BF277" s="107" t="e">
        <f>VLOOKUP($A277,'S50'!$C:$BQ,40,0)</f>
        <v>#N/A</v>
      </c>
      <c r="BG277" s="107" t="e">
        <f>VLOOKUP($A277,'S50'!$C:$BQ,22,0)</f>
        <v>#N/A</v>
      </c>
      <c r="BH277" s="115" t="e">
        <f>VLOOKUP($A277,'S50'!$C:$BQ,29,0)</f>
        <v>#N/A</v>
      </c>
      <c r="BI277" s="115" t="e">
        <f>VLOOKUP($A277,'S50'!$C:$BQ,30,0)</f>
        <v>#N/A</v>
      </c>
      <c r="BJ277" s="115" t="e">
        <f>VLOOKUP($A277,'S50'!$C:$BQ,52,0)</f>
        <v>#N/A</v>
      </c>
      <c r="BK277" s="115" t="e">
        <f>VLOOKUP($A277,'S50'!$C:$BQ,59,0)</f>
        <v>#N/A</v>
      </c>
      <c r="BL277" s="115" t="e">
        <f>VLOOKUP($A277,'S50'!$C:$BQ,60,0)</f>
        <v>#N/A</v>
      </c>
    </row>
    <row r="278" spans="1:64" x14ac:dyDescent="0.2">
      <c r="A278" s="106" t="s">
        <v>352</v>
      </c>
      <c r="B278" s="107">
        <f>VLOOKUP($A278,'S0 remplacer avec S44'!$C:$BQ,32,0)</f>
        <v>169.95</v>
      </c>
      <c r="C278" s="107">
        <f>VLOOKUP($A278,'S0 remplacer avec S44'!$C:$BQ,39,0)</f>
        <v>121</v>
      </c>
      <c r="D278" s="107">
        <f>VLOOKUP($A278,'S0 remplacer avec S44'!$C:$BQ,40,0)</f>
        <v>180</v>
      </c>
      <c r="E278" s="107">
        <f>VLOOKUP($A278,'S0 remplacer avec S44'!$C:$BQ,22,0)</f>
        <v>2481.2841250000001</v>
      </c>
      <c r="F278" s="115">
        <f>VLOOKUP($A278,'S0 remplacer avec S44'!$C:$BQ,29,0)</f>
        <v>164</v>
      </c>
      <c r="G278" s="115">
        <f>VLOOKUP($A278,'S0 remplacer avec S44'!$C:$BQ,30,0)</f>
        <v>693</v>
      </c>
      <c r="H278" s="115">
        <f>VLOOKUP($A278,'S0 remplacer avec S44'!$C:$BQ,52,0)</f>
        <v>149.19999999999999</v>
      </c>
      <c r="I278" s="115">
        <f>VLOOKUP($A278,'S0 remplacer avec S44'!$C:$BQ,59,0)</f>
        <v>0</v>
      </c>
      <c r="J278" s="115">
        <f>VLOOKUP($A278,'S0 remplacer avec S44'!$C:$BQ,60,0)</f>
        <v>29</v>
      </c>
      <c r="K278" s="107" t="e">
        <f>VLOOKUP($A278,'S45'!$C:$BQ,32,0)</f>
        <v>#N/A</v>
      </c>
      <c r="L278" s="107" t="e">
        <f>VLOOKUP($A278,'S45'!$C:$BQ,39,0)</f>
        <v>#N/A</v>
      </c>
      <c r="M278" s="107" t="e">
        <f>VLOOKUP($A278,'S45'!$C:$BQ,40,0)</f>
        <v>#N/A</v>
      </c>
      <c r="N278" s="107" t="e">
        <f>VLOOKUP($A278,'S45'!$C:$BQ,22,0)</f>
        <v>#N/A</v>
      </c>
      <c r="O278" s="115" t="e">
        <f>VLOOKUP($A278,'S45'!$C:$BQ,29,0)</f>
        <v>#N/A</v>
      </c>
      <c r="P278" s="115" t="e">
        <f>VLOOKUP($A278,'S45'!$C:$BQ,30,0)</f>
        <v>#N/A</v>
      </c>
      <c r="Q278" s="115" t="e">
        <f>VLOOKUP($A278,'S45'!$C:$BQ,52,0)</f>
        <v>#N/A</v>
      </c>
      <c r="R278" s="115" t="e">
        <f>VLOOKUP($A278,'S45'!$C:$BQ,59,0)</f>
        <v>#N/A</v>
      </c>
      <c r="S278" s="115" t="e">
        <f>VLOOKUP($A278,'S45'!$C:$BQ,60,0)</f>
        <v>#N/A</v>
      </c>
      <c r="T278" s="107" t="e">
        <f>VLOOKUP($A278,'S46'!$C:$BQ,32,0)</f>
        <v>#N/A</v>
      </c>
      <c r="U278" s="107" t="e">
        <f>VLOOKUP($A278,'S46'!$C:$BQ,39,0)</f>
        <v>#N/A</v>
      </c>
      <c r="V278" s="107" t="e">
        <f>VLOOKUP($A278,'S46'!$C:$BQ,40,0)</f>
        <v>#N/A</v>
      </c>
      <c r="W278" s="107" t="e">
        <f>VLOOKUP($A278,'S46'!$C:$BQ,22,0)</f>
        <v>#N/A</v>
      </c>
      <c r="X278" s="115" t="e">
        <f>VLOOKUP($A278,'S46'!$C:$BQ,29,0)</f>
        <v>#N/A</v>
      </c>
      <c r="Y278" s="115" t="e">
        <f>VLOOKUP($A278,'S46'!$C:$BQ,30,0)</f>
        <v>#N/A</v>
      </c>
      <c r="Z278" s="115" t="e">
        <f>VLOOKUP($A278,'S46'!$C:$BQ,52,0)</f>
        <v>#N/A</v>
      </c>
      <c r="AA278" s="115" t="e">
        <f>VLOOKUP($A278,'S46'!$C:$BQ,59,0)</f>
        <v>#N/A</v>
      </c>
      <c r="AB278" s="115" t="e">
        <f>VLOOKUP($A278,'S46'!$C:$BQ,60,0)</f>
        <v>#N/A</v>
      </c>
      <c r="AC278" s="107" t="e">
        <f>VLOOKUP($A278,'S47'!$C:$BQ,32,0)</f>
        <v>#N/A</v>
      </c>
      <c r="AD278" s="107" t="e">
        <f>VLOOKUP($A278,'S47'!$C:$BQ,39,0)</f>
        <v>#N/A</v>
      </c>
      <c r="AE278" s="107" t="e">
        <f>VLOOKUP($A278,'S47'!$C:$BQ,40,0)</f>
        <v>#N/A</v>
      </c>
      <c r="AF278" s="107" t="e">
        <f>VLOOKUP($A278,'S47'!$C:$BQ,22,0)</f>
        <v>#N/A</v>
      </c>
      <c r="AG278" s="115" t="e">
        <f>VLOOKUP($A278,'S47'!$C:$BQ,29,0)</f>
        <v>#N/A</v>
      </c>
      <c r="AH278" s="115" t="e">
        <f>VLOOKUP($A278,'S47'!$C:$BQ,30,0)</f>
        <v>#N/A</v>
      </c>
      <c r="AI278" s="115" t="e">
        <f>VLOOKUP($A278,'S47'!$C:$BQ,52,0)</f>
        <v>#N/A</v>
      </c>
      <c r="AJ278" s="115" t="e">
        <f>VLOOKUP($A278,'S47'!$C:$BQ,59,0)</f>
        <v>#N/A</v>
      </c>
      <c r="AK278" s="115" t="e">
        <f>VLOOKUP($A278,'S47'!$C:$BQ,60,0)</f>
        <v>#N/A</v>
      </c>
      <c r="AL278" s="107" t="e">
        <f>VLOOKUP($A278,'S48'!$C:$BQ,32,0)</f>
        <v>#N/A</v>
      </c>
      <c r="AM278" s="107" t="e">
        <f>VLOOKUP($A278,'S48'!$C:$BQ,39,0)</f>
        <v>#N/A</v>
      </c>
      <c r="AN278" s="107" t="e">
        <f>VLOOKUP($A278,'S48'!$C:$BQ,40,0)</f>
        <v>#N/A</v>
      </c>
      <c r="AO278" s="107" t="e">
        <f>VLOOKUP($A278,'S48'!$C:$BQ,22,0)</f>
        <v>#N/A</v>
      </c>
      <c r="AP278" s="115" t="e">
        <f>VLOOKUP($A278,'S48'!$C:$BQ,29,0)</f>
        <v>#N/A</v>
      </c>
      <c r="AQ278" s="115" t="e">
        <f>VLOOKUP($A278,'S48'!$C:$BQ,30,0)</f>
        <v>#N/A</v>
      </c>
      <c r="AR278" s="115" t="e">
        <f>VLOOKUP($A278,'S48'!$C:$BQ,52,0)</f>
        <v>#N/A</v>
      </c>
      <c r="AS278" s="115" t="e">
        <f>VLOOKUP($A278,'S48'!$C:$BQ,59,0)</f>
        <v>#N/A</v>
      </c>
      <c r="AT278" s="115" t="e">
        <f>VLOOKUP($A278,'S48'!$C:$BQ,60,0)</f>
        <v>#N/A</v>
      </c>
      <c r="AU278" s="107" t="e">
        <f>VLOOKUP($A278,'S49'!$C:$BQ,32,0)</f>
        <v>#N/A</v>
      </c>
      <c r="AV278" s="107" t="e">
        <f>VLOOKUP($A278,'S49'!$C:$BQ,39,0)</f>
        <v>#N/A</v>
      </c>
      <c r="AW278" s="107" t="e">
        <f>VLOOKUP($A278,'S49'!$C:$BQ,40,0)</f>
        <v>#N/A</v>
      </c>
      <c r="AX278" s="107" t="e">
        <f>VLOOKUP($A278,'S49'!$C:$BQ,22,0)</f>
        <v>#N/A</v>
      </c>
      <c r="AY278" s="115" t="e">
        <f>VLOOKUP($A278,'S49'!$C:$BQ,29,0)</f>
        <v>#N/A</v>
      </c>
      <c r="AZ278" s="115" t="e">
        <f>VLOOKUP($A278,'S49'!$C:$BQ,30,0)</f>
        <v>#N/A</v>
      </c>
      <c r="BA278" s="115" t="e">
        <f>VLOOKUP($A278,'S49'!$C:$BQ,52,0)</f>
        <v>#N/A</v>
      </c>
      <c r="BB278" s="115" t="e">
        <f>VLOOKUP($A278,'S49'!$C:$BQ,59,0)</f>
        <v>#N/A</v>
      </c>
      <c r="BC278" s="115" t="e">
        <f>VLOOKUP($A278,'S49'!$C:$BQ,60,0)</f>
        <v>#N/A</v>
      </c>
      <c r="BD278" s="107" t="e">
        <f>VLOOKUP($A278,'S50'!$C:$BQ,32,0)</f>
        <v>#N/A</v>
      </c>
      <c r="BE278" s="107" t="e">
        <f>VLOOKUP($A278,'S50'!$C:$BQ,39,0)</f>
        <v>#N/A</v>
      </c>
      <c r="BF278" s="107" t="e">
        <f>VLOOKUP($A278,'S50'!$C:$BQ,40,0)</f>
        <v>#N/A</v>
      </c>
      <c r="BG278" s="107" t="e">
        <f>VLOOKUP($A278,'S50'!$C:$BQ,22,0)</f>
        <v>#N/A</v>
      </c>
      <c r="BH278" s="115" t="e">
        <f>VLOOKUP($A278,'S50'!$C:$BQ,29,0)</f>
        <v>#N/A</v>
      </c>
      <c r="BI278" s="115" t="e">
        <f>VLOOKUP($A278,'S50'!$C:$BQ,30,0)</f>
        <v>#N/A</v>
      </c>
      <c r="BJ278" s="115" t="e">
        <f>VLOOKUP($A278,'S50'!$C:$BQ,52,0)</f>
        <v>#N/A</v>
      </c>
      <c r="BK278" s="115" t="e">
        <f>VLOOKUP($A278,'S50'!$C:$BQ,59,0)</f>
        <v>#N/A</v>
      </c>
      <c r="BL278" s="115" t="e">
        <f>VLOOKUP($A278,'S50'!$C:$BQ,60,0)</f>
        <v>#N/A</v>
      </c>
    </row>
    <row r="279" spans="1:64" x14ac:dyDescent="0.2">
      <c r="A279" s="106" t="s">
        <v>353</v>
      </c>
      <c r="B279" s="107">
        <f>VLOOKUP($A279,'S0 remplacer avec S44'!$C:$BQ,32,0)</f>
        <v>242.9</v>
      </c>
      <c r="C279" s="107">
        <f>VLOOKUP($A279,'S0 remplacer avec S44'!$C:$BQ,39,0)</f>
        <v>161</v>
      </c>
      <c r="D279" s="107">
        <f>VLOOKUP($A279,'S0 remplacer avec S44'!$C:$BQ,40,0)</f>
        <v>241</v>
      </c>
      <c r="E279" s="107">
        <f>VLOOKUP($A279,'S0 remplacer avec S44'!$C:$BQ,22,0)</f>
        <v>2497.36319</v>
      </c>
      <c r="F279" s="115">
        <f>VLOOKUP($A279,'S0 remplacer avec S44'!$C:$BQ,29,0)</f>
        <v>1169</v>
      </c>
      <c r="G279" s="115">
        <f>VLOOKUP($A279,'S0 remplacer avec S44'!$C:$BQ,30,0)</f>
        <v>1902</v>
      </c>
      <c r="H279" s="115">
        <f>VLOOKUP($A279,'S0 remplacer avec S44'!$C:$BQ,52,0)</f>
        <v>233.8</v>
      </c>
      <c r="I279" s="115">
        <f>VLOOKUP($A279,'S0 remplacer avec S44'!$C:$BQ,59,0)</f>
        <v>0</v>
      </c>
      <c r="J279" s="115">
        <f>VLOOKUP($A279,'S0 remplacer avec S44'!$C:$BQ,60,0)</f>
        <v>12</v>
      </c>
      <c r="K279" s="107" t="e">
        <f>VLOOKUP($A279,'S45'!$C:$BQ,32,0)</f>
        <v>#N/A</v>
      </c>
      <c r="L279" s="107" t="e">
        <f>VLOOKUP($A279,'S45'!$C:$BQ,39,0)</f>
        <v>#N/A</v>
      </c>
      <c r="M279" s="107" t="e">
        <f>VLOOKUP($A279,'S45'!$C:$BQ,40,0)</f>
        <v>#N/A</v>
      </c>
      <c r="N279" s="107" t="e">
        <f>VLOOKUP($A279,'S45'!$C:$BQ,22,0)</f>
        <v>#N/A</v>
      </c>
      <c r="O279" s="115" t="e">
        <f>VLOOKUP($A279,'S45'!$C:$BQ,29,0)</f>
        <v>#N/A</v>
      </c>
      <c r="P279" s="115" t="e">
        <f>VLOOKUP($A279,'S45'!$C:$BQ,30,0)</f>
        <v>#N/A</v>
      </c>
      <c r="Q279" s="115" t="e">
        <f>VLOOKUP($A279,'S45'!$C:$BQ,52,0)</f>
        <v>#N/A</v>
      </c>
      <c r="R279" s="115" t="e">
        <f>VLOOKUP($A279,'S45'!$C:$BQ,59,0)</f>
        <v>#N/A</v>
      </c>
      <c r="S279" s="115" t="e">
        <f>VLOOKUP($A279,'S45'!$C:$BQ,60,0)</f>
        <v>#N/A</v>
      </c>
      <c r="T279" s="107" t="e">
        <f>VLOOKUP($A279,'S46'!$C:$BQ,32,0)</f>
        <v>#N/A</v>
      </c>
      <c r="U279" s="107" t="e">
        <f>VLOOKUP($A279,'S46'!$C:$BQ,39,0)</f>
        <v>#N/A</v>
      </c>
      <c r="V279" s="107" t="e">
        <f>VLOOKUP($A279,'S46'!$C:$BQ,40,0)</f>
        <v>#N/A</v>
      </c>
      <c r="W279" s="107" t="e">
        <f>VLOOKUP($A279,'S46'!$C:$BQ,22,0)</f>
        <v>#N/A</v>
      </c>
      <c r="X279" s="115" t="e">
        <f>VLOOKUP($A279,'S46'!$C:$BQ,29,0)</f>
        <v>#N/A</v>
      </c>
      <c r="Y279" s="115" t="e">
        <f>VLOOKUP($A279,'S46'!$C:$BQ,30,0)</f>
        <v>#N/A</v>
      </c>
      <c r="Z279" s="115" t="e">
        <f>VLOOKUP($A279,'S46'!$C:$BQ,52,0)</f>
        <v>#N/A</v>
      </c>
      <c r="AA279" s="115" t="e">
        <f>VLOOKUP($A279,'S46'!$C:$BQ,59,0)</f>
        <v>#N/A</v>
      </c>
      <c r="AB279" s="115" t="e">
        <f>VLOOKUP($A279,'S46'!$C:$BQ,60,0)</f>
        <v>#N/A</v>
      </c>
      <c r="AC279" s="107" t="e">
        <f>VLOOKUP($A279,'S47'!$C:$BQ,32,0)</f>
        <v>#N/A</v>
      </c>
      <c r="AD279" s="107" t="e">
        <f>VLOOKUP($A279,'S47'!$C:$BQ,39,0)</f>
        <v>#N/A</v>
      </c>
      <c r="AE279" s="107" t="e">
        <f>VLOOKUP($A279,'S47'!$C:$BQ,40,0)</f>
        <v>#N/A</v>
      </c>
      <c r="AF279" s="107" t="e">
        <f>VLOOKUP($A279,'S47'!$C:$BQ,22,0)</f>
        <v>#N/A</v>
      </c>
      <c r="AG279" s="115" t="e">
        <f>VLOOKUP($A279,'S47'!$C:$BQ,29,0)</f>
        <v>#N/A</v>
      </c>
      <c r="AH279" s="115" t="e">
        <f>VLOOKUP($A279,'S47'!$C:$BQ,30,0)</f>
        <v>#N/A</v>
      </c>
      <c r="AI279" s="115" t="e">
        <f>VLOOKUP($A279,'S47'!$C:$BQ,52,0)</f>
        <v>#N/A</v>
      </c>
      <c r="AJ279" s="115" t="e">
        <f>VLOOKUP($A279,'S47'!$C:$BQ,59,0)</f>
        <v>#N/A</v>
      </c>
      <c r="AK279" s="115" t="e">
        <f>VLOOKUP($A279,'S47'!$C:$BQ,60,0)</f>
        <v>#N/A</v>
      </c>
      <c r="AL279" s="107" t="e">
        <f>VLOOKUP($A279,'S48'!$C:$BQ,32,0)</f>
        <v>#N/A</v>
      </c>
      <c r="AM279" s="107" t="e">
        <f>VLOOKUP($A279,'S48'!$C:$BQ,39,0)</f>
        <v>#N/A</v>
      </c>
      <c r="AN279" s="107" t="e">
        <f>VLOOKUP($A279,'S48'!$C:$BQ,40,0)</f>
        <v>#N/A</v>
      </c>
      <c r="AO279" s="107" t="e">
        <f>VLOOKUP($A279,'S48'!$C:$BQ,22,0)</f>
        <v>#N/A</v>
      </c>
      <c r="AP279" s="115" t="e">
        <f>VLOOKUP($A279,'S48'!$C:$BQ,29,0)</f>
        <v>#N/A</v>
      </c>
      <c r="AQ279" s="115" t="e">
        <f>VLOOKUP($A279,'S48'!$C:$BQ,30,0)</f>
        <v>#N/A</v>
      </c>
      <c r="AR279" s="115" t="e">
        <f>VLOOKUP($A279,'S48'!$C:$BQ,52,0)</f>
        <v>#N/A</v>
      </c>
      <c r="AS279" s="115" t="e">
        <f>VLOOKUP($A279,'S48'!$C:$BQ,59,0)</f>
        <v>#N/A</v>
      </c>
      <c r="AT279" s="115" t="e">
        <f>VLOOKUP($A279,'S48'!$C:$BQ,60,0)</f>
        <v>#N/A</v>
      </c>
      <c r="AU279" s="107" t="e">
        <f>VLOOKUP($A279,'S49'!$C:$BQ,32,0)</f>
        <v>#N/A</v>
      </c>
      <c r="AV279" s="107" t="e">
        <f>VLOOKUP($A279,'S49'!$C:$BQ,39,0)</f>
        <v>#N/A</v>
      </c>
      <c r="AW279" s="107" t="e">
        <f>VLOOKUP($A279,'S49'!$C:$BQ,40,0)</f>
        <v>#N/A</v>
      </c>
      <c r="AX279" s="107" t="e">
        <f>VLOOKUP($A279,'S49'!$C:$BQ,22,0)</f>
        <v>#N/A</v>
      </c>
      <c r="AY279" s="115" t="e">
        <f>VLOOKUP($A279,'S49'!$C:$BQ,29,0)</f>
        <v>#N/A</v>
      </c>
      <c r="AZ279" s="115" t="e">
        <f>VLOOKUP($A279,'S49'!$C:$BQ,30,0)</f>
        <v>#N/A</v>
      </c>
      <c r="BA279" s="115" t="e">
        <f>VLOOKUP($A279,'S49'!$C:$BQ,52,0)</f>
        <v>#N/A</v>
      </c>
      <c r="BB279" s="115" t="e">
        <f>VLOOKUP($A279,'S49'!$C:$BQ,59,0)</f>
        <v>#N/A</v>
      </c>
      <c r="BC279" s="115" t="e">
        <f>VLOOKUP($A279,'S49'!$C:$BQ,60,0)</f>
        <v>#N/A</v>
      </c>
      <c r="BD279" s="107" t="e">
        <f>VLOOKUP($A279,'S50'!$C:$BQ,32,0)</f>
        <v>#N/A</v>
      </c>
      <c r="BE279" s="107" t="e">
        <f>VLOOKUP($A279,'S50'!$C:$BQ,39,0)</f>
        <v>#N/A</v>
      </c>
      <c r="BF279" s="107" t="e">
        <f>VLOOKUP($A279,'S50'!$C:$BQ,40,0)</f>
        <v>#N/A</v>
      </c>
      <c r="BG279" s="107" t="e">
        <f>VLOOKUP($A279,'S50'!$C:$BQ,22,0)</f>
        <v>#N/A</v>
      </c>
      <c r="BH279" s="115" t="e">
        <f>VLOOKUP($A279,'S50'!$C:$BQ,29,0)</f>
        <v>#N/A</v>
      </c>
      <c r="BI279" s="115" t="e">
        <f>VLOOKUP($A279,'S50'!$C:$BQ,30,0)</f>
        <v>#N/A</v>
      </c>
      <c r="BJ279" s="115" t="e">
        <f>VLOOKUP($A279,'S50'!$C:$BQ,52,0)</f>
        <v>#N/A</v>
      </c>
      <c r="BK279" s="115" t="e">
        <f>VLOOKUP($A279,'S50'!$C:$BQ,59,0)</f>
        <v>#N/A</v>
      </c>
      <c r="BL279" s="115" t="e">
        <f>VLOOKUP($A279,'S50'!$C:$BQ,60,0)</f>
        <v>#N/A</v>
      </c>
    </row>
    <row r="280" spans="1:64" x14ac:dyDescent="0.2">
      <c r="A280" s="106" t="s">
        <v>354</v>
      </c>
      <c r="B280" s="107">
        <f>VLOOKUP($A280,'S0 remplacer avec S44'!$C:$BQ,32,0)</f>
        <v>192.1</v>
      </c>
      <c r="C280" s="107">
        <f>VLOOKUP($A280,'S0 remplacer avec S44'!$C:$BQ,39,0)</f>
        <v>126</v>
      </c>
      <c r="D280" s="107">
        <f>VLOOKUP($A280,'S0 remplacer avec S44'!$C:$BQ,40,0)</f>
        <v>190</v>
      </c>
      <c r="E280" s="107">
        <f>VLOOKUP($A280,'S0 remplacer avec S44'!$C:$BQ,22,0)</f>
        <v>3063.7462500000001</v>
      </c>
      <c r="F280" s="115">
        <f>VLOOKUP($A280,'S0 remplacer avec S44'!$C:$BQ,29,0)</f>
        <v>0</v>
      </c>
      <c r="G280" s="115">
        <f>VLOOKUP($A280,'S0 remplacer avec S44'!$C:$BQ,30,0)</f>
        <v>405</v>
      </c>
      <c r="H280" s="115">
        <f>VLOOKUP($A280,'S0 remplacer avec S44'!$C:$BQ,52,0)</f>
        <v>182.2</v>
      </c>
      <c r="I280" s="115">
        <f>VLOOKUP($A280,'S0 remplacer avec S44'!$C:$BQ,59,0)</f>
        <v>0</v>
      </c>
      <c r="J280" s="115">
        <f>VLOOKUP($A280,'S0 remplacer avec S44'!$C:$BQ,60,0)</f>
        <v>12</v>
      </c>
      <c r="K280" s="107" t="e">
        <f>VLOOKUP($A280,'S45'!$C:$BQ,32,0)</f>
        <v>#N/A</v>
      </c>
      <c r="L280" s="107" t="e">
        <f>VLOOKUP($A280,'S45'!$C:$BQ,39,0)</f>
        <v>#N/A</v>
      </c>
      <c r="M280" s="107" t="e">
        <f>VLOOKUP($A280,'S45'!$C:$BQ,40,0)</f>
        <v>#N/A</v>
      </c>
      <c r="N280" s="107" t="e">
        <f>VLOOKUP($A280,'S45'!$C:$BQ,22,0)</f>
        <v>#N/A</v>
      </c>
      <c r="O280" s="115" t="e">
        <f>VLOOKUP($A280,'S45'!$C:$BQ,29,0)</f>
        <v>#N/A</v>
      </c>
      <c r="P280" s="115" t="e">
        <f>VLOOKUP($A280,'S45'!$C:$BQ,30,0)</f>
        <v>#N/A</v>
      </c>
      <c r="Q280" s="115" t="e">
        <f>VLOOKUP($A280,'S45'!$C:$BQ,52,0)</f>
        <v>#N/A</v>
      </c>
      <c r="R280" s="115" t="e">
        <f>VLOOKUP($A280,'S45'!$C:$BQ,59,0)</f>
        <v>#N/A</v>
      </c>
      <c r="S280" s="115" t="e">
        <f>VLOOKUP($A280,'S45'!$C:$BQ,60,0)</f>
        <v>#N/A</v>
      </c>
      <c r="T280" s="107" t="e">
        <f>VLOOKUP($A280,'S46'!$C:$BQ,32,0)</f>
        <v>#N/A</v>
      </c>
      <c r="U280" s="107" t="e">
        <f>VLOOKUP($A280,'S46'!$C:$BQ,39,0)</f>
        <v>#N/A</v>
      </c>
      <c r="V280" s="107" t="e">
        <f>VLOOKUP($A280,'S46'!$C:$BQ,40,0)</f>
        <v>#N/A</v>
      </c>
      <c r="W280" s="107" t="e">
        <f>VLOOKUP($A280,'S46'!$C:$BQ,22,0)</f>
        <v>#N/A</v>
      </c>
      <c r="X280" s="115" t="e">
        <f>VLOOKUP($A280,'S46'!$C:$BQ,29,0)</f>
        <v>#N/A</v>
      </c>
      <c r="Y280" s="115" t="e">
        <f>VLOOKUP($A280,'S46'!$C:$BQ,30,0)</f>
        <v>#N/A</v>
      </c>
      <c r="Z280" s="115" t="e">
        <f>VLOOKUP($A280,'S46'!$C:$BQ,52,0)</f>
        <v>#N/A</v>
      </c>
      <c r="AA280" s="115" t="e">
        <f>VLOOKUP($A280,'S46'!$C:$BQ,59,0)</f>
        <v>#N/A</v>
      </c>
      <c r="AB280" s="115" t="e">
        <f>VLOOKUP($A280,'S46'!$C:$BQ,60,0)</f>
        <v>#N/A</v>
      </c>
      <c r="AC280" s="107" t="e">
        <f>VLOOKUP($A280,'S47'!$C:$BQ,32,0)</f>
        <v>#N/A</v>
      </c>
      <c r="AD280" s="107" t="e">
        <f>VLOOKUP($A280,'S47'!$C:$BQ,39,0)</f>
        <v>#N/A</v>
      </c>
      <c r="AE280" s="107" t="e">
        <f>VLOOKUP($A280,'S47'!$C:$BQ,40,0)</f>
        <v>#N/A</v>
      </c>
      <c r="AF280" s="107" t="e">
        <f>VLOOKUP($A280,'S47'!$C:$BQ,22,0)</f>
        <v>#N/A</v>
      </c>
      <c r="AG280" s="115" t="e">
        <f>VLOOKUP($A280,'S47'!$C:$BQ,29,0)</f>
        <v>#N/A</v>
      </c>
      <c r="AH280" s="115" t="e">
        <f>VLOOKUP($A280,'S47'!$C:$BQ,30,0)</f>
        <v>#N/A</v>
      </c>
      <c r="AI280" s="115" t="e">
        <f>VLOOKUP($A280,'S47'!$C:$BQ,52,0)</f>
        <v>#N/A</v>
      </c>
      <c r="AJ280" s="115" t="e">
        <f>VLOOKUP($A280,'S47'!$C:$BQ,59,0)</f>
        <v>#N/A</v>
      </c>
      <c r="AK280" s="115" t="e">
        <f>VLOOKUP($A280,'S47'!$C:$BQ,60,0)</f>
        <v>#N/A</v>
      </c>
      <c r="AL280" s="107" t="e">
        <f>VLOOKUP($A280,'S48'!$C:$BQ,32,0)</f>
        <v>#N/A</v>
      </c>
      <c r="AM280" s="107" t="e">
        <f>VLOOKUP($A280,'S48'!$C:$BQ,39,0)</f>
        <v>#N/A</v>
      </c>
      <c r="AN280" s="107" t="e">
        <f>VLOOKUP($A280,'S48'!$C:$BQ,40,0)</f>
        <v>#N/A</v>
      </c>
      <c r="AO280" s="107" t="e">
        <f>VLOOKUP($A280,'S48'!$C:$BQ,22,0)</f>
        <v>#N/A</v>
      </c>
      <c r="AP280" s="115" t="e">
        <f>VLOOKUP($A280,'S48'!$C:$BQ,29,0)</f>
        <v>#N/A</v>
      </c>
      <c r="AQ280" s="115" t="e">
        <f>VLOOKUP($A280,'S48'!$C:$BQ,30,0)</f>
        <v>#N/A</v>
      </c>
      <c r="AR280" s="115" t="e">
        <f>VLOOKUP($A280,'S48'!$C:$BQ,52,0)</f>
        <v>#N/A</v>
      </c>
      <c r="AS280" s="115" t="e">
        <f>VLOOKUP($A280,'S48'!$C:$BQ,59,0)</f>
        <v>#N/A</v>
      </c>
      <c r="AT280" s="115" t="e">
        <f>VLOOKUP($A280,'S48'!$C:$BQ,60,0)</f>
        <v>#N/A</v>
      </c>
      <c r="AU280" s="107" t="e">
        <f>VLOOKUP($A280,'S49'!$C:$BQ,32,0)</f>
        <v>#N/A</v>
      </c>
      <c r="AV280" s="107" t="e">
        <f>VLOOKUP($A280,'S49'!$C:$BQ,39,0)</f>
        <v>#N/A</v>
      </c>
      <c r="AW280" s="107" t="e">
        <f>VLOOKUP($A280,'S49'!$C:$BQ,40,0)</f>
        <v>#N/A</v>
      </c>
      <c r="AX280" s="107" t="e">
        <f>VLOOKUP($A280,'S49'!$C:$BQ,22,0)</f>
        <v>#N/A</v>
      </c>
      <c r="AY280" s="115" t="e">
        <f>VLOOKUP($A280,'S49'!$C:$BQ,29,0)</f>
        <v>#N/A</v>
      </c>
      <c r="AZ280" s="115" t="e">
        <f>VLOOKUP($A280,'S49'!$C:$BQ,30,0)</f>
        <v>#N/A</v>
      </c>
      <c r="BA280" s="115" t="e">
        <f>VLOOKUP($A280,'S49'!$C:$BQ,52,0)</f>
        <v>#N/A</v>
      </c>
      <c r="BB280" s="115" t="e">
        <f>VLOOKUP($A280,'S49'!$C:$BQ,59,0)</f>
        <v>#N/A</v>
      </c>
      <c r="BC280" s="115" t="e">
        <f>VLOOKUP($A280,'S49'!$C:$BQ,60,0)</f>
        <v>#N/A</v>
      </c>
      <c r="BD280" s="107" t="e">
        <f>VLOOKUP($A280,'S50'!$C:$BQ,32,0)</f>
        <v>#N/A</v>
      </c>
      <c r="BE280" s="107" t="e">
        <f>VLOOKUP($A280,'S50'!$C:$BQ,39,0)</f>
        <v>#N/A</v>
      </c>
      <c r="BF280" s="107" t="e">
        <f>VLOOKUP($A280,'S50'!$C:$BQ,40,0)</f>
        <v>#N/A</v>
      </c>
      <c r="BG280" s="107" t="e">
        <f>VLOOKUP($A280,'S50'!$C:$BQ,22,0)</f>
        <v>#N/A</v>
      </c>
      <c r="BH280" s="115" t="e">
        <f>VLOOKUP($A280,'S50'!$C:$BQ,29,0)</f>
        <v>#N/A</v>
      </c>
      <c r="BI280" s="115" t="e">
        <f>VLOOKUP($A280,'S50'!$C:$BQ,30,0)</f>
        <v>#N/A</v>
      </c>
      <c r="BJ280" s="115" t="e">
        <f>VLOOKUP($A280,'S50'!$C:$BQ,52,0)</f>
        <v>#N/A</v>
      </c>
      <c r="BK280" s="115" t="e">
        <f>VLOOKUP($A280,'S50'!$C:$BQ,59,0)</f>
        <v>#N/A</v>
      </c>
      <c r="BL280" s="115" t="e">
        <f>VLOOKUP($A280,'S50'!$C:$BQ,60,0)</f>
        <v>#N/A</v>
      </c>
    </row>
    <row r="281" spans="1:64" x14ac:dyDescent="0.2">
      <c r="A281" s="106" t="s">
        <v>355</v>
      </c>
      <c r="B281" s="107">
        <f>VLOOKUP($A281,'S0 remplacer avec S44'!$C:$BQ,32,0)</f>
        <v>205.8</v>
      </c>
      <c r="C281" s="107">
        <f>VLOOKUP($A281,'S0 remplacer avec S44'!$C:$BQ,39,0)</f>
        <v>0</v>
      </c>
      <c r="D281" s="107">
        <f>VLOOKUP($A281,'S0 remplacer avec S44'!$C:$BQ,40,0)</f>
        <v>41</v>
      </c>
      <c r="E281" s="107">
        <f>VLOOKUP($A281,'S0 remplacer avec S44'!$C:$BQ,22,0)</f>
        <v>1763.1288999999999</v>
      </c>
      <c r="F281" s="115">
        <f>VLOOKUP($A281,'S0 remplacer avec S44'!$C:$BQ,29,0)</f>
        <v>107</v>
      </c>
      <c r="G281" s="115">
        <f>VLOOKUP($A281,'S0 remplacer avec S44'!$C:$BQ,30,0)</f>
        <v>481</v>
      </c>
      <c r="H281" s="115">
        <f>VLOOKUP($A281,'S0 remplacer avec S44'!$C:$BQ,52,0)</f>
        <v>122.2</v>
      </c>
      <c r="I281" s="115">
        <f>VLOOKUP($A281,'S0 remplacer avec S44'!$C:$BQ,59,0)</f>
        <v>0</v>
      </c>
      <c r="J281" s="115">
        <f>VLOOKUP($A281,'S0 remplacer avec S44'!$C:$BQ,60,0)</f>
        <v>4</v>
      </c>
      <c r="K281" s="107" t="e">
        <f>VLOOKUP($A281,'S45'!$C:$BQ,32,0)</f>
        <v>#N/A</v>
      </c>
      <c r="L281" s="107" t="e">
        <f>VLOOKUP($A281,'S45'!$C:$BQ,39,0)</f>
        <v>#N/A</v>
      </c>
      <c r="M281" s="107" t="e">
        <f>VLOOKUP($A281,'S45'!$C:$BQ,40,0)</f>
        <v>#N/A</v>
      </c>
      <c r="N281" s="107" t="e">
        <f>VLOOKUP($A281,'S45'!$C:$BQ,22,0)</f>
        <v>#N/A</v>
      </c>
      <c r="O281" s="115" t="e">
        <f>VLOOKUP($A281,'S45'!$C:$BQ,29,0)</f>
        <v>#N/A</v>
      </c>
      <c r="P281" s="115" t="e">
        <f>VLOOKUP($A281,'S45'!$C:$BQ,30,0)</f>
        <v>#N/A</v>
      </c>
      <c r="Q281" s="115" t="e">
        <f>VLOOKUP($A281,'S45'!$C:$BQ,52,0)</f>
        <v>#N/A</v>
      </c>
      <c r="R281" s="115" t="e">
        <f>VLOOKUP($A281,'S45'!$C:$BQ,59,0)</f>
        <v>#N/A</v>
      </c>
      <c r="S281" s="115" t="e">
        <f>VLOOKUP($A281,'S45'!$C:$BQ,60,0)</f>
        <v>#N/A</v>
      </c>
      <c r="T281" s="107" t="e">
        <f>VLOOKUP($A281,'S46'!$C:$BQ,32,0)</f>
        <v>#N/A</v>
      </c>
      <c r="U281" s="107" t="e">
        <f>VLOOKUP($A281,'S46'!$C:$BQ,39,0)</f>
        <v>#N/A</v>
      </c>
      <c r="V281" s="107" t="e">
        <f>VLOOKUP($A281,'S46'!$C:$BQ,40,0)</f>
        <v>#N/A</v>
      </c>
      <c r="W281" s="107" t="e">
        <f>VLOOKUP($A281,'S46'!$C:$BQ,22,0)</f>
        <v>#N/A</v>
      </c>
      <c r="X281" s="115" t="e">
        <f>VLOOKUP($A281,'S46'!$C:$BQ,29,0)</f>
        <v>#N/A</v>
      </c>
      <c r="Y281" s="115" t="e">
        <f>VLOOKUP($A281,'S46'!$C:$BQ,30,0)</f>
        <v>#N/A</v>
      </c>
      <c r="Z281" s="115" t="e">
        <f>VLOOKUP($A281,'S46'!$C:$BQ,52,0)</f>
        <v>#N/A</v>
      </c>
      <c r="AA281" s="115" t="e">
        <f>VLOOKUP($A281,'S46'!$C:$BQ,59,0)</f>
        <v>#N/A</v>
      </c>
      <c r="AB281" s="115" t="e">
        <f>VLOOKUP($A281,'S46'!$C:$BQ,60,0)</f>
        <v>#N/A</v>
      </c>
      <c r="AC281" s="107" t="e">
        <f>VLOOKUP($A281,'S47'!$C:$BQ,32,0)</f>
        <v>#N/A</v>
      </c>
      <c r="AD281" s="107" t="e">
        <f>VLOOKUP($A281,'S47'!$C:$BQ,39,0)</f>
        <v>#N/A</v>
      </c>
      <c r="AE281" s="107" t="e">
        <f>VLOOKUP($A281,'S47'!$C:$BQ,40,0)</f>
        <v>#N/A</v>
      </c>
      <c r="AF281" s="107" t="e">
        <f>VLOOKUP($A281,'S47'!$C:$BQ,22,0)</f>
        <v>#N/A</v>
      </c>
      <c r="AG281" s="115" t="e">
        <f>VLOOKUP($A281,'S47'!$C:$BQ,29,0)</f>
        <v>#N/A</v>
      </c>
      <c r="AH281" s="115" t="e">
        <f>VLOOKUP($A281,'S47'!$C:$BQ,30,0)</f>
        <v>#N/A</v>
      </c>
      <c r="AI281" s="115" t="e">
        <f>VLOOKUP($A281,'S47'!$C:$BQ,52,0)</f>
        <v>#N/A</v>
      </c>
      <c r="AJ281" s="115" t="e">
        <f>VLOOKUP($A281,'S47'!$C:$BQ,59,0)</f>
        <v>#N/A</v>
      </c>
      <c r="AK281" s="115" t="e">
        <f>VLOOKUP($A281,'S47'!$C:$BQ,60,0)</f>
        <v>#N/A</v>
      </c>
      <c r="AL281" s="107" t="e">
        <f>VLOOKUP($A281,'S48'!$C:$BQ,32,0)</f>
        <v>#N/A</v>
      </c>
      <c r="AM281" s="107" t="e">
        <f>VLOOKUP($A281,'S48'!$C:$BQ,39,0)</f>
        <v>#N/A</v>
      </c>
      <c r="AN281" s="107" t="e">
        <f>VLOOKUP($A281,'S48'!$C:$BQ,40,0)</f>
        <v>#N/A</v>
      </c>
      <c r="AO281" s="107" t="e">
        <f>VLOOKUP($A281,'S48'!$C:$BQ,22,0)</f>
        <v>#N/A</v>
      </c>
      <c r="AP281" s="115" t="e">
        <f>VLOOKUP($A281,'S48'!$C:$BQ,29,0)</f>
        <v>#N/A</v>
      </c>
      <c r="AQ281" s="115" t="e">
        <f>VLOOKUP($A281,'S48'!$C:$BQ,30,0)</f>
        <v>#N/A</v>
      </c>
      <c r="AR281" s="115" t="e">
        <f>VLOOKUP($A281,'S48'!$C:$BQ,52,0)</f>
        <v>#N/A</v>
      </c>
      <c r="AS281" s="115" t="e">
        <f>VLOOKUP($A281,'S48'!$C:$BQ,59,0)</f>
        <v>#N/A</v>
      </c>
      <c r="AT281" s="115" t="e">
        <f>VLOOKUP($A281,'S48'!$C:$BQ,60,0)</f>
        <v>#N/A</v>
      </c>
      <c r="AU281" s="107" t="e">
        <f>VLOOKUP($A281,'S49'!$C:$BQ,32,0)</f>
        <v>#N/A</v>
      </c>
      <c r="AV281" s="107" t="e">
        <f>VLOOKUP($A281,'S49'!$C:$BQ,39,0)</f>
        <v>#N/A</v>
      </c>
      <c r="AW281" s="107" t="e">
        <f>VLOOKUP($A281,'S49'!$C:$BQ,40,0)</f>
        <v>#N/A</v>
      </c>
      <c r="AX281" s="107" t="e">
        <f>VLOOKUP($A281,'S49'!$C:$BQ,22,0)</f>
        <v>#N/A</v>
      </c>
      <c r="AY281" s="115" t="e">
        <f>VLOOKUP($A281,'S49'!$C:$BQ,29,0)</f>
        <v>#N/A</v>
      </c>
      <c r="AZ281" s="115" t="e">
        <f>VLOOKUP($A281,'S49'!$C:$BQ,30,0)</f>
        <v>#N/A</v>
      </c>
      <c r="BA281" s="115" t="e">
        <f>VLOOKUP($A281,'S49'!$C:$BQ,52,0)</f>
        <v>#N/A</v>
      </c>
      <c r="BB281" s="115" t="e">
        <f>VLOOKUP($A281,'S49'!$C:$BQ,59,0)</f>
        <v>#N/A</v>
      </c>
      <c r="BC281" s="115" t="e">
        <f>VLOOKUP($A281,'S49'!$C:$BQ,60,0)</f>
        <v>#N/A</v>
      </c>
      <c r="BD281" s="107" t="e">
        <f>VLOOKUP($A281,'S50'!$C:$BQ,32,0)</f>
        <v>#N/A</v>
      </c>
      <c r="BE281" s="107" t="e">
        <f>VLOOKUP($A281,'S50'!$C:$BQ,39,0)</f>
        <v>#N/A</v>
      </c>
      <c r="BF281" s="107" t="e">
        <f>VLOOKUP($A281,'S50'!$C:$BQ,40,0)</f>
        <v>#N/A</v>
      </c>
      <c r="BG281" s="107" t="e">
        <f>VLOOKUP($A281,'S50'!$C:$BQ,22,0)</f>
        <v>#N/A</v>
      </c>
      <c r="BH281" s="115" t="e">
        <f>VLOOKUP($A281,'S50'!$C:$BQ,29,0)</f>
        <v>#N/A</v>
      </c>
      <c r="BI281" s="115" t="e">
        <f>VLOOKUP($A281,'S50'!$C:$BQ,30,0)</f>
        <v>#N/A</v>
      </c>
      <c r="BJ281" s="115" t="e">
        <f>VLOOKUP($A281,'S50'!$C:$BQ,52,0)</f>
        <v>#N/A</v>
      </c>
      <c r="BK281" s="115" t="e">
        <f>VLOOKUP($A281,'S50'!$C:$BQ,59,0)</f>
        <v>#N/A</v>
      </c>
      <c r="BL281" s="115" t="e">
        <f>VLOOKUP($A281,'S50'!$C:$BQ,60,0)</f>
        <v>#N/A</v>
      </c>
    </row>
    <row r="282" spans="1:64" x14ac:dyDescent="0.2">
      <c r="A282" s="106" t="s">
        <v>356</v>
      </c>
      <c r="B282" s="107">
        <f>VLOOKUP($A282,'S0 remplacer avec S44'!$C:$BQ,32,0)</f>
        <v>165.4</v>
      </c>
      <c r="C282" s="107">
        <f>VLOOKUP($A282,'S0 remplacer avec S44'!$C:$BQ,39,0)</f>
        <v>0</v>
      </c>
      <c r="D282" s="107">
        <f>VLOOKUP($A282,'S0 remplacer avec S44'!$C:$BQ,40,0)</f>
        <v>32</v>
      </c>
      <c r="E282" s="107">
        <f>VLOOKUP($A282,'S0 remplacer avec S44'!$C:$BQ,22,0)</f>
        <v>1860.5121549999999</v>
      </c>
      <c r="F282" s="115">
        <f>VLOOKUP($A282,'S0 remplacer avec S44'!$C:$BQ,29,0)</f>
        <v>0</v>
      </c>
      <c r="G282" s="115">
        <f>VLOOKUP($A282,'S0 remplacer avec S44'!$C:$BQ,30,0)</f>
        <v>0</v>
      </c>
      <c r="H282" s="115">
        <f>VLOOKUP($A282,'S0 remplacer avec S44'!$C:$BQ,52,0)</f>
        <v>117</v>
      </c>
      <c r="I282" s="115">
        <f>VLOOKUP($A282,'S0 remplacer avec S44'!$C:$BQ,59,0)</f>
        <v>0</v>
      </c>
      <c r="J282" s="115">
        <f>VLOOKUP($A282,'S0 remplacer avec S44'!$C:$BQ,60,0)</f>
        <v>0</v>
      </c>
      <c r="K282" s="107" t="e">
        <f>VLOOKUP($A282,'S45'!$C:$BQ,32,0)</f>
        <v>#N/A</v>
      </c>
      <c r="L282" s="107" t="e">
        <f>VLOOKUP($A282,'S45'!$C:$BQ,39,0)</f>
        <v>#N/A</v>
      </c>
      <c r="M282" s="107" t="e">
        <f>VLOOKUP($A282,'S45'!$C:$BQ,40,0)</f>
        <v>#N/A</v>
      </c>
      <c r="N282" s="107" t="e">
        <f>VLOOKUP($A282,'S45'!$C:$BQ,22,0)</f>
        <v>#N/A</v>
      </c>
      <c r="O282" s="115" t="e">
        <f>VLOOKUP($A282,'S45'!$C:$BQ,29,0)</f>
        <v>#N/A</v>
      </c>
      <c r="P282" s="115" t="e">
        <f>VLOOKUP($A282,'S45'!$C:$BQ,30,0)</f>
        <v>#N/A</v>
      </c>
      <c r="Q282" s="115" t="e">
        <f>VLOOKUP($A282,'S45'!$C:$BQ,52,0)</f>
        <v>#N/A</v>
      </c>
      <c r="R282" s="115" t="e">
        <f>VLOOKUP($A282,'S45'!$C:$BQ,59,0)</f>
        <v>#N/A</v>
      </c>
      <c r="S282" s="115" t="e">
        <f>VLOOKUP($A282,'S45'!$C:$BQ,60,0)</f>
        <v>#N/A</v>
      </c>
      <c r="T282" s="107" t="e">
        <f>VLOOKUP($A282,'S46'!$C:$BQ,32,0)</f>
        <v>#N/A</v>
      </c>
      <c r="U282" s="107" t="e">
        <f>VLOOKUP($A282,'S46'!$C:$BQ,39,0)</f>
        <v>#N/A</v>
      </c>
      <c r="V282" s="107" t="e">
        <f>VLOOKUP($A282,'S46'!$C:$BQ,40,0)</f>
        <v>#N/A</v>
      </c>
      <c r="W282" s="107" t="e">
        <f>VLOOKUP($A282,'S46'!$C:$BQ,22,0)</f>
        <v>#N/A</v>
      </c>
      <c r="X282" s="115" t="e">
        <f>VLOOKUP($A282,'S46'!$C:$BQ,29,0)</f>
        <v>#N/A</v>
      </c>
      <c r="Y282" s="115" t="e">
        <f>VLOOKUP($A282,'S46'!$C:$BQ,30,0)</f>
        <v>#N/A</v>
      </c>
      <c r="Z282" s="115" t="e">
        <f>VLOOKUP($A282,'S46'!$C:$BQ,52,0)</f>
        <v>#N/A</v>
      </c>
      <c r="AA282" s="115" t="e">
        <f>VLOOKUP($A282,'S46'!$C:$BQ,59,0)</f>
        <v>#N/A</v>
      </c>
      <c r="AB282" s="115" t="e">
        <f>VLOOKUP($A282,'S46'!$C:$BQ,60,0)</f>
        <v>#N/A</v>
      </c>
      <c r="AC282" s="107" t="e">
        <f>VLOOKUP($A282,'S47'!$C:$BQ,32,0)</f>
        <v>#N/A</v>
      </c>
      <c r="AD282" s="107" t="e">
        <f>VLOOKUP($A282,'S47'!$C:$BQ,39,0)</f>
        <v>#N/A</v>
      </c>
      <c r="AE282" s="107" t="e">
        <f>VLOOKUP($A282,'S47'!$C:$BQ,40,0)</f>
        <v>#N/A</v>
      </c>
      <c r="AF282" s="107" t="e">
        <f>VLOOKUP($A282,'S47'!$C:$BQ,22,0)</f>
        <v>#N/A</v>
      </c>
      <c r="AG282" s="115" t="e">
        <f>VLOOKUP($A282,'S47'!$C:$BQ,29,0)</f>
        <v>#N/A</v>
      </c>
      <c r="AH282" s="115" t="e">
        <f>VLOOKUP($A282,'S47'!$C:$BQ,30,0)</f>
        <v>#N/A</v>
      </c>
      <c r="AI282" s="115" t="e">
        <f>VLOOKUP($A282,'S47'!$C:$BQ,52,0)</f>
        <v>#N/A</v>
      </c>
      <c r="AJ282" s="115" t="e">
        <f>VLOOKUP($A282,'S47'!$C:$BQ,59,0)</f>
        <v>#N/A</v>
      </c>
      <c r="AK282" s="115" t="e">
        <f>VLOOKUP($A282,'S47'!$C:$BQ,60,0)</f>
        <v>#N/A</v>
      </c>
      <c r="AL282" s="107" t="e">
        <f>VLOOKUP($A282,'S48'!$C:$BQ,32,0)</f>
        <v>#N/A</v>
      </c>
      <c r="AM282" s="107" t="e">
        <f>VLOOKUP($A282,'S48'!$C:$BQ,39,0)</f>
        <v>#N/A</v>
      </c>
      <c r="AN282" s="107" t="e">
        <f>VLOOKUP($A282,'S48'!$C:$BQ,40,0)</f>
        <v>#N/A</v>
      </c>
      <c r="AO282" s="107" t="e">
        <f>VLOOKUP($A282,'S48'!$C:$BQ,22,0)</f>
        <v>#N/A</v>
      </c>
      <c r="AP282" s="115" t="e">
        <f>VLOOKUP($A282,'S48'!$C:$BQ,29,0)</f>
        <v>#N/A</v>
      </c>
      <c r="AQ282" s="115" t="e">
        <f>VLOOKUP($A282,'S48'!$C:$BQ,30,0)</f>
        <v>#N/A</v>
      </c>
      <c r="AR282" s="115" t="e">
        <f>VLOOKUP($A282,'S48'!$C:$BQ,52,0)</f>
        <v>#N/A</v>
      </c>
      <c r="AS282" s="115" t="e">
        <f>VLOOKUP($A282,'S48'!$C:$BQ,59,0)</f>
        <v>#N/A</v>
      </c>
      <c r="AT282" s="115" t="e">
        <f>VLOOKUP($A282,'S48'!$C:$BQ,60,0)</f>
        <v>#N/A</v>
      </c>
      <c r="AU282" s="107" t="e">
        <f>VLOOKUP($A282,'S49'!$C:$BQ,32,0)</f>
        <v>#N/A</v>
      </c>
      <c r="AV282" s="107" t="e">
        <f>VLOOKUP($A282,'S49'!$C:$BQ,39,0)</f>
        <v>#N/A</v>
      </c>
      <c r="AW282" s="107" t="e">
        <f>VLOOKUP($A282,'S49'!$C:$BQ,40,0)</f>
        <v>#N/A</v>
      </c>
      <c r="AX282" s="107" t="e">
        <f>VLOOKUP($A282,'S49'!$C:$BQ,22,0)</f>
        <v>#N/A</v>
      </c>
      <c r="AY282" s="115" t="e">
        <f>VLOOKUP($A282,'S49'!$C:$BQ,29,0)</f>
        <v>#N/A</v>
      </c>
      <c r="AZ282" s="115" t="e">
        <f>VLOOKUP($A282,'S49'!$C:$BQ,30,0)</f>
        <v>#N/A</v>
      </c>
      <c r="BA282" s="115" t="e">
        <f>VLOOKUP($A282,'S49'!$C:$BQ,52,0)</f>
        <v>#N/A</v>
      </c>
      <c r="BB282" s="115" t="e">
        <f>VLOOKUP($A282,'S49'!$C:$BQ,59,0)</f>
        <v>#N/A</v>
      </c>
      <c r="BC282" s="115" t="e">
        <f>VLOOKUP($A282,'S49'!$C:$BQ,60,0)</f>
        <v>#N/A</v>
      </c>
      <c r="BD282" s="107" t="e">
        <f>VLOOKUP($A282,'S50'!$C:$BQ,32,0)</f>
        <v>#N/A</v>
      </c>
      <c r="BE282" s="107" t="e">
        <f>VLOOKUP($A282,'S50'!$C:$BQ,39,0)</f>
        <v>#N/A</v>
      </c>
      <c r="BF282" s="107" t="e">
        <f>VLOOKUP($A282,'S50'!$C:$BQ,40,0)</f>
        <v>#N/A</v>
      </c>
      <c r="BG282" s="107" t="e">
        <f>VLOOKUP($A282,'S50'!$C:$BQ,22,0)</f>
        <v>#N/A</v>
      </c>
      <c r="BH282" s="115" t="e">
        <f>VLOOKUP($A282,'S50'!$C:$BQ,29,0)</f>
        <v>#N/A</v>
      </c>
      <c r="BI282" s="115" t="e">
        <f>VLOOKUP($A282,'S50'!$C:$BQ,30,0)</f>
        <v>#N/A</v>
      </c>
      <c r="BJ282" s="115" t="e">
        <f>VLOOKUP($A282,'S50'!$C:$BQ,52,0)</f>
        <v>#N/A</v>
      </c>
      <c r="BK282" s="115" t="e">
        <f>VLOOKUP($A282,'S50'!$C:$BQ,59,0)</f>
        <v>#N/A</v>
      </c>
      <c r="BL282" s="115" t="e">
        <f>VLOOKUP($A282,'S50'!$C:$BQ,60,0)</f>
        <v>#N/A</v>
      </c>
    </row>
    <row r="283" spans="1:64" x14ac:dyDescent="0.2">
      <c r="A283" s="106" t="s">
        <v>358</v>
      </c>
      <c r="B283" s="107">
        <f>VLOOKUP($A283,'S0 remplacer avec S44'!$C:$BQ,32,0)</f>
        <v>211.3</v>
      </c>
      <c r="C283" s="107">
        <f>VLOOKUP($A283,'S0 remplacer avec S44'!$C:$BQ,39,0)</f>
        <v>0</v>
      </c>
      <c r="D283" s="107">
        <f>VLOOKUP($A283,'S0 remplacer avec S44'!$C:$BQ,40,0)</f>
        <v>0</v>
      </c>
      <c r="E283" s="107">
        <f>VLOOKUP($A283,'S0 remplacer avec S44'!$C:$BQ,22,0)</f>
        <v>2171.9652900000001</v>
      </c>
      <c r="F283" s="115">
        <f>VLOOKUP($A283,'S0 remplacer avec S44'!$C:$BQ,29,0)</f>
        <v>0</v>
      </c>
      <c r="G283" s="115">
        <f>VLOOKUP($A283,'S0 remplacer avec S44'!$C:$BQ,30,0)</f>
        <v>0</v>
      </c>
      <c r="H283" s="115">
        <f>VLOOKUP($A283,'S0 remplacer avec S44'!$C:$BQ,52,0)</f>
        <v>131.4</v>
      </c>
      <c r="I283" s="115">
        <f>VLOOKUP($A283,'S0 remplacer avec S44'!$C:$BQ,59,0)</f>
        <v>0</v>
      </c>
      <c r="J283" s="115">
        <f>VLOOKUP($A283,'S0 remplacer avec S44'!$C:$BQ,60,0)</f>
        <v>0</v>
      </c>
      <c r="K283" s="107" t="e">
        <f>VLOOKUP($A283,'S45'!$C:$BQ,32,0)</f>
        <v>#N/A</v>
      </c>
      <c r="L283" s="107" t="e">
        <f>VLOOKUP($A283,'S45'!$C:$BQ,39,0)</f>
        <v>#N/A</v>
      </c>
      <c r="M283" s="107" t="e">
        <f>VLOOKUP($A283,'S45'!$C:$BQ,40,0)</f>
        <v>#N/A</v>
      </c>
      <c r="N283" s="107" t="e">
        <f>VLOOKUP($A283,'S45'!$C:$BQ,22,0)</f>
        <v>#N/A</v>
      </c>
      <c r="O283" s="115" t="e">
        <f>VLOOKUP($A283,'S45'!$C:$BQ,29,0)</f>
        <v>#N/A</v>
      </c>
      <c r="P283" s="115" t="e">
        <f>VLOOKUP($A283,'S45'!$C:$BQ,30,0)</f>
        <v>#N/A</v>
      </c>
      <c r="Q283" s="115" t="e">
        <f>VLOOKUP($A283,'S45'!$C:$BQ,52,0)</f>
        <v>#N/A</v>
      </c>
      <c r="R283" s="115" t="e">
        <f>VLOOKUP($A283,'S45'!$C:$BQ,59,0)</f>
        <v>#N/A</v>
      </c>
      <c r="S283" s="115" t="e">
        <f>VLOOKUP($A283,'S45'!$C:$BQ,60,0)</f>
        <v>#N/A</v>
      </c>
      <c r="T283" s="107" t="e">
        <f>VLOOKUP($A283,'S46'!$C:$BQ,32,0)</f>
        <v>#N/A</v>
      </c>
      <c r="U283" s="107" t="e">
        <f>VLOOKUP($A283,'S46'!$C:$BQ,39,0)</f>
        <v>#N/A</v>
      </c>
      <c r="V283" s="107" t="e">
        <f>VLOOKUP($A283,'S46'!$C:$BQ,40,0)</f>
        <v>#N/A</v>
      </c>
      <c r="W283" s="107" t="e">
        <f>VLOOKUP($A283,'S46'!$C:$BQ,22,0)</f>
        <v>#N/A</v>
      </c>
      <c r="X283" s="115" t="e">
        <f>VLOOKUP($A283,'S46'!$C:$BQ,29,0)</f>
        <v>#N/A</v>
      </c>
      <c r="Y283" s="115" t="e">
        <f>VLOOKUP($A283,'S46'!$C:$BQ,30,0)</f>
        <v>#N/A</v>
      </c>
      <c r="Z283" s="115" t="e">
        <f>VLOOKUP($A283,'S46'!$C:$BQ,52,0)</f>
        <v>#N/A</v>
      </c>
      <c r="AA283" s="115" t="e">
        <f>VLOOKUP($A283,'S46'!$C:$BQ,59,0)</f>
        <v>#N/A</v>
      </c>
      <c r="AB283" s="115" t="e">
        <f>VLOOKUP($A283,'S46'!$C:$BQ,60,0)</f>
        <v>#N/A</v>
      </c>
      <c r="AC283" s="107" t="e">
        <f>VLOOKUP($A283,'S47'!$C:$BQ,32,0)</f>
        <v>#N/A</v>
      </c>
      <c r="AD283" s="107" t="e">
        <f>VLOOKUP($A283,'S47'!$C:$BQ,39,0)</f>
        <v>#N/A</v>
      </c>
      <c r="AE283" s="107" t="e">
        <f>VLOOKUP($A283,'S47'!$C:$BQ,40,0)</f>
        <v>#N/A</v>
      </c>
      <c r="AF283" s="107" t="e">
        <f>VLOOKUP($A283,'S47'!$C:$BQ,22,0)</f>
        <v>#N/A</v>
      </c>
      <c r="AG283" s="115" t="e">
        <f>VLOOKUP($A283,'S47'!$C:$BQ,29,0)</f>
        <v>#N/A</v>
      </c>
      <c r="AH283" s="115" t="e">
        <f>VLOOKUP($A283,'S47'!$C:$BQ,30,0)</f>
        <v>#N/A</v>
      </c>
      <c r="AI283" s="115" t="e">
        <f>VLOOKUP($A283,'S47'!$C:$BQ,52,0)</f>
        <v>#N/A</v>
      </c>
      <c r="AJ283" s="115" t="e">
        <f>VLOOKUP($A283,'S47'!$C:$BQ,59,0)</f>
        <v>#N/A</v>
      </c>
      <c r="AK283" s="115" t="e">
        <f>VLOOKUP($A283,'S47'!$C:$BQ,60,0)</f>
        <v>#N/A</v>
      </c>
      <c r="AL283" s="107" t="e">
        <f>VLOOKUP($A283,'S48'!$C:$BQ,32,0)</f>
        <v>#N/A</v>
      </c>
      <c r="AM283" s="107" t="e">
        <f>VLOOKUP($A283,'S48'!$C:$BQ,39,0)</f>
        <v>#N/A</v>
      </c>
      <c r="AN283" s="107" t="e">
        <f>VLOOKUP($A283,'S48'!$C:$BQ,40,0)</f>
        <v>#N/A</v>
      </c>
      <c r="AO283" s="107" t="e">
        <f>VLOOKUP($A283,'S48'!$C:$BQ,22,0)</f>
        <v>#N/A</v>
      </c>
      <c r="AP283" s="115" t="e">
        <f>VLOOKUP($A283,'S48'!$C:$BQ,29,0)</f>
        <v>#N/A</v>
      </c>
      <c r="AQ283" s="115" t="e">
        <f>VLOOKUP($A283,'S48'!$C:$BQ,30,0)</f>
        <v>#N/A</v>
      </c>
      <c r="AR283" s="115" t="e">
        <f>VLOOKUP($A283,'S48'!$C:$BQ,52,0)</f>
        <v>#N/A</v>
      </c>
      <c r="AS283" s="115" t="e">
        <f>VLOOKUP($A283,'S48'!$C:$BQ,59,0)</f>
        <v>#N/A</v>
      </c>
      <c r="AT283" s="115" t="e">
        <f>VLOOKUP($A283,'S48'!$C:$BQ,60,0)</f>
        <v>#N/A</v>
      </c>
      <c r="AU283" s="107" t="e">
        <f>VLOOKUP($A283,'S49'!$C:$BQ,32,0)</f>
        <v>#N/A</v>
      </c>
      <c r="AV283" s="107" t="e">
        <f>VLOOKUP($A283,'S49'!$C:$BQ,39,0)</f>
        <v>#N/A</v>
      </c>
      <c r="AW283" s="107" t="e">
        <f>VLOOKUP($A283,'S49'!$C:$BQ,40,0)</f>
        <v>#N/A</v>
      </c>
      <c r="AX283" s="107" t="e">
        <f>VLOOKUP($A283,'S49'!$C:$BQ,22,0)</f>
        <v>#N/A</v>
      </c>
      <c r="AY283" s="115" t="e">
        <f>VLOOKUP($A283,'S49'!$C:$BQ,29,0)</f>
        <v>#N/A</v>
      </c>
      <c r="AZ283" s="115" t="e">
        <f>VLOOKUP($A283,'S49'!$C:$BQ,30,0)</f>
        <v>#N/A</v>
      </c>
      <c r="BA283" s="115" t="e">
        <f>VLOOKUP($A283,'S49'!$C:$BQ,52,0)</f>
        <v>#N/A</v>
      </c>
      <c r="BB283" s="115" t="e">
        <f>VLOOKUP($A283,'S49'!$C:$BQ,59,0)</f>
        <v>#N/A</v>
      </c>
      <c r="BC283" s="115" t="e">
        <f>VLOOKUP($A283,'S49'!$C:$BQ,60,0)</f>
        <v>#N/A</v>
      </c>
      <c r="BD283" s="107" t="e">
        <f>VLOOKUP($A283,'S50'!$C:$BQ,32,0)</f>
        <v>#N/A</v>
      </c>
      <c r="BE283" s="107" t="e">
        <f>VLOOKUP($A283,'S50'!$C:$BQ,39,0)</f>
        <v>#N/A</v>
      </c>
      <c r="BF283" s="107" t="e">
        <f>VLOOKUP($A283,'S50'!$C:$BQ,40,0)</f>
        <v>#N/A</v>
      </c>
      <c r="BG283" s="107" t="e">
        <f>VLOOKUP($A283,'S50'!$C:$BQ,22,0)</f>
        <v>#N/A</v>
      </c>
      <c r="BH283" s="115" t="e">
        <f>VLOOKUP($A283,'S50'!$C:$BQ,29,0)</f>
        <v>#N/A</v>
      </c>
      <c r="BI283" s="115" t="e">
        <f>VLOOKUP($A283,'S50'!$C:$BQ,30,0)</f>
        <v>#N/A</v>
      </c>
      <c r="BJ283" s="115" t="e">
        <f>VLOOKUP($A283,'S50'!$C:$BQ,52,0)</f>
        <v>#N/A</v>
      </c>
      <c r="BK283" s="115" t="e">
        <f>VLOOKUP($A283,'S50'!$C:$BQ,59,0)</f>
        <v>#N/A</v>
      </c>
      <c r="BL283" s="115" t="e">
        <f>VLOOKUP($A283,'S50'!$C:$BQ,60,0)</f>
        <v>#N/A</v>
      </c>
    </row>
    <row r="284" spans="1:64" x14ac:dyDescent="0.2">
      <c r="A284" s="106" t="s">
        <v>359</v>
      </c>
      <c r="B284" s="107">
        <f>VLOOKUP($A284,'S0 remplacer avec S44'!$C:$BQ,32,0)</f>
        <v>197.9</v>
      </c>
      <c r="C284" s="107">
        <f>VLOOKUP($A284,'S0 remplacer avec S44'!$C:$BQ,39,0)</f>
        <v>0</v>
      </c>
      <c r="D284" s="107">
        <f>VLOOKUP($A284,'S0 remplacer avec S44'!$C:$BQ,40,0)</f>
        <v>24</v>
      </c>
      <c r="E284" s="107">
        <f>VLOOKUP($A284,'S0 remplacer avec S44'!$C:$BQ,22,0)</f>
        <v>1960.322905</v>
      </c>
      <c r="F284" s="115">
        <f>VLOOKUP($A284,'S0 remplacer avec S44'!$C:$BQ,29,0)</f>
        <v>0</v>
      </c>
      <c r="G284" s="115">
        <f>VLOOKUP($A284,'S0 remplacer avec S44'!$C:$BQ,30,0)</f>
        <v>53</v>
      </c>
      <c r="H284" s="115">
        <f>VLOOKUP($A284,'S0 remplacer avec S44'!$C:$BQ,52,0)</f>
        <v>118.8</v>
      </c>
      <c r="I284" s="115">
        <f>VLOOKUP($A284,'S0 remplacer avec S44'!$C:$BQ,59,0)</f>
        <v>0</v>
      </c>
      <c r="J284" s="115">
        <f>VLOOKUP($A284,'S0 remplacer avec S44'!$C:$BQ,60,0)</f>
        <v>0</v>
      </c>
      <c r="K284" s="107" t="e">
        <f>VLOOKUP($A284,'S45'!$C:$BQ,32,0)</f>
        <v>#N/A</v>
      </c>
      <c r="L284" s="107" t="e">
        <f>VLOOKUP($A284,'S45'!$C:$BQ,39,0)</f>
        <v>#N/A</v>
      </c>
      <c r="M284" s="107" t="e">
        <f>VLOOKUP($A284,'S45'!$C:$BQ,40,0)</f>
        <v>#N/A</v>
      </c>
      <c r="N284" s="107" t="e">
        <f>VLOOKUP($A284,'S45'!$C:$BQ,22,0)</f>
        <v>#N/A</v>
      </c>
      <c r="O284" s="115" t="e">
        <f>VLOOKUP($A284,'S45'!$C:$BQ,29,0)</f>
        <v>#N/A</v>
      </c>
      <c r="P284" s="115" t="e">
        <f>VLOOKUP($A284,'S45'!$C:$BQ,30,0)</f>
        <v>#N/A</v>
      </c>
      <c r="Q284" s="115" t="e">
        <f>VLOOKUP($A284,'S45'!$C:$BQ,52,0)</f>
        <v>#N/A</v>
      </c>
      <c r="R284" s="115" t="e">
        <f>VLOOKUP($A284,'S45'!$C:$BQ,59,0)</f>
        <v>#N/A</v>
      </c>
      <c r="S284" s="115" t="e">
        <f>VLOOKUP($A284,'S45'!$C:$BQ,60,0)</f>
        <v>#N/A</v>
      </c>
      <c r="T284" s="107" t="e">
        <f>VLOOKUP($A284,'S46'!$C:$BQ,32,0)</f>
        <v>#N/A</v>
      </c>
      <c r="U284" s="107" t="e">
        <f>VLOOKUP($A284,'S46'!$C:$BQ,39,0)</f>
        <v>#N/A</v>
      </c>
      <c r="V284" s="107" t="e">
        <f>VLOOKUP($A284,'S46'!$C:$BQ,40,0)</f>
        <v>#N/A</v>
      </c>
      <c r="W284" s="107" t="e">
        <f>VLOOKUP($A284,'S46'!$C:$BQ,22,0)</f>
        <v>#N/A</v>
      </c>
      <c r="X284" s="115" t="e">
        <f>VLOOKUP($A284,'S46'!$C:$BQ,29,0)</f>
        <v>#N/A</v>
      </c>
      <c r="Y284" s="115" t="e">
        <f>VLOOKUP($A284,'S46'!$C:$BQ,30,0)</f>
        <v>#N/A</v>
      </c>
      <c r="Z284" s="115" t="e">
        <f>VLOOKUP($A284,'S46'!$C:$BQ,52,0)</f>
        <v>#N/A</v>
      </c>
      <c r="AA284" s="115" t="e">
        <f>VLOOKUP($A284,'S46'!$C:$BQ,59,0)</f>
        <v>#N/A</v>
      </c>
      <c r="AB284" s="115" t="e">
        <f>VLOOKUP($A284,'S46'!$C:$BQ,60,0)</f>
        <v>#N/A</v>
      </c>
      <c r="AC284" s="107" t="e">
        <f>VLOOKUP($A284,'S47'!$C:$BQ,32,0)</f>
        <v>#N/A</v>
      </c>
      <c r="AD284" s="107" t="e">
        <f>VLOOKUP($A284,'S47'!$C:$BQ,39,0)</f>
        <v>#N/A</v>
      </c>
      <c r="AE284" s="107" t="e">
        <f>VLOOKUP($A284,'S47'!$C:$BQ,40,0)</f>
        <v>#N/A</v>
      </c>
      <c r="AF284" s="107" t="e">
        <f>VLOOKUP($A284,'S47'!$C:$BQ,22,0)</f>
        <v>#N/A</v>
      </c>
      <c r="AG284" s="115" t="e">
        <f>VLOOKUP($A284,'S47'!$C:$BQ,29,0)</f>
        <v>#N/A</v>
      </c>
      <c r="AH284" s="115" t="e">
        <f>VLOOKUP($A284,'S47'!$C:$BQ,30,0)</f>
        <v>#N/A</v>
      </c>
      <c r="AI284" s="115" t="e">
        <f>VLOOKUP($A284,'S47'!$C:$BQ,52,0)</f>
        <v>#N/A</v>
      </c>
      <c r="AJ284" s="115" t="e">
        <f>VLOOKUP($A284,'S47'!$C:$BQ,59,0)</f>
        <v>#N/A</v>
      </c>
      <c r="AK284" s="115" t="e">
        <f>VLOOKUP($A284,'S47'!$C:$BQ,60,0)</f>
        <v>#N/A</v>
      </c>
      <c r="AL284" s="107" t="e">
        <f>VLOOKUP($A284,'S48'!$C:$BQ,32,0)</f>
        <v>#N/A</v>
      </c>
      <c r="AM284" s="107" t="e">
        <f>VLOOKUP($A284,'S48'!$C:$BQ,39,0)</f>
        <v>#N/A</v>
      </c>
      <c r="AN284" s="107" t="e">
        <f>VLOOKUP($A284,'S48'!$C:$BQ,40,0)</f>
        <v>#N/A</v>
      </c>
      <c r="AO284" s="107" t="e">
        <f>VLOOKUP($A284,'S48'!$C:$BQ,22,0)</f>
        <v>#N/A</v>
      </c>
      <c r="AP284" s="115" t="e">
        <f>VLOOKUP($A284,'S48'!$C:$BQ,29,0)</f>
        <v>#N/A</v>
      </c>
      <c r="AQ284" s="115" t="e">
        <f>VLOOKUP($A284,'S48'!$C:$BQ,30,0)</f>
        <v>#N/A</v>
      </c>
      <c r="AR284" s="115" t="e">
        <f>VLOOKUP($A284,'S48'!$C:$BQ,52,0)</f>
        <v>#N/A</v>
      </c>
      <c r="AS284" s="115" t="e">
        <f>VLOOKUP($A284,'S48'!$C:$BQ,59,0)</f>
        <v>#N/A</v>
      </c>
      <c r="AT284" s="115" t="e">
        <f>VLOOKUP($A284,'S48'!$C:$BQ,60,0)</f>
        <v>#N/A</v>
      </c>
      <c r="AU284" s="107" t="e">
        <f>VLOOKUP($A284,'S49'!$C:$BQ,32,0)</f>
        <v>#N/A</v>
      </c>
      <c r="AV284" s="107" t="e">
        <f>VLOOKUP($A284,'S49'!$C:$BQ,39,0)</f>
        <v>#N/A</v>
      </c>
      <c r="AW284" s="107" t="e">
        <f>VLOOKUP($A284,'S49'!$C:$BQ,40,0)</f>
        <v>#N/A</v>
      </c>
      <c r="AX284" s="107" t="e">
        <f>VLOOKUP($A284,'S49'!$C:$BQ,22,0)</f>
        <v>#N/A</v>
      </c>
      <c r="AY284" s="115" t="e">
        <f>VLOOKUP($A284,'S49'!$C:$BQ,29,0)</f>
        <v>#N/A</v>
      </c>
      <c r="AZ284" s="115" t="e">
        <f>VLOOKUP($A284,'S49'!$C:$BQ,30,0)</f>
        <v>#N/A</v>
      </c>
      <c r="BA284" s="115" t="e">
        <f>VLOOKUP($A284,'S49'!$C:$BQ,52,0)</f>
        <v>#N/A</v>
      </c>
      <c r="BB284" s="115" t="e">
        <f>VLOOKUP($A284,'S49'!$C:$BQ,59,0)</f>
        <v>#N/A</v>
      </c>
      <c r="BC284" s="115" t="e">
        <f>VLOOKUP($A284,'S49'!$C:$BQ,60,0)</f>
        <v>#N/A</v>
      </c>
      <c r="BD284" s="107" t="e">
        <f>VLOOKUP($A284,'S50'!$C:$BQ,32,0)</f>
        <v>#N/A</v>
      </c>
      <c r="BE284" s="107" t="e">
        <f>VLOOKUP($A284,'S50'!$C:$BQ,39,0)</f>
        <v>#N/A</v>
      </c>
      <c r="BF284" s="107" t="e">
        <f>VLOOKUP($A284,'S50'!$C:$BQ,40,0)</f>
        <v>#N/A</v>
      </c>
      <c r="BG284" s="107" t="e">
        <f>VLOOKUP($A284,'S50'!$C:$BQ,22,0)</f>
        <v>#N/A</v>
      </c>
      <c r="BH284" s="115" t="e">
        <f>VLOOKUP($A284,'S50'!$C:$BQ,29,0)</f>
        <v>#N/A</v>
      </c>
      <c r="BI284" s="115" t="e">
        <f>VLOOKUP($A284,'S50'!$C:$BQ,30,0)</f>
        <v>#N/A</v>
      </c>
      <c r="BJ284" s="115" t="e">
        <f>VLOOKUP($A284,'S50'!$C:$BQ,52,0)</f>
        <v>#N/A</v>
      </c>
      <c r="BK284" s="115" t="e">
        <f>VLOOKUP($A284,'S50'!$C:$BQ,59,0)</f>
        <v>#N/A</v>
      </c>
      <c r="BL284" s="115" t="e">
        <f>VLOOKUP($A284,'S50'!$C:$BQ,60,0)</f>
        <v>#N/A</v>
      </c>
    </row>
    <row r="285" spans="1:64" x14ac:dyDescent="0.2">
      <c r="A285" s="106" t="s">
        <v>360</v>
      </c>
      <c r="B285" s="107">
        <f>VLOOKUP($A285,'S0 remplacer avec S44'!$C:$BQ,32,0)</f>
        <v>191.45</v>
      </c>
      <c r="C285" s="107">
        <f>VLOOKUP($A285,'S0 remplacer avec S44'!$C:$BQ,39,0)</f>
        <v>60</v>
      </c>
      <c r="D285" s="107">
        <f>VLOOKUP($A285,'S0 remplacer avec S44'!$C:$BQ,40,0)</f>
        <v>110</v>
      </c>
      <c r="E285" s="107">
        <f>VLOOKUP($A285,'S0 remplacer avec S44'!$C:$BQ,22,0)</f>
        <v>2262.2503000000002</v>
      </c>
      <c r="F285" s="115">
        <f>VLOOKUP($A285,'S0 remplacer avec S44'!$C:$BQ,29,0)</f>
        <v>21</v>
      </c>
      <c r="G285" s="115">
        <f>VLOOKUP($A285,'S0 remplacer avec S44'!$C:$BQ,30,0)</f>
        <v>477</v>
      </c>
      <c r="H285" s="115">
        <f>VLOOKUP($A285,'S0 remplacer avec S44'!$C:$BQ,52,0)</f>
        <v>133.6</v>
      </c>
      <c r="I285" s="115">
        <f>VLOOKUP($A285,'S0 remplacer avec S44'!$C:$BQ,59,0)</f>
        <v>0</v>
      </c>
      <c r="J285" s="115">
        <f>VLOOKUP($A285,'S0 remplacer avec S44'!$C:$BQ,60,0)</f>
        <v>20</v>
      </c>
      <c r="K285" s="107" t="e">
        <f>VLOOKUP($A285,'S45'!$C:$BQ,32,0)</f>
        <v>#N/A</v>
      </c>
      <c r="L285" s="107" t="e">
        <f>VLOOKUP($A285,'S45'!$C:$BQ,39,0)</f>
        <v>#N/A</v>
      </c>
      <c r="M285" s="107" t="e">
        <f>VLOOKUP($A285,'S45'!$C:$BQ,40,0)</f>
        <v>#N/A</v>
      </c>
      <c r="N285" s="107" t="e">
        <f>VLOOKUP($A285,'S45'!$C:$BQ,22,0)</f>
        <v>#N/A</v>
      </c>
      <c r="O285" s="115" t="e">
        <f>VLOOKUP($A285,'S45'!$C:$BQ,29,0)</f>
        <v>#N/A</v>
      </c>
      <c r="P285" s="115" t="e">
        <f>VLOOKUP($A285,'S45'!$C:$BQ,30,0)</f>
        <v>#N/A</v>
      </c>
      <c r="Q285" s="115" t="e">
        <f>VLOOKUP($A285,'S45'!$C:$BQ,52,0)</f>
        <v>#N/A</v>
      </c>
      <c r="R285" s="115" t="e">
        <f>VLOOKUP($A285,'S45'!$C:$BQ,59,0)</f>
        <v>#N/A</v>
      </c>
      <c r="S285" s="115" t="e">
        <f>VLOOKUP($A285,'S45'!$C:$BQ,60,0)</f>
        <v>#N/A</v>
      </c>
      <c r="T285" s="107" t="e">
        <f>VLOOKUP($A285,'S46'!$C:$BQ,32,0)</f>
        <v>#N/A</v>
      </c>
      <c r="U285" s="107" t="e">
        <f>VLOOKUP($A285,'S46'!$C:$BQ,39,0)</f>
        <v>#N/A</v>
      </c>
      <c r="V285" s="107" t="e">
        <f>VLOOKUP($A285,'S46'!$C:$BQ,40,0)</f>
        <v>#N/A</v>
      </c>
      <c r="W285" s="107" t="e">
        <f>VLOOKUP($A285,'S46'!$C:$BQ,22,0)</f>
        <v>#N/A</v>
      </c>
      <c r="X285" s="115" t="e">
        <f>VLOOKUP($A285,'S46'!$C:$BQ,29,0)</f>
        <v>#N/A</v>
      </c>
      <c r="Y285" s="115" t="e">
        <f>VLOOKUP($A285,'S46'!$C:$BQ,30,0)</f>
        <v>#N/A</v>
      </c>
      <c r="Z285" s="115" t="e">
        <f>VLOOKUP($A285,'S46'!$C:$BQ,52,0)</f>
        <v>#N/A</v>
      </c>
      <c r="AA285" s="115" t="e">
        <f>VLOOKUP($A285,'S46'!$C:$BQ,59,0)</f>
        <v>#N/A</v>
      </c>
      <c r="AB285" s="115" t="e">
        <f>VLOOKUP($A285,'S46'!$C:$BQ,60,0)</f>
        <v>#N/A</v>
      </c>
      <c r="AC285" s="107" t="e">
        <f>VLOOKUP($A285,'S47'!$C:$BQ,32,0)</f>
        <v>#N/A</v>
      </c>
      <c r="AD285" s="107" t="e">
        <f>VLOOKUP($A285,'S47'!$C:$BQ,39,0)</f>
        <v>#N/A</v>
      </c>
      <c r="AE285" s="107" t="e">
        <f>VLOOKUP($A285,'S47'!$C:$BQ,40,0)</f>
        <v>#N/A</v>
      </c>
      <c r="AF285" s="107" t="e">
        <f>VLOOKUP($A285,'S47'!$C:$BQ,22,0)</f>
        <v>#N/A</v>
      </c>
      <c r="AG285" s="115" t="e">
        <f>VLOOKUP($A285,'S47'!$C:$BQ,29,0)</f>
        <v>#N/A</v>
      </c>
      <c r="AH285" s="115" t="e">
        <f>VLOOKUP($A285,'S47'!$C:$BQ,30,0)</f>
        <v>#N/A</v>
      </c>
      <c r="AI285" s="115" t="e">
        <f>VLOOKUP($A285,'S47'!$C:$BQ,52,0)</f>
        <v>#N/A</v>
      </c>
      <c r="AJ285" s="115" t="e">
        <f>VLOOKUP($A285,'S47'!$C:$BQ,59,0)</f>
        <v>#N/A</v>
      </c>
      <c r="AK285" s="115" t="e">
        <f>VLOOKUP($A285,'S47'!$C:$BQ,60,0)</f>
        <v>#N/A</v>
      </c>
      <c r="AL285" s="107" t="e">
        <f>VLOOKUP($A285,'S48'!$C:$BQ,32,0)</f>
        <v>#N/A</v>
      </c>
      <c r="AM285" s="107" t="e">
        <f>VLOOKUP($A285,'S48'!$C:$BQ,39,0)</f>
        <v>#N/A</v>
      </c>
      <c r="AN285" s="107" t="e">
        <f>VLOOKUP($A285,'S48'!$C:$BQ,40,0)</f>
        <v>#N/A</v>
      </c>
      <c r="AO285" s="107" t="e">
        <f>VLOOKUP($A285,'S48'!$C:$BQ,22,0)</f>
        <v>#N/A</v>
      </c>
      <c r="AP285" s="115" t="e">
        <f>VLOOKUP($A285,'S48'!$C:$BQ,29,0)</f>
        <v>#N/A</v>
      </c>
      <c r="AQ285" s="115" t="e">
        <f>VLOOKUP($A285,'S48'!$C:$BQ,30,0)</f>
        <v>#N/A</v>
      </c>
      <c r="AR285" s="115" t="e">
        <f>VLOOKUP($A285,'S48'!$C:$BQ,52,0)</f>
        <v>#N/A</v>
      </c>
      <c r="AS285" s="115" t="e">
        <f>VLOOKUP($A285,'S48'!$C:$BQ,59,0)</f>
        <v>#N/A</v>
      </c>
      <c r="AT285" s="115" t="e">
        <f>VLOOKUP($A285,'S48'!$C:$BQ,60,0)</f>
        <v>#N/A</v>
      </c>
      <c r="AU285" s="107" t="e">
        <f>VLOOKUP($A285,'S49'!$C:$BQ,32,0)</f>
        <v>#N/A</v>
      </c>
      <c r="AV285" s="107" t="e">
        <f>VLOOKUP($A285,'S49'!$C:$BQ,39,0)</f>
        <v>#N/A</v>
      </c>
      <c r="AW285" s="107" t="e">
        <f>VLOOKUP($A285,'S49'!$C:$BQ,40,0)</f>
        <v>#N/A</v>
      </c>
      <c r="AX285" s="107" t="e">
        <f>VLOOKUP($A285,'S49'!$C:$BQ,22,0)</f>
        <v>#N/A</v>
      </c>
      <c r="AY285" s="115" t="e">
        <f>VLOOKUP($A285,'S49'!$C:$BQ,29,0)</f>
        <v>#N/A</v>
      </c>
      <c r="AZ285" s="115" t="e">
        <f>VLOOKUP($A285,'S49'!$C:$BQ,30,0)</f>
        <v>#N/A</v>
      </c>
      <c r="BA285" s="115" t="e">
        <f>VLOOKUP($A285,'S49'!$C:$BQ,52,0)</f>
        <v>#N/A</v>
      </c>
      <c r="BB285" s="115" t="e">
        <f>VLOOKUP($A285,'S49'!$C:$BQ,59,0)</f>
        <v>#N/A</v>
      </c>
      <c r="BC285" s="115" t="e">
        <f>VLOOKUP($A285,'S49'!$C:$BQ,60,0)</f>
        <v>#N/A</v>
      </c>
      <c r="BD285" s="107" t="e">
        <f>VLOOKUP($A285,'S50'!$C:$BQ,32,0)</f>
        <v>#N/A</v>
      </c>
      <c r="BE285" s="107" t="e">
        <f>VLOOKUP($A285,'S50'!$C:$BQ,39,0)</f>
        <v>#N/A</v>
      </c>
      <c r="BF285" s="107" t="e">
        <f>VLOOKUP($A285,'S50'!$C:$BQ,40,0)</f>
        <v>#N/A</v>
      </c>
      <c r="BG285" s="107" t="e">
        <f>VLOOKUP($A285,'S50'!$C:$BQ,22,0)</f>
        <v>#N/A</v>
      </c>
      <c r="BH285" s="115" t="e">
        <f>VLOOKUP($A285,'S50'!$C:$BQ,29,0)</f>
        <v>#N/A</v>
      </c>
      <c r="BI285" s="115" t="e">
        <f>VLOOKUP($A285,'S50'!$C:$BQ,30,0)</f>
        <v>#N/A</v>
      </c>
      <c r="BJ285" s="115" t="e">
        <f>VLOOKUP($A285,'S50'!$C:$BQ,52,0)</f>
        <v>#N/A</v>
      </c>
      <c r="BK285" s="115" t="e">
        <f>VLOOKUP($A285,'S50'!$C:$BQ,59,0)</f>
        <v>#N/A</v>
      </c>
      <c r="BL285" s="115" t="e">
        <f>VLOOKUP($A285,'S50'!$C:$BQ,60,0)</f>
        <v>#N/A</v>
      </c>
    </row>
    <row r="286" spans="1:64" x14ac:dyDescent="0.2">
      <c r="A286" s="106" t="s">
        <v>361</v>
      </c>
      <c r="B286" s="107">
        <f>VLOOKUP($A286,'S0 remplacer avec S44'!$C:$BQ,32,0)</f>
        <v>294.14999999999998</v>
      </c>
      <c r="C286" s="107">
        <f>VLOOKUP($A286,'S0 remplacer avec S44'!$C:$BQ,39,0)</f>
        <v>22</v>
      </c>
      <c r="D286" s="107">
        <f>VLOOKUP($A286,'S0 remplacer avec S44'!$C:$BQ,40,0)</f>
        <v>85</v>
      </c>
      <c r="E286" s="107">
        <f>VLOOKUP($A286,'S0 remplacer avec S44'!$C:$BQ,22,0)</f>
        <v>3122.2858449999999</v>
      </c>
      <c r="F286" s="115">
        <f>VLOOKUP($A286,'S0 remplacer avec S44'!$C:$BQ,29,0)</f>
        <v>0</v>
      </c>
      <c r="G286" s="115">
        <f>VLOOKUP($A286,'S0 remplacer avec S44'!$C:$BQ,30,0)</f>
        <v>326</v>
      </c>
      <c r="H286" s="115">
        <f>VLOOKUP($A286,'S0 remplacer avec S44'!$C:$BQ,52,0)</f>
        <v>185.2</v>
      </c>
      <c r="I286" s="115">
        <f>VLOOKUP($A286,'S0 remplacer avec S44'!$C:$BQ,59,0)</f>
        <v>0</v>
      </c>
      <c r="J286" s="115">
        <f>VLOOKUP($A286,'S0 remplacer avec S44'!$C:$BQ,60,0)</f>
        <v>8</v>
      </c>
      <c r="K286" s="107" t="e">
        <f>VLOOKUP($A286,'S45'!$C:$BQ,32,0)</f>
        <v>#N/A</v>
      </c>
      <c r="L286" s="107" t="e">
        <f>VLOOKUP($A286,'S45'!$C:$BQ,39,0)</f>
        <v>#N/A</v>
      </c>
      <c r="M286" s="107" t="e">
        <f>VLOOKUP($A286,'S45'!$C:$BQ,40,0)</f>
        <v>#N/A</v>
      </c>
      <c r="N286" s="107" t="e">
        <f>VLOOKUP($A286,'S45'!$C:$BQ,22,0)</f>
        <v>#N/A</v>
      </c>
      <c r="O286" s="115" t="e">
        <f>VLOOKUP($A286,'S45'!$C:$BQ,29,0)</f>
        <v>#N/A</v>
      </c>
      <c r="P286" s="115" t="e">
        <f>VLOOKUP($A286,'S45'!$C:$BQ,30,0)</f>
        <v>#N/A</v>
      </c>
      <c r="Q286" s="115" t="e">
        <f>VLOOKUP($A286,'S45'!$C:$BQ,52,0)</f>
        <v>#N/A</v>
      </c>
      <c r="R286" s="115" t="e">
        <f>VLOOKUP($A286,'S45'!$C:$BQ,59,0)</f>
        <v>#N/A</v>
      </c>
      <c r="S286" s="115" t="e">
        <f>VLOOKUP($A286,'S45'!$C:$BQ,60,0)</f>
        <v>#N/A</v>
      </c>
      <c r="T286" s="107" t="e">
        <f>VLOOKUP($A286,'S46'!$C:$BQ,32,0)</f>
        <v>#N/A</v>
      </c>
      <c r="U286" s="107" t="e">
        <f>VLOOKUP($A286,'S46'!$C:$BQ,39,0)</f>
        <v>#N/A</v>
      </c>
      <c r="V286" s="107" t="e">
        <f>VLOOKUP($A286,'S46'!$C:$BQ,40,0)</f>
        <v>#N/A</v>
      </c>
      <c r="W286" s="107" t="e">
        <f>VLOOKUP($A286,'S46'!$C:$BQ,22,0)</f>
        <v>#N/A</v>
      </c>
      <c r="X286" s="115" t="e">
        <f>VLOOKUP($A286,'S46'!$C:$BQ,29,0)</f>
        <v>#N/A</v>
      </c>
      <c r="Y286" s="115" t="e">
        <f>VLOOKUP($A286,'S46'!$C:$BQ,30,0)</f>
        <v>#N/A</v>
      </c>
      <c r="Z286" s="115" t="e">
        <f>VLOOKUP($A286,'S46'!$C:$BQ,52,0)</f>
        <v>#N/A</v>
      </c>
      <c r="AA286" s="115" t="e">
        <f>VLOOKUP($A286,'S46'!$C:$BQ,59,0)</f>
        <v>#N/A</v>
      </c>
      <c r="AB286" s="115" t="e">
        <f>VLOOKUP($A286,'S46'!$C:$BQ,60,0)</f>
        <v>#N/A</v>
      </c>
      <c r="AC286" s="107" t="e">
        <f>VLOOKUP($A286,'S47'!$C:$BQ,32,0)</f>
        <v>#N/A</v>
      </c>
      <c r="AD286" s="107" t="e">
        <f>VLOOKUP($A286,'S47'!$C:$BQ,39,0)</f>
        <v>#N/A</v>
      </c>
      <c r="AE286" s="107" t="e">
        <f>VLOOKUP($A286,'S47'!$C:$BQ,40,0)</f>
        <v>#N/A</v>
      </c>
      <c r="AF286" s="107" t="e">
        <f>VLOOKUP($A286,'S47'!$C:$BQ,22,0)</f>
        <v>#N/A</v>
      </c>
      <c r="AG286" s="115" t="e">
        <f>VLOOKUP($A286,'S47'!$C:$BQ,29,0)</f>
        <v>#N/A</v>
      </c>
      <c r="AH286" s="115" t="e">
        <f>VLOOKUP($A286,'S47'!$C:$BQ,30,0)</f>
        <v>#N/A</v>
      </c>
      <c r="AI286" s="115" t="e">
        <f>VLOOKUP($A286,'S47'!$C:$BQ,52,0)</f>
        <v>#N/A</v>
      </c>
      <c r="AJ286" s="115" t="e">
        <f>VLOOKUP($A286,'S47'!$C:$BQ,59,0)</f>
        <v>#N/A</v>
      </c>
      <c r="AK286" s="115" t="e">
        <f>VLOOKUP($A286,'S47'!$C:$BQ,60,0)</f>
        <v>#N/A</v>
      </c>
      <c r="AL286" s="107" t="e">
        <f>VLOOKUP($A286,'S48'!$C:$BQ,32,0)</f>
        <v>#N/A</v>
      </c>
      <c r="AM286" s="107" t="e">
        <f>VLOOKUP($A286,'S48'!$C:$BQ,39,0)</f>
        <v>#N/A</v>
      </c>
      <c r="AN286" s="107" t="e">
        <f>VLOOKUP($A286,'S48'!$C:$BQ,40,0)</f>
        <v>#N/A</v>
      </c>
      <c r="AO286" s="107" t="e">
        <f>VLOOKUP($A286,'S48'!$C:$BQ,22,0)</f>
        <v>#N/A</v>
      </c>
      <c r="AP286" s="115" t="e">
        <f>VLOOKUP($A286,'S48'!$C:$BQ,29,0)</f>
        <v>#N/A</v>
      </c>
      <c r="AQ286" s="115" t="e">
        <f>VLOOKUP($A286,'S48'!$C:$BQ,30,0)</f>
        <v>#N/A</v>
      </c>
      <c r="AR286" s="115" t="e">
        <f>VLOOKUP($A286,'S48'!$C:$BQ,52,0)</f>
        <v>#N/A</v>
      </c>
      <c r="AS286" s="115" t="e">
        <f>VLOOKUP($A286,'S48'!$C:$BQ,59,0)</f>
        <v>#N/A</v>
      </c>
      <c r="AT286" s="115" t="e">
        <f>VLOOKUP($A286,'S48'!$C:$BQ,60,0)</f>
        <v>#N/A</v>
      </c>
      <c r="AU286" s="107" t="e">
        <f>VLOOKUP($A286,'S49'!$C:$BQ,32,0)</f>
        <v>#N/A</v>
      </c>
      <c r="AV286" s="107" t="e">
        <f>VLOOKUP($A286,'S49'!$C:$BQ,39,0)</f>
        <v>#N/A</v>
      </c>
      <c r="AW286" s="107" t="e">
        <f>VLOOKUP($A286,'S49'!$C:$BQ,40,0)</f>
        <v>#N/A</v>
      </c>
      <c r="AX286" s="107" t="e">
        <f>VLOOKUP($A286,'S49'!$C:$BQ,22,0)</f>
        <v>#N/A</v>
      </c>
      <c r="AY286" s="115" t="e">
        <f>VLOOKUP($A286,'S49'!$C:$BQ,29,0)</f>
        <v>#N/A</v>
      </c>
      <c r="AZ286" s="115" t="e">
        <f>VLOOKUP($A286,'S49'!$C:$BQ,30,0)</f>
        <v>#N/A</v>
      </c>
      <c r="BA286" s="115" t="e">
        <f>VLOOKUP($A286,'S49'!$C:$BQ,52,0)</f>
        <v>#N/A</v>
      </c>
      <c r="BB286" s="115" t="e">
        <f>VLOOKUP($A286,'S49'!$C:$BQ,59,0)</f>
        <v>#N/A</v>
      </c>
      <c r="BC286" s="115" t="e">
        <f>VLOOKUP($A286,'S49'!$C:$BQ,60,0)</f>
        <v>#N/A</v>
      </c>
      <c r="BD286" s="107" t="e">
        <f>VLOOKUP($A286,'S50'!$C:$BQ,32,0)</f>
        <v>#N/A</v>
      </c>
      <c r="BE286" s="107" t="e">
        <f>VLOOKUP($A286,'S50'!$C:$BQ,39,0)</f>
        <v>#N/A</v>
      </c>
      <c r="BF286" s="107" t="e">
        <f>VLOOKUP($A286,'S50'!$C:$BQ,40,0)</f>
        <v>#N/A</v>
      </c>
      <c r="BG286" s="107" t="e">
        <f>VLOOKUP($A286,'S50'!$C:$BQ,22,0)</f>
        <v>#N/A</v>
      </c>
      <c r="BH286" s="115" t="e">
        <f>VLOOKUP($A286,'S50'!$C:$BQ,29,0)</f>
        <v>#N/A</v>
      </c>
      <c r="BI286" s="115" t="e">
        <f>VLOOKUP($A286,'S50'!$C:$BQ,30,0)</f>
        <v>#N/A</v>
      </c>
      <c r="BJ286" s="115" t="e">
        <f>VLOOKUP($A286,'S50'!$C:$BQ,52,0)</f>
        <v>#N/A</v>
      </c>
      <c r="BK286" s="115" t="e">
        <f>VLOOKUP($A286,'S50'!$C:$BQ,59,0)</f>
        <v>#N/A</v>
      </c>
      <c r="BL286" s="115" t="e">
        <f>VLOOKUP($A286,'S50'!$C:$BQ,60,0)</f>
        <v>#N/A</v>
      </c>
    </row>
    <row r="287" spans="1:64" x14ac:dyDescent="0.2">
      <c r="A287" s="106" t="s">
        <v>362</v>
      </c>
      <c r="B287" s="107">
        <f>VLOOKUP($A287,'S0 remplacer avec S44'!$C:$BQ,32,0)</f>
        <v>173</v>
      </c>
      <c r="C287" s="107">
        <f>VLOOKUP($A287,'S0 remplacer avec S44'!$C:$BQ,39,0)</f>
        <v>0</v>
      </c>
      <c r="D287" s="107">
        <f>VLOOKUP($A287,'S0 remplacer avec S44'!$C:$BQ,40,0)</f>
        <v>0</v>
      </c>
      <c r="E287" s="107">
        <f>VLOOKUP($A287,'S0 remplacer avec S44'!$C:$BQ,22,0)</f>
        <v>1861.2276099999999</v>
      </c>
      <c r="F287" s="115">
        <f>VLOOKUP($A287,'S0 remplacer avec S44'!$C:$BQ,29,0)</f>
        <v>0</v>
      </c>
      <c r="G287" s="115">
        <f>VLOOKUP($A287,'S0 remplacer avec S44'!$C:$BQ,30,0)</f>
        <v>0</v>
      </c>
      <c r="H287" s="115">
        <f>VLOOKUP($A287,'S0 remplacer avec S44'!$C:$BQ,52,0)</f>
        <v>85.4</v>
      </c>
      <c r="I287" s="115">
        <f>VLOOKUP($A287,'S0 remplacer avec S44'!$C:$BQ,59,0)</f>
        <v>0</v>
      </c>
      <c r="J287" s="115">
        <f>VLOOKUP($A287,'S0 remplacer avec S44'!$C:$BQ,60,0)</f>
        <v>0</v>
      </c>
      <c r="K287" s="107" t="e">
        <f>VLOOKUP($A287,'S45'!$C:$BQ,32,0)</f>
        <v>#N/A</v>
      </c>
      <c r="L287" s="107" t="e">
        <f>VLOOKUP($A287,'S45'!$C:$BQ,39,0)</f>
        <v>#N/A</v>
      </c>
      <c r="M287" s="107" t="e">
        <f>VLOOKUP($A287,'S45'!$C:$BQ,40,0)</f>
        <v>#N/A</v>
      </c>
      <c r="N287" s="107" t="e">
        <f>VLOOKUP($A287,'S45'!$C:$BQ,22,0)</f>
        <v>#N/A</v>
      </c>
      <c r="O287" s="115" t="e">
        <f>VLOOKUP($A287,'S45'!$C:$BQ,29,0)</f>
        <v>#N/A</v>
      </c>
      <c r="P287" s="115" t="e">
        <f>VLOOKUP($A287,'S45'!$C:$BQ,30,0)</f>
        <v>#N/A</v>
      </c>
      <c r="Q287" s="115" t="e">
        <f>VLOOKUP($A287,'S45'!$C:$BQ,52,0)</f>
        <v>#N/A</v>
      </c>
      <c r="R287" s="115" t="e">
        <f>VLOOKUP($A287,'S45'!$C:$BQ,59,0)</f>
        <v>#N/A</v>
      </c>
      <c r="S287" s="115" t="e">
        <f>VLOOKUP($A287,'S45'!$C:$BQ,60,0)</f>
        <v>#N/A</v>
      </c>
      <c r="T287" s="107" t="e">
        <f>VLOOKUP($A287,'S46'!$C:$BQ,32,0)</f>
        <v>#N/A</v>
      </c>
      <c r="U287" s="107" t="e">
        <f>VLOOKUP($A287,'S46'!$C:$BQ,39,0)</f>
        <v>#N/A</v>
      </c>
      <c r="V287" s="107" t="e">
        <f>VLOOKUP($A287,'S46'!$C:$BQ,40,0)</f>
        <v>#N/A</v>
      </c>
      <c r="W287" s="107" t="e">
        <f>VLOOKUP($A287,'S46'!$C:$BQ,22,0)</f>
        <v>#N/A</v>
      </c>
      <c r="X287" s="115" t="e">
        <f>VLOOKUP($A287,'S46'!$C:$BQ,29,0)</f>
        <v>#N/A</v>
      </c>
      <c r="Y287" s="115" t="e">
        <f>VLOOKUP($A287,'S46'!$C:$BQ,30,0)</f>
        <v>#N/A</v>
      </c>
      <c r="Z287" s="115" t="e">
        <f>VLOOKUP($A287,'S46'!$C:$BQ,52,0)</f>
        <v>#N/A</v>
      </c>
      <c r="AA287" s="115" t="e">
        <f>VLOOKUP($A287,'S46'!$C:$BQ,59,0)</f>
        <v>#N/A</v>
      </c>
      <c r="AB287" s="115" t="e">
        <f>VLOOKUP($A287,'S46'!$C:$BQ,60,0)</f>
        <v>#N/A</v>
      </c>
      <c r="AC287" s="107" t="e">
        <f>VLOOKUP($A287,'S47'!$C:$BQ,32,0)</f>
        <v>#N/A</v>
      </c>
      <c r="AD287" s="107" t="e">
        <f>VLOOKUP($A287,'S47'!$C:$BQ,39,0)</f>
        <v>#N/A</v>
      </c>
      <c r="AE287" s="107" t="e">
        <f>VLOOKUP($A287,'S47'!$C:$BQ,40,0)</f>
        <v>#N/A</v>
      </c>
      <c r="AF287" s="107" t="e">
        <f>VLOOKUP($A287,'S47'!$C:$BQ,22,0)</f>
        <v>#N/A</v>
      </c>
      <c r="AG287" s="115" t="e">
        <f>VLOOKUP($A287,'S47'!$C:$BQ,29,0)</f>
        <v>#N/A</v>
      </c>
      <c r="AH287" s="115" t="e">
        <f>VLOOKUP($A287,'S47'!$C:$BQ,30,0)</f>
        <v>#N/A</v>
      </c>
      <c r="AI287" s="115" t="e">
        <f>VLOOKUP($A287,'S47'!$C:$BQ,52,0)</f>
        <v>#N/A</v>
      </c>
      <c r="AJ287" s="115" t="e">
        <f>VLOOKUP($A287,'S47'!$C:$BQ,59,0)</f>
        <v>#N/A</v>
      </c>
      <c r="AK287" s="115" t="e">
        <f>VLOOKUP($A287,'S47'!$C:$BQ,60,0)</f>
        <v>#N/A</v>
      </c>
      <c r="AL287" s="107" t="e">
        <f>VLOOKUP($A287,'S48'!$C:$BQ,32,0)</f>
        <v>#N/A</v>
      </c>
      <c r="AM287" s="107" t="e">
        <f>VLOOKUP($A287,'S48'!$C:$BQ,39,0)</f>
        <v>#N/A</v>
      </c>
      <c r="AN287" s="107" t="e">
        <f>VLOOKUP($A287,'S48'!$C:$BQ,40,0)</f>
        <v>#N/A</v>
      </c>
      <c r="AO287" s="107" t="e">
        <f>VLOOKUP($A287,'S48'!$C:$BQ,22,0)</f>
        <v>#N/A</v>
      </c>
      <c r="AP287" s="115" t="e">
        <f>VLOOKUP($A287,'S48'!$C:$BQ,29,0)</f>
        <v>#N/A</v>
      </c>
      <c r="AQ287" s="115" t="e">
        <f>VLOOKUP($A287,'S48'!$C:$BQ,30,0)</f>
        <v>#N/A</v>
      </c>
      <c r="AR287" s="115" t="e">
        <f>VLOOKUP($A287,'S48'!$C:$BQ,52,0)</f>
        <v>#N/A</v>
      </c>
      <c r="AS287" s="115" t="e">
        <f>VLOOKUP($A287,'S48'!$C:$BQ,59,0)</f>
        <v>#N/A</v>
      </c>
      <c r="AT287" s="115" t="e">
        <f>VLOOKUP($A287,'S48'!$C:$BQ,60,0)</f>
        <v>#N/A</v>
      </c>
      <c r="AU287" s="107" t="e">
        <f>VLOOKUP($A287,'S49'!$C:$BQ,32,0)</f>
        <v>#N/A</v>
      </c>
      <c r="AV287" s="107" t="e">
        <f>VLOOKUP($A287,'S49'!$C:$BQ,39,0)</f>
        <v>#N/A</v>
      </c>
      <c r="AW287" s="107" t="e">
        <f>VLOOKUP($A287,'S49'!$C:$BQ,40,0)</f>
        <v>#N/A</v>
      </c>
      <c r="AX287" s="107" t="e">
        <f>VLOOKUP($A287,'S49'!$C:$BQ,22,0)</f>
        <v>#N/A</v>
      </c>
      <c r="AY287" s="115" t="e">
        <f>VLOOKUP($A287,'S49'!$C:$BQ,29,0)</f>
        <v>#N/A</v>
      </c>
      <c r="AZ287" s="115" t="e">
        <f>VLOOKUP($A287,'S49'!$C:$BQ,30,0)</f>
        <v>#N/A</v>
      </c>
      <c r="BA287" s="115" t="e">
        <f>VLOOKUP($A287,'S49'!$C:$BQ,52,0)</f>
        <v>#N/A</v>
      </c>
      <c r="BB287" s="115" t="e">
        <f>VLOOKUP($A287,'S49'!$C:$BQ,59,0)</f>
        <v>#N/A</v>
      </c>
      <c r="BC287" s="115" t="e">
        <f>VLOOKUP($A287,'S49'!$C:$BQ,60,0)</f>
        <v>#N/A</v>
      </c>
      <c r="BD287" s="107" t="e">
        <f>VLOOKUP($A287,'S50'!$C:$BQ,32,0)</f>
        <v>#N/A</v>
      </c>
      <c r="BE287" s="107" t="e">
        <f>VLOOKUP($A287,'S50'!$C:$BQ,39,0)</f>
        <v>#N/A</v>
      </c>
      <c r="BF287" s="107" t="e">
        <f>VLOOKUP($A287,'S50'!$C:$BQ,40,0)</f>
        <v>#N/A</v>
      </c>
      <c r="BG287" s="107" t="e">
        <f>VLOOKUP($A287,'S50'!$C:$BQ,22,0)</f>
        <v>#N/A</v>
      </c>
      <c r="BH287" s="115" t="e">
        <f>VLOOKUP($A287,'S50'!$C:$BQ,29,0)</f>
        <v>#N/A</v>
      </c>
      <c r="BI287" s="115" t="e">
        <f>VLOOKUP($A287,'S50'!$C:$BQ,30,0)</f>
        <v>#N/A</v>
      </c>
      <c r="BJ287" s="115" t="e">
        <f>VLOOKUP($A287,'S50'!$C:$BQ,52,0)</f>
        <v>#N/A</v>
      </c>
      <c r="BK287" s="115" t="e">
        <f>VLOOKUP($A287,'S50'!$C:$BQ,59,0)</f>
        <v>#N/A</v>
      </c>
      <c r="BL287" s="115" t="e">
        <f>VLOOKUP($A287,'S50'!$C:$BQ,60,0)</f>
        <v>#N/A</v>
      </c>
    </row>
    <row r="288" spans="1:64" x14ac:dyDescent="0.2">
      <c r="A288" s="106" t="s">
        <v>363</v>
      </c>
      <c r="B288" s="107">
        <f>VLOOKUP($A288,'S0 remplacer avec S44'!$C:$BQ,32,0)</f>
        <v>76.7</v>
      </c>
      <c r="C288" s="107">
        <f>VLOOKUP($A288,'S0 remplacer avec S44'!$C:$BQ,39,0)</f>
        <v>51</v>
      </c>
      <c r="D288" s="107">
        <f>VLOOKUP($A288,'S0 remplacer avec S44'!$C:$BQ,40,0)</f>
        <v>76</v>
      </c>
      <c r="E288" s="107">
        <f>VLOOKUP($A288,'S0 remplacer avec S44'!$C:$BQ,22,0)</f>
        <v>896.42077500000005</v>
      </c>
      <c r="F288" s="115">
        <f>VLOOKUP($A288,'S0 remplacer avec S44'!$C:$BQ,29,0)</f>
        <v>261</v>
      </c>
      <c r="G288" s="115">
        <f>VLOOKUP($A288,'S0 remplacer avec S44'!$C:$BQ,30,0)</f>
        <v>493</v>
      </c>
      <c r="H288" s="115">
        <f>VLOOKUP($A288,'S0 remplacer avec S44'!$C:$BQ,52,0)</f>
        <v>55</v>
      </c>
      <c r="I288" s="115">
        <f>VLOOKUP($A288,'S0 remplacer avec S44'!$C:$BQ,59,0)</f>
        <v>10</v>
      </c>
      <c r="J288" s="115">
        <f>VLOOKUP($A288,'S0 remplacer avec S44'!$C:$BQ,60,0)</f>
        <v>23</v>
      </c>
      <c r="K288" s="107" t="e">
        <f>VLOOKUP($A288,'S45'!$C:$BQ,32,0)</f>
        <v>#N/A</v>
      </c>
      <c r="L288" s="107" t="e">
        <f>VLOOKUP($A288,'S45'!$C:$BQ,39,0)</f>
        <v>#N/A</v>
      </c>
      <c r="M288" s="107" t="e">
        <f>VLOOKUP($A288,'S45'!$C:$BQ,40,0)</f>
        <v>#N/A</v>
      </c>
      <c r="N288" s="107" t="e">
        <f>VLOOKUP($A288,'S45'!$C:$BQ,22,0)</f>
        <v>#N/A</v>
      </c>
      <c r="O288" s="115" t="e">
        <f>VLOOKUP($A288,'S45'!$C:$BQ,29,0)</f>
        <v>#N/A</v>
      </c>
      <c r="P288" s="115" t="e">
        <f>VLOOKUP($A288,'S45'!$C:$BQ,30,0)</f>
        <v>#N/A</v>
      </c>
      <c r="Q288" s="115" t="e">
        <f>VLOOKUP($A288,'S45'!$C:$BQ,52,0)</f>
        <v>#N/A</v>
      </c>
      <c r="R288" s="115" t="e">
        <f>VLOOKUP($A288,'S45'!$C:$BQ,59,0)</f>
        <v>#N/A</v>
      </c>
      <c r="S288" s="115" t="e">
        <f>VLOOKUP($A288,'S45'!$C:$BQ,60,0)</f>
        <v>#N/A</v>
      </c>
      <c r="T288" s="107" t="e">
        <f>VLOOKUP($A288,'S46'!$C:$BQ,32,0)</f>
        <v>#N/A</v>
      </c>
      <c r="U288" s="107" t="e">
        <f>VLOOKUP($A288,'S46'!$C:$BQ,39,0)</f>
        <v>#N/A</v>
      </c>
      <c r="V288" s="107" t="e">
        <f>VLOOKUP($A288,'S46'!$C:$BQ,40,0)</f>
        <v>#N/A</v>
      </c>
      <c r="W288" s="107" t="e">
        <f>VLOOKUP($A288,'S46'!$C:$BQ,22,0)</f>
        <v>#N/A</v>
      </c>
      <c r="X288" s="115" t="e">
        <f>VLOOKUP($A288,'S46'!$C:$BQ,29,0)</f>
        <v>#N/A</v>
      </c>
      <c r="Y288" s="115" t="e">
        <f>VLOOKUP($A288,'S46'!$C:$BQ,30,0)</f>
        <v>#N/A</v>
      </c>
      <c r="Z288" s="115" t="e">
        <f>VLOOKUP($A288,'S46'!$C:$BQ,52,0)</f>
        <v>#N/A</v>
      </c>
      <c r="AA288" s="115" t="e">
        <f>VLOOKUP($A288,'S46'!$C:$BQ,59,0)</f>
        <v>#N/A</v>
      </c>
      <c r="AB288" s="115" t="e">
        <f>VLOOKUP($A288,'S46'!$C:$BQ,60,0)</f>
        <v>#N/A</v>
      </c>
      <c r="AC288" s="107" t="e">
        <f>VLOOKUP($A288,'S47'!$C:$BQ,32,0)</f>
        <v>#N/A</v>
      </c>
      <c r="AD288" s="107" t="e">
        <f>VLOOKUP($A288,'S47'!$C:$BQ,39,0)</f>
        <v>#N/A</v>
      </c>
      <c r="AE288" s="107" t="e">
        <f>VLOOKUP($A288,'S47'!$C:$BQ,40,0)</f>
        <v>#N/A</v>
      </c>
      <c r="AF288" s="107" t="e">
        <f>VLOOKUP($A288,'S47'!$C:$BQ,22,0)</f>
        <v>#N/A</v>
      </c>
      <c r="AG288" s="115" t="e">
        <f>VLOOKUP($A288,'S47'!$C:$BQ,29,0)</f>
        <v>#N/A</v>
      </c>
      <c r="AH288" s="115" t="e">
        <f>VLOOKUP($A288,'S47'!$C:$BQ,30,0)</f>
        <v>#N/A</v>
      </c>
      <c r="AI288" s="115" t="e">
        <f>VLOOKUP($A288,'S47'!$C:$BQ,52,0)</f>
        <v>#N/A</v>
      </c>
      <c r="AJ288" s="115" t="e">
        <f>VLOOKUP($A288,'S47'!$C:$BQ,59,0)</f>
        <v>#N/A</v>
      </c>
      <c r="AK288" s="115" t="e">
        <f>VLOOKUP($A288,'S47'!$C:$BQ,60,0)</f>
        <v>#N/A</v>
      </c>
      <c r="AL288" s="107" t="e">
        <f>VLOOKUP($A288,'S48'!$C:$BQ,32,0)</f>
        <v>#N/A</v>
      </c>
      <c r="AM288" s="107" t="e">
        <f>VLOOKUP($A288,'S48'!$C:$BQ,39,0)</f>
        <v>#N/A</v>
      </c>
      <c r="AN288" s="107" t="e">
        <f>VLOOKUP($A288,'S48'!$C:$BQ,40,0)</f>
        <v>#N/A</v>
      </c>
      <c r="AO288" s="107" t="e">
        <f>VLOOKUP($A288,'S48'!$C:$BQ,22,0)</f>
        <v>#N/A</v>
      </c>
      <c r="AP288" s="115" t="e">
        <f>VLOOKUP($A288,'S48'!$C:$BQ,29,0)</f>
        <v>#N/A</v>
      </c>
      <c r="AQ288" s="115" t="e">
        <f>VLOOKUP($A288,'S48'!$C:$BQ,30,0)</f>
        <v>#N/A</v>
      </c>
      <c r="AR288" s="115" t="e">
        <f>VLOOKUP($A288,'S48'!$C:$BQ,52,0)</f>
        <v>#N/A</v>
      </c>
      <c r="AS288" s="115" t="e">
        <f>VLOOKUP($A288,'S48'!$C:$BQ,59,0)</f>
        <v>#N/A</v>
      </c>
      <c r="AT288" s="115" t="e">
        <f>VLOOKUP($A288,'S48'!$C:$BQ,60,0)</f>
        <v>#N/A</v>
      </c>
      <c r="AU288" s="107" t="e">
        <f>VLOOKUP($A288,'S49'!$C:$BQ,32,0)</f>
        <v>#N/A</v>
      </c>
      <c r="AV288" s="107" t="e">
        <f>VLOOKUP($A288,'S49'!$C:$BQ,39,0)</f>
        <v>#N/A</v>
      </c>
      <c r="AW288" s="107" t="e">
        <f>VLOOKUP($A288,'S49'!$C:$BQ,40,0)</f>
        <v>#N/A</v>
      </c>
      <c r="AX288" s="107" t="e">
        <f>VLOOKUP($A288,'S49'!$C:$BQ,22,0)</f>
        <v>#N/A</v>
      </c>
      <c r="AY288" s="115" t="e">
        <f>VLOOKUP($A288,'S49'!$C:$BQ,29,0)</f>
        <v>#N/A</v>
      </c>
      <c r="AZ288" s="115" t="e">
        <f>VLOOKUP($A288,'S49'!$C:$BQ,30,0)</f>
        <v>#N/A</v>
      </c>
      <c r="BA288" s="115" t="e">
        <f>VLOOKUP($A288,'S49'!$C:$BQ,52,0)</f>
        <v>#N/A</v>
      </c>
      <c r="BB288" s="115" t="e">
        <f>VLOOKUP($A288,'S49'!$C:$BQ,59,0)</f>
        <v>#N/A</v>
      </c>
      <c r="BC288" s="115" t="e">
        <f>VLOOKUP($A288,'S49'!$C:$BQ,60,0)</f>
        <v>#N/A</v>
      </c>
      <c r="BD288" s="107" t="e">
        <f>VLOOKUP($A288,'S50'!$C:$BQ,32,0)</f>
        <v>#N/A</v>
      </c>
      <c r="BE288" s="107" t="e">
        <f>VLOOKUP($A288,'S50'!$C:$BQ,39,0)</f>
        <v>#N/A</v>
      </c>
      <c r="BF288" s="107" t="e">
        <f>VLOOKUP($A288,'S50'!$C:$BQ,40,0)</f>
        <v>#N/A</v>
      </c>
      <c r="BG288" s="107" t="e">
        <f>VLOOKUP($A288,'S50'!$C:$BQ,22,0)</f>
        <v>#N/A</v>
      </c>
      <c r="BH288" s="115" t="e">
        <f>VLOOKUP($A288,'S50'!$C:$BQ,29,0)</f>
        <v>#N/A</v>
      </c>
      <c r="BI288" s="115" t="e">
        <f>VLOOKUP($A288,'S50'!$C:$BQ,30,0)</f>
        <v>#N/A</v>
      </c>
      <c r="BJ288" s="115" t="e">
        <f>VLOOKUP($A288,'S50'!$C:$BQ,52,0)</f>
        <v>#N/A</v>
      </c>
      <c r="BK288" s="115" t="e">
        <f>VLOOKUP($A288,'S50'!$C:$BQ,59,0)</f>
        <v>#N/A</v>
      </c>
      <c r="BL288" s="115" t="e">
        <f>VLOOKUP($A288,'S50'!$C:$BQ,60,0)</f>
        <v>#N/A</v>
      </c>
    </row>
    <row r="289" spans="1:64" x14ac:dyDescent="0.2">
      <c r="A289" s="106" t="s">
        <v>364</v>
      </c>
      <c r="B289" s="107">
        <f>VLOOKUP($A289,'S0 remplacer avec S44'!$C:$BQ,32,0)</f>
        <v>92.4</v>
      </c>
      <c r="C289" s="107">
        <f>VLOOKUP($A289,'S0 remplacer avec S44'!$C:$BQ,39,0)</f>
        <v>90</v>
      </c>
      <c r="D289" s="107">
        <f>VLOOKUP($A289,'S0 remplacer avec S44'!$C:$BQ,40,0)</f>
        <v>127</v>
      </c>
      <c r="E289" s="107">
        <f>VLOOKUP($A289,'S0 remplacer avec S44'!$C:$BQ,22,0)</f>
        <v>1364.4360650000001</v>
      </c>
      <c r="F289" s="115">
        <f>VLOOKUP($A289,'S0 remplacer avec S44'!$C:$BQ,29,0)</f>
        <v>294</v>
      </c>
      <c r="G289" s="115">
        <f>VLOOKUP($A289,'S0 remplacer avec S44'!$C:$BQ,30,0)</f>
        <v>626</v>
      </c>
      <c r="H289" s="115">
        <f>VLOOKUP($A289,'S0 remplacer avec S44'!$C:$BQ,52,0)</f>
        <v>63.2</v>
      </c>
      <c r="I289" s="115">
        <f>VLOOKUP($A289,'S0 remplacer avec S44'!$C:$BQ,59,0)</f>
        <v>30</v>
      </c>
      <c r="J289" s="115">
        <f>VLOOKUP($A289,'S0 remplacer avec S44'!$C:$BQ,60,0)</f>
        <v>48</v>
      </c>
      <c r="K289" s="107" t="e">
        <f>VLOOKUP($A289,'S45'!$C:$BQ,32,0)</f>
        <v>#N/A</v>
      </c>
      <c r="L289" s="107" t="e">
        <f>VLOOKUP($A289,'S45'!$C:$BQ,39,0)</f>
        <v>#N/A</v>
      </c>
      <c r="M289" s="107" t="e">
        <f>VLOOKUP($A289,'S45'!$C:$BQ,40,0)</f>
        <v>#N/A</v>
      </c>
      <c r="N289" s="107" t="e">
        <f>VLOOKUP($A289,'S45'!$C:$BQ,22,0)</f>
        <v>#N/A</v>
      </c>
      <c r="O289" s="115" t="e">
        <f>VLOOKUP($A289,'S45'!$C:$BQ,29,0)</f>
        <v>#N/A</v>
      </c>
      <c r="P289" s="115" t="e">
        <f>VLOOKUP($A289,'S45'!$C:$BQ,30,0)</f>
        <v>#N/A</v>
      </c>
      <c r="Q289" s="115" t="e">
        <f>VLOOKUP($A289,'S45'!$C:$BQ,52,0)</f>
        <v>#N/A</v>
      </c>
      <c r="R289" s="115" t="e">
        <f>VLOOKUP($A289,'S45'!$C:$BQ,59,0)</f>
        <v>#N/A</v>
      </c>
      <c r="S289" s="115" t="e">
        <f>VLOOKUP($A289,'S45'!$C:$BQ,60,0)</f>
        <v>#N/A</v>
      </c>
      <c r="T289" s="107" t="e">
        <f>VLOOKUP($A289,'S46'!$C:$BQ,32,0)</f>
        <v>#N/A</v>
      </c>
      <c r="U289" s="107" t="e">
        <f>VLOOKUP($A289,'S46'!$C:$BQ,39,0)</f>
        <v>#N/A</v>
      </c>
      <c r="V289" s="107" t="e">
        <f>VLOOKUP($A289,'S46'!$C:$BQ,40,0)</f>
        <v>#N/A</v>
      </c>
      <c r="W289" s="107" t="e">
        <f>VLOOKUP($A289,'S46'!$C:$BQ,22,0)</f>
        <v>#N/A</v>
      </c>
      <c r="X289" s="115" t="e">
        <f>VLOOKUP($A289,'S46'!$C:$BQ,29,0)</f>
        <v>#N/A</v>
      </c>
      <c r="Y289" s="115" t="e">
        <f>VLOOKUP($A289,'S46'!$C:$BQ,30,0)</f>
        <v>#N/A</v>
      </c>
      <c r="Z289" s="115" t="e">
        <f>VLOOKUP($A289,'S46'!$C:$BQ,52,0)</f>
        <v>#N/A</v>
      </c>
      <c r="AA289" s="115" t="e">
        <f>VLOOKUP($A289,'S46'!$C:$BQ,59,0)</f>
        <v>#N/A</v>
      </c>
      <c r="AB289" s="115" t="e">
        <f>VLOOKUP($A289,'S46'!$C:$BQ,60,0)</f>
        <v>#N/A</v>
      </c>
      <c r="AC289" s="107" t="e">
        <f>VLOOKUP($A289,'S47'!$C:$BQ,32,0)</f>
        <v>#N/A</v>
      </c>
      <c r="AD289" s="107" t="e">
        <f>VLOOKUP($A289,'S47'!$C:$BQ,39,0)</f>
        <v>#N/A</v>
      </c>
      <c r="AE289" s="107" t="e">
        <f>VLOOKUP($A289,'S47'!$C:$BQ,40,0)</f>
        <v>#N/A</v>
      </c>
      <c r="AF289" s="107" t="e">
        <f>VLOOKUP($A289,'S47'!$C:$BQ,22,0)</f>
        <v>#N/A</v>
      </c>
      <c r="AG289" s="115" t="e">
        <f>VLOOKUP($A289,'S47'!$C:$BQ,29,0)</f>
        <v>#N/A</v>
      </c>
      <c r="AH289" s="115" t="e">
        <f>VLOOKUP($A289,'S47'!$C:$BQ,30,0)</f>
        <v>#N/A</v>
      </c>
      <c r="AI289" s="115" t="e">
        <f>VLOOKUP($A289,'S47'!$C:$BQ,52,0)</f>
        <v>#N/A</v>
      </c>
      <c r="AJ289" s="115" t="e">
        <f>VLOOKUP($A289,'S47'!$C:$BQ,59,0)</f>
        <v>#N/A</v>
      </c>
      <c r="AK289" s="115" t="e">
        <f>VLOOKUP($A289,'S47'!$C:$BQ,60,0)</f>
        <v>#N/A</v>
      </c>
      <c r="AL289" s="107" t="e">
        <f>VLOOKUP($A289,'S48'!$C:$BQ,32,0)</f>
        <v>#N/A</v>
      </c>
      <c r="AM289" s="107" t="e">
        <f>VLOOKUP($A289,'S48'!$C:$BQ,39,0)</f>
        <v>#N/A</v>
      </c>
      <c r="AN289" s="107" t="e">
        <f>VLOOKUP($A289,'S48'!$C:$BQ,40,0)</f>
        <v>#N/A</v>
      </c>
      <c r="AO289" s="107" t="e">
        <f>VLOOKUP($A289,'S48'!$C:$BQ,22,0)</f>
        <v>#N/A</v>
      </c>
      <c r="AP289" s="115" t="e">
        <f>VLOOKUP($A289,'S48'!$C:$BQ,29,0)</f>
        <v>#N/A</v>
      </c>
      <c r="AQ289" s="115" t="e">
        <f>VLOOKUP($A289,'S48'!$C:$BQ,30,0)</f>
        <v>#N/A</v>
      </c>
      <c r="AR289" s="115" t="e">
        <f>VLOOKUP($A289,'S48'!$C:$BQ,52,0)</f>
        <v>#N/A</v>
      </c>
      <c r="AS289" s="115" t="e">
        <f>VLOOKUP($A289,'S48'!$C:$BQ,59,0)</f>
        <v>#N/A</v>
      </c>
      <c r="AT289" s="115" t="e">
        <f>VLOOKUP($A289,'S48'!$C:$BQ,60,0)</f>
        <v>#N/A</v>
      </c>
      <c r="AU289" s="107" t="e">
        <f>VLOOKUP($A289,'S49'!$C:$BQ,32,0)</f>
        <v>#N/A</v>
      </c>
      <c r="AV289" s="107" t="e">
        <f>VLOOKUP($A289,'S49'!$C:$BQ,39,0)</f>
        <v>#N/A</v>
      </c>
      <c r="AW289" s="107" t="e">
        <f>VLOOKUP($A289,'S49'!$C:$BQ,40,0)</f>
        <v>#N/A</v>
      </c>
      <c r="AX289" s="107" t="e">
        <f>VLOOKUP($A289,'S49'!$C:$BQ,22,0)</f>
        <v>#N/A</v>
      </c>
      <c r="AY289" s="115" t="e">
        <f>VLOOKUP($A289,'S49'!$C:$BQ,29,0)</f>
        <v>#N/A</v>
      </c>
      <c r="AZ289" s="115" t="e">
        <f>VLOOKUP($A289,'S49'!$C:$BQ,30,0)</f>
        <v>#N/A</v>
      </c>
      <c r="BA289" s="115" t="e">
        <f>VLOOKUP($A289,'S49'!$C:$BQ,52,0)</f>
        <v>#N/A</v>
      </c>
      <c r="BB289" s="115" t="e">
        <f>VLOOKUP($A289,'S49'!$C:$BQ,59,0)</f>
        <v>#N/A</v>
      </c>
      <c r="BC289" s="115" t="e">
        <f>VLOOKUP($A289,'S49'!$C:$BQ,60,0)</f>
        <v>#N/A</v>
      </c>
      <c r="BD289" s="107" t="e">
        <f>VLOOKUP($A289,'S50'!$C:$BQ,32,0)</f>
        <v>#N/A</v>
      </c>
      <c r="BE289" s="107" t="e">
        <f>VLOOKUP($A289,'S50'!$C:$BQ,39,0)</f>
        <v>#N/A</v>
      </c>
      <c r="BF289" s="107" t="e">
        <f>VLOOKUP($A289,'S50'!$C:$BQ,40,0)</f>
        <v>#N/A</v>
      </c>
      <c r="BG289" s="107" t="e">
        <f>VLOOKUP($A289,'S50'!$C:$BQ,22,0)</f>
        <v>#N/A</v>
      </c>
      <c r="BH289" s="115" t="e">
        <f>VLOOKUP($A289,'S50'!$C:$BQ,29,0)</f>
        <v>#N/A</v>
      </c>
      <c r="BI289" s="115" t="e">
        <f>VLOOKUP($A289,'S50'!$C:$BQ,30,0)</f>
        <v>#N/A</v>
      </c>
      <c r="BJ289" s="115" t="e">
        <f>VLOOKUP($A289,'S50'!$C:$BQ,52,0)</f>
        <v>#N/A</v>
      </c>
      <c r="BK289" s="115" t="e">
        <f>VLOOKUP($A289,'S50'!$C:$BQ,59,0)</f>
        <v>#N/A</v>
      </c>
      <c r="BL289" s="115" t="e">
        <f>VLOOKUP($A289,'S50'!$C:$BQ,60,0)</f>
        <v>#N/A</v>
      </c>
    </row>
    <row r="290" spans="1:64" x14ac:dyDescent="0.2">
      <c r="A290" s="106" t="s">
        <v>365</v>
      </c>
      <c r="B290" s="107">
        <f>VLOOKUP($A290,'S0 remplacer avec S44'!$C:$BQ,32,0)</f>
        <v>165.2</v>
      </c>
      <c r="C290" s="107">
        <f>VLOOKUP($A290,'S0 remplacer avec S44'!$C:$BQ,39,0)</f>
        <v>69</v>
      </c>
      <c r="D290" s="107">
        <f>VLOOKUP($A290,'S0 remplacer avec S44'!$C:$BQ,40,0)</f>
        <v>115</v>
      </c>
      <c r="E290" s="107">
        <f>VLOOKUP($A290,'S0 remplacer avec S44'!$C:$BQ,22,0)</f>
        <v>2126.98389</v>
      </c>
      <c r="F290" s="115">
        <f>VLOOKUP($A290,'S0 remplacer avec S44'!$C:$BQ,29,0)</f>
        <v>0</v>
      </c>
      <c r="G290" s="115">
        <f>VLOOKUP($A290,'S0 remplacer avec S44'!$C:$BQ,30,0)</f>
        <v>419</v>
      </c>
      <c r="H290" s="115">
        <f>VLOOKUP($A290,'S0 remplacer avec S44'!$C:$BQ,52,0)</f>
        <v>131.80000000000001</v>
      </c>
      <c r="I290" s="115">
        <f>VLOOKUP($A290,'S0 remplacer avec S44'!$C:$BQ,59,0)</f>
        <v>0</v>
      </c>
      <c r="J290" s="115">
        <f>VLOOKUP($A290,'S0 remplacer avec S44'!$C:$BQ,60,0)</f>
        <v>11</v>
      </c>
      <c r="K290" s="107" t="e">
        <f>VLOOKUP($A290,'S45'!$C:$BQ,32,0)</f>
        <v>#N/A</v>
      </c>
      <c r="L290" s="107" t="e">
        <f>VLOOKUP($A290,'S45'!$C:$BQ,39,0)</f>
        <v>#N/A</v>
      </c>
      <c r="M290" s="107" t="e">
        <f>VLOOKUP($A290,'S45'!$C:$BQ,40,0)</f>
        <v>#N/A</v>
      </c>
      <c r="N290" s="107" t="e">
        <f>VLOOKUP($A290,'S45'!$C:$BQ,22,0)</f>
        <v>#N/A</v>
      </c>
      <c r="O290" s="115" t="e">
        <f>VLOOKUP($A290,'S45'!$C:$BQ,29,0)</f>
        <v>#N/A</v>
      </c>
      <c r="P290" s="115" t="e">
        <f>VLOOKUP($A290,'S45'!$C:$BQ,30,0)</f>
        <v>#N/A</v>
      </c>
      <c r="Q290" s="115" t="e">
        <f>VLOOKUP($A290,'S45'!$C:$BQ,52,0)</f>
        <v>#N/A</v>
      </c>
      <c r="R290" s="115" t="e">
        <f>VLOOKUP($A290,'S45'!$C:$BQ,59,0)</f>
        <v>#N/A</v>
      </c>
      <c r="S290" s="115" t="e">
        <f>VLOOKUP($A290,'S45'!$C:$BQ,60,0)</f>
        <v>#N/A</v>
      </c>
      <c r="T290" s="107" t="e">
        <f>VLOOKUP($A290,'S46'!$C:$BQ,32,0)</f>
        <v>#N/A</v>
      </c>
      <c r="U290" s="107" t="e">
        <f>VLOOKUP($A290,'S46'!$C:$BQ,39,0)</f>
        <v>#N/A</v>
      </c>
      <c r="V290" s="107" t="e">
        <f>VLOOKUP($A290,'S46'!$C:$BQ,40,0)</f>
        <v>#N/A</v>
      </c>
      <c r="W290" s="107" t="e">
        <f>VLOOKUP($A290,'S46'!$C:$BQ,22,0)</f>
        <v>#N/A</v>
      </c>
      <c r="X290" s="115" t="e">
        <f>VLOOKUP($A290,'S46'!$C:$BQ,29,0)</f>
        <v>#N/A</v>
      </c>
      <c r="Y290" s="115" t="e">
        <f>VLOOKUP($A290,'S46'!$C:$BQ,30,0)</f>
        <v>#N/A</v>
      </c>
      <c r="Z290" s="115" t="e">
        <f>VLOOKUP($A290,'S46'!$C:$BQ,52,0)</f>
        <v>#N/A</v>
      </c>
      <c r="AA290" s="115" t="e">
        <f>VLOOKUP($A290,'S46'!$C:$BQ,59,0)</f>
        <v>#N/A</v>
      </c>
      <c r="AB290" s="115" t="e">
        <f>VLOOKUP($A290,'S46'!$C:$BQ,60,0)</f>
        <v>#N/A</v>
      </c>
      <c r="AC290" s="107" t="e">
        <f>VLOOKUP($A290,'S47'!$C:$BQ,32,0)</f>
        <v>#N/A</v>
      </c>
      <c r="AD290" s="107" t="e">
        <f>VLOOKUP($A290,'S47'!$C:$BQ,39,0)</f>
        <v>#N/A</v>
      </c>
      <c r="AE290" s="107" t="e">
        <f>VLOOKUP($A290,'S47'!$C:$BQ,40,0)</f>
        <v>#N/A</v>
      </c>
      <c r="AF290" s="107" t="e">
        <f>VLOOKUP($A290,'S47'!$C:$BQ,22,0)</f>
        <v>#N/A</v>
      </c>
      <c r="AG290" s="115" t="e">
        <f>VLOOKUP($A290,'S47'!$C:$BQ,29,0)</f>
        <v>#N/A</v>
      </c>
      <c r="AH290" s="115" t="e">
        <f>VLOOKUP($A290,'S47'!$C:$BQ,30,0)</f>
        <v>#N/A</v>
      </c>
      <c r="AI290" s="115" t="e">
        <f>VLOOKUP($A290,'S47'!$C:$BQ,52,0)</f>
        <v>#N/A</v>
      </c>
      <c r="AJ290" s="115" t="e">
        <f>VLOOKUP($A290,'S47'!$C:$BQ,59,0)</f>
        <v>#N/A</v>
      </c>
      <c r="AK290" s="115" t="e">
        <f>VLOOKUP($A290,'S47'!$C:$BQ,60,0)</f>
        <v>#N/A</v>
      </c>
      <c r="AL290" s="107" t="e">
        <f>VLOOKUP($A290,'S48'!$C:$BQ,32,0)</f>
        <v>#N/A</v>
      </c>
      <c r="AM290" s="107" t="e">
        <f>VLOOKUP($A290,'S48'!$C:$BQ,39,0)</f>
        <v>#N/A</v>
      </c>
      <c r="AN290" s="107" t="e">
        <f>VLOOKUP($A290,'S48'!$C:$BQ,40,0)</f>
        <v>#N/A</v>
      </c>
      <c r="AO290" s="107" t="e">
        <f>VLOOKUP($A290,'S48'!$C:$BQ,22,0)</f>
        <v>#N/A</v>
      </c>
      <c r="AP290" s="115" t="e">
        <f>VLOOKUP($A290,'S48'!$C:$BQ,29,0)</f>
        <v>#N/A</v>
      </c>
      <c r="AQ290" s="115" t="e">
        <f>VLOOKUP($A290,'S48'!$C:$BQ,30,0)</f>
        <v>#N/A</v>
      </c>
      <c r="AR290" s="115" t="e">
        <f>VLOOKUP($A290,'S48'!$C:$BQ,52,0)</f>
        <v>#N/A</v>
      </c>
      <c r="AS290" s="115" t="e">
        <f>VLOOKUP($A290,'S48'!$C:$BQ,59,0)</f>
        <v>#N/A</v>
      </c>
      <c r="AT290" s="115" t="e">
        <f>VLOOKUP($A290,'S48'!$C:$BQ,60,0)</f>
        <v>#N/A</v>
      </c>
      <c r="AU290" s="107" t="e">
        <f>VLOOKUP($A290,'S49'!$C:$BQ,32,0)</f>
        <v>#N/A</v>
      </c>
      <c r="AV290" s="107" t="e">
        <f>VLOOKUP($A290,'S49'!$C:$BQ,39,0)</f>
        <v>#N/A</v>
      </c>
      <c r="AW290" s="107" t="e">
        <f>VLOOKUP($A290,'S49'!$C:$BQ,40,0)</f>
        <v>#N/A</v>
      </c>
      <c r="AX290" s="107" t="e">
        <f>VLOOKUP($A290,'S49'!$C:$BQ,22,0)</f>
        <v>#N/A</v>
      </c>
      <c r="AY290" s="115" t="e">
        <f>VLOOKUP($A290,'S49'!$C:$BQ,29,0)</f>
        <v>#N/A</v>
      </c>
      <c r="AZ290" s="115" t="e">
        <f>VLOOKUP($A290,'S49'!$C:$BQ,30,0)</f>
        <v>#N/A</v>
      </c>
      <c r="BA290" s="115" t="e">
        <f>VLOOKUP($A290,'S49'!$C:$BQ,52,0)</f>
        <v>#N/A</v>
      </c>
      <c r="BB290" s="115" t="e">
        <f>VLOOKUP($A290,'S49'!$C:$BQ,59,0)</f>
        <v>#N/A</v>
      </c>
      <c r="BC290" s="115" t="e">
        <f>VLOOKUP($A290,'S49'!$C:$BQ,60,0)</f>
        <v>#N/A</v>
      </c>
      <c r="BD290" s="107" t="e">
        <f>VLOOKUP($A290,'S50'!$C:$BQ,32,0)</f>
        <v>#N/A</v>
      </c>
      <c r="BE290" s="107" t="e">
        <f>VLOOKUP($A290,'S50'!$C:$BQ,39,0)</f>
        <v>#N/A</v>
      </c>
      <c r="BF290" s="107" t="e">
        <f>VLOOKUP($A290,'S50'!$C:$BQ,40,0)</f>
        <v>#N/A</v>
      </c>
      <c r="BG290" s="107" t="e">
        <f>VLOOKUP($A290,'S50'!$C:$BQ,22,0)</f>
        <v>#N/A</v>
      </c>
      <c r="BH290" s="115" t="e">
        <f>VLOOKUP($A290,'S50'!$C:$BQ,29,0)</f>
        <v>#N/A</v>
      </c>
      <c r="BI290" s="115" t="e">
        <f>VLOOKUP($A290,'S50'!$C:$BQ,30,0)</f>
        <v>#N/A</v>
      </c>
      <c r="BJ290" s="115" t="e">
        <f>VLOOKUP($A290,'S50'!$C:$BQ,52,0)</f>
        <v>#N/A</v>
      </c>
      <c r="BK290" s="115" t="e">
        <f>VLOOKUP($A290,'S50'!$C:$BQ,59,0)</f>
        <v>#N/A</v>
      </c>
      <c r="BL290" s="115" t="e">
        <f>VLOOKUP($A290,'S50'!$C:$BQ,60,0)</f>
        <v>#N/A</v>
      </c>
    </row>
    <row r="291" spans="1:64" x14ac:dyDescent="0.2">
      <c r="A291" s="106" t="s">
        <v>366</v>
      </c>
      <c r="B291" s="107">
        <f>VLOOKUP($A291,'S0 remplacer avec S44'!$C:$BQ,32,0)</f>
        <v>186.8</v>
      </c>
      <c r="C291" s="107">
        <f>VLOOKUP($A291,'S0 remplacer avec S44'!$C:$BQ,39,0)</f>
        <v>32</v>
      </c>
      <c r="D291" s="107">
        <f>VLOOKUP($A291,'S0 remplacer avec S44'!$C:$BQ,40,0)</f>
        <v>75</v>
      </c>
      <c r="E291" s="107">
        <f>VLOOKUP($A291,'S0 remplacer avec S44'!$C:$BQ,22,0)</f>
        <v>2255.8943549999999</v>
      </c>
      <c r="F291" s="115">
        <f>VLOOKUP($A291,'S0 remplacer avec S44'!$C:$BQ,29,0)</f>
        <v>0</v>
      </c>
      <c r="G291" s="115">
        <f>VLOOKUP($A291,'S0 remplacer avec S44'!$C:$BQ,30,0)</f>
        <v>125</v>
      </c>
      <c r="H291" s="115">
        <f>VLOOKUP($A291,'S0 remplacer avec S44'!$C:$BQ,52,0)</f>
        <v>134.80000000000001</v>
      </c>
      <c r="I291" s="115">
        <f>VLOOKUP($A291,'S0 remplacer avec S44'!$C:$BQ,59,0)</f>
        <v>0</v>
      </c>
      <c r="J291" s="115">
        <f>VLOOKUP($A291,'S0 remplacer avec S44'!$C:$BQ,60,0)</f>
        <v>0</v>
      </c>
      <c r="K291" s="107" t="e">
        <f>VLOOKUP($A291,'S45'!$C:$BQ,32,0)</f>
        <v>#N/A</v>
      </c>
      <c r="L291" s="107" t="e">
        <f>VLOOKUP($A291,'S45'!$C:$BQ,39,0)</f>
        <v>#N/A</v>
      </c>
      <c r="M291" s="107" t="e">
        <f>VLOOKUP($A291,'S45'!$C:$BQ,40,0)</f>
        <v>#N/A</v>
      </c>
      <c r="N291" s="107" t="e">
        <f>VLOOKUP($A291,'S45'!$C:$BQ,22,0)</f>
        <v>#N/A</v>
      </c>
      <c r="O291" s="115" t="e">
        <f>VLOOKUP($A291,'S45'!$C:$BQ,29,0)</f>
        <v>#N/A</v>
      </c>
      <c r="P291" s="115" t="e">
        <f>VLOOKUP($A291,'S45'!$C:$BQ,30,0)</f>
        <v>#N/A</v>
      </c>
      <c r="Q291" s="115" t="e">
        <f>VLOOKUP($A291,'S45'!$C:$BQ,52,0)</f>
        <v>#N/A</v>
      </c>
      <c r="R291" s="115" t="e">
        <f>VLOOKUP($A291,'S45'!$C:$BQ,59,0)</f>
        <v>#N/A</v>
      </c>
      <c r="S291" s="115" t="e">
        <f>VLOOKUP($A291,'S45'!$C:$BQ,60,0)</f>
        <v>#N/A</v>
      </c>
      <c r="T291" s="107" t="e">
        <f>VLOOKUP($A291,'S46'!$C:$BQ,32,0)</f>
        <v>#N/A</v>
      </c>
      <c r="U291" s="107" t="e">
        <f>VLOOKUP($A291,'S46'!$C:$BQ,39,0)</f>
        <v>#N/A</v>
      </c>
      <c r="V291" s="107" t="e">
        <f>VLOOKUP($A291,'S46'!$C:$BQ,40,0)</f>
        <v>#N/A</v>
      </c>
      <c r="W291" s="107" t="e">
        <f>VLOOKUP($A291,'S46'!$C:$BQ,22,0)</f>
        <v>#N/A</v>
      </c>
      <c r="X291" s="115" t="e">
        <f>VLOOKUP($A291,'S46'!$C:$BQ,29,0)</f>
        <v>#N/A</v>
      </c>
      <c r="Y291" s="115" t="e">
        <f>VLOOKUP($A291,'S46'!$C:$BQ,30,0)</f>
        <v>#N/A</v>
      </c>
      <c r="Z291" s="115" t="e">
        <f>VLOOKUP($A291,'S46'!$C:$BQ,52,0)</f>
        <v>#N/A</v>
      </c>
      <c r="AA291" s="115" t="e">
        <f>VLOOKUP($A291,'S46'!$C:$BQ,59,0)</f>
        <v>#N/A</v>
      </c>
      <c r="AB291" s="115" t="e">
        <f>VLOOKUP($A291,'S46'!$C:$BQ,60,0)</f>
        <v>#N/A</v>
      </c>
      <c r="AC291" s="107" t="e">
        <f>VLOOKUP($A291,'S47'!$C:$BQ,32,0)</f>
        <v>#N/A</v>
      </c>
      <c r="AD291" s="107" t="e">
        <f>VLOOKUP($A291,'S47'!$C:$BQ,39,0)</f>
        <v>#N/A</v>
      </c>
      <c r="AE291" s="107" t="e">
        <f>VLOOKUP($A291,'S47'!$C:$BQ,40,0)</f>
        <v>#N/A</v>
      </c>
      <c r="AF291" s="107" t="e">
        <f>VLOOKUP($A291,'S47'!$C:$BQ,22,0)</f>
        <v>#N/A</v>
      </c>
      <c r="AG291" s="115" t="e">
        <f>VLOOKUP($A291,'S47'!$C:$BQ,29,0)</f>
        <v>#N/A</v>
      </c>
      <c r="AH291" s="115" t="e">
        <f>VLOOKUP($A291,'S47'!$C:$BQ,30,0)</f>
        <v>#N/A</v>
      </c>
      <c r="AI291" s="115" t="e">
        <f>VLOOKUP($A291,'S47'!$C:$BQ,52,0)</f>
        <v>#N/A</v>
      </c>
      <c r="AJ291" s="115" t="e">
        <f>VLOOKUP($A291,'S47'!$C:$BQ,59,0)</f>
        <v>#N/A</v>
      </c>
      <c r="AK291" s="115" t="e">
        <f>VLOOKUP($A291,'S47'!$C:$BQ,60,0)</f>
        <v>#N/A</v>
      </c>
      <c r="AL291" s="107" t="e">
        <f>VLOOKUP($A291,'S48'!$C:$BQ,32,0)</f>
        <v>#N/A</v>
      </c>
      <c r="AM291" s="107" t="e">
        <f>VLOOKUP($A291,'S48'!$C:$BQ,39,0)</f>
        <v>#N/A</v>
      </c>
      <c r="AN291" s="107" t="e">
        <f>VLOOKUP($A291,'S48'!$C:$BQ,40,0)</f>
        <v>#N/A</v>
      </c>
      <c r="AO291" s="107" t="e">
        <f>VLOOKUP($A291,'S48'!$C:$BQ,22,0)</f>
        <v>#N/A</v>
      </c>
      <c r="AP291" s="115" t="e">
        <f>VLOOKUP($A291,'S48'!$C:$BQ,29,0)</f>
        <v>#N/A</v>
      </c>
      <c r="AQ291" s="115" t="e">
        <f>VLOOKUP($A291,'S48'!$C:$BQ,30,0)</f>
        <v>#N/A</v>
      </c>
      <c r="AR291" s="115" t="e">
        <f>VLOOKUP($A291,'S48'!$C:$BQ,52,0)</f>
        <v>#N/A</v>
      </c>
      <c r="AS291" s="115" t="e">
        <f>VLOOKUP($A291,'S48'!$C:$BQ,59,0)</f>
        <v>#N/A</v>
      </c>
      <c r="AT291" s="115" t="e">
        <f>VLOOKUP($A291,'S48'!$C:$BQ,60,0)</f>
        <v>#N/A</v>
      </c>
      <c r="AU291" s="107" t="e">
        <f>VLOOKUP($A291,'S49'!$C:$BQ,32,0)</f>
        <v>#N/A</v>
      </c>
      <c r="AV291" s="107" t="e">
        <f>VLOOKUP($A291,'S49'!$C:$BQ,39,0)</f>
        <v>#N/A</v>
      </c>
      <c r="AW291" s="107" t="e">
        <f>VLOOKUP($A291,'S49'!$C:$BQ,40,0)</f>
        <v>#N/A</v>
      </c>
      <c r="AX291" s="107" t="e">
        <f>VLOOKUP($A291,'S49'!$C:$BQ,22,0)</f>
        <v>#N/A</v>
      </c>
      <c r="AY291" s="115" t="e">
        <f>VLOOKUP($A291,'S49'!$C:$BQ,29,0)</f>
        <v>#N/A</v>
      </c>
      <c r="AZ291" s="115" t="e">
        <f>VLOOKUP($A291,'S49'!$C:$BQ,30,0)</f>
        <v>#N/A</v>
      </c>
      <c r="BA291" s="115" t="e">
        <f>VLOOKUP($A291,'S49'!$C:$BQ,52,0)</f>
        <v>#N/A</v>
      </c>
      <c r="BB291" s="115" t="e">
        <f>VLOOKUP($A291,'S49'!$C:$BQ,59,0)</f>
        <v>#N/A</v>
      </c>
      <c r="BC291" s="115" t="e">
        <f>VLOOKUP($A291,'S49'!$C:$BQ,60,0)</f>
        <v>#N/A</v>
      </c>
      <c r="BD291" s="107" t="e">
        <f>VLOOKUP($A291,'S50'!$C:$BQ,32,0)</f>
        <v>#N/A</v>
      </c>
      <c r="BE291" s="107" t="e">
        <f>VLOOKUP($A291,'S50'!$C:$BQ,39,0)</f>
        <v>#N/A</v>
      </c>
      <c r="BF291" s="107" t="e">
        <f>VLOOKUP($A291,'S50'!$C:$BQ,40,0)</f>
        <v>#N/A</v>
      </c>
      <c r="BG291" s="107" t="e">
        <f>VLOOKUP($A291,'S50'!$C:$BQ,22,0)</f>
        <v>#N/A</v>
      </c>
      <c r="BH291" s="115" t="e">
        <f>VLOOKUP($A291,'S50'!$C:$BQ,29,0)</f>
        <v>#N/A</v>
      </c>
      <c r="BI291" s="115" t="e">
        <f>VLOOKUP($A291,'S50'!$C:$BQ,30,0)</f>
        <v>#N/A</v>
      </c>
      <c r="BJ291" s="115" t="e">
        <f>VLOOKUP($A291,'S50'!$C:$BQ,52,0)</f>
        <v>#N/A</v>
      </c>
      <c r="BK291" s="115" t="e">
        <f>VLOOKUP($A291,'S50'!$C:$BQ,59,0)</f>
        <v>#N/A</v>
      </c>
      <c r="BL291" s="115" t="e">
        <f>VLOOKUP($A291,'S50'!$C:$BQ,60,0)</f>
        <v>#N/A</v>
      </c>
    </row>
    <row r="292" spans="1:64" x14ac:dyDescent="0.2">
      <c r="A292" s="106" t="s">
        <v>357</v>
      </c>
      <c r="B292" s="107">
        <f>VLOOKUP($A292,'S0 remplacer avec S44'!$C:$BQ,32,0)</f>
        <v>439.45</v>
      </c>
      <c r="C292" s="107">
        <f>VLOOKUP($A292,'S0 remplacer avec S44'!$C:$BQ,39,0)</f>
        <v>209</v>
      </c>
      <c r="D292" s="107">
        <f>VLOOKUP($A292,'S0 remplacer avec S44'!$C:$BQ,40,0)</f>
        <v>338</v>
      </c>
      <c r="E292" s="107">
        <f>VLOOKUP($A292,'S0 remplacer avec S44'!$C:$BQ,22,0)</f>
        <v>4708.40553</v>
      </c>
      <c r="F292" s="115">
        <f>VLOOKUP($A292,'S0 remplacer avec S44'!$C:$BQ,29,0)</f>
        <v>1181</v>
      </c>
      <c r="G292" s="115">
        <f>VLOOKUP($A292,'S0 remplacer avec S44'!$C:$BQ,30,0)</f>
        <v>2359</v>
      </c>
      <c r="H292" s="115">
        <f>VLOOKUP($A292,'S0 remplacer avec S44'!$C:$BQ,52,0)</f>
        <v>374.2</v>
      </c>
      <c r="I292" s="115">
        <f>VLOOKUP($A292,'S0 remplacer avec S44'!$C:$BQ,59,0)</f>
        <v>0</v>
      </c>
      <c r="J292" s="115">
        <f>VLOOKUP($A292,'S0 remplacer avec S44'!$C:$BQ,60,0)</f>
        <v>21</v>
      </c>
      <c r="K292" s="107" t="e">
        <f>VLOOKUP($A292,'S45'!$C:$BQ,32,0)</f>
        <v>#N/A</v>
      </c>
      <c r="L292" s="107" t="e">
        <f>VLOOKUP($A292,'S45'!$C:$BQ,39,0)</f>
        <v>#N/A</v>
      </c>
      <c r="M292" s="107" t="e">
        <f>VLOOKUP($A292,'S45'!$C:$BQ,40,0)</f>
        <v>#N/A</v>
      </c>
      <c r="N292" s="107" t="e">
        <f>VLOOKUP($A292,'S45'!$C:$BQ,22,0)</f>
        <v>#N/A</v>
      </c>
      <c r="O292" s="115" t="e">
        <f>VLOOKUP($A292,'S45'!$C:$BQ,29,0)</f>
        <v>#N/A</v>
      </c>
      <c r="P292" s="115" t="e">
        <f>VLOOKUP($A292,'S45'!$C:$BQ,30,0)</f>
        <v>#N/A</v>
      </c>
      <c r="Q292" s="115" t="e">
        <f>VLOOKUP($A292,'S45'!$C:$BQ,52,0)</f>
        <v>#N/A</v>
      </c>
      <c r="R292" s="115" t="e">
        <f>VLOOKUP($A292,'S45'!$C:$BQ,59,0)</f>
        <v>#N/A</v>
      </c>
      <c r="S292" s="115" t="e">
        <f>VLOOKUP($A292,'S45'!$C:$BQ,60,0)</f>
        <v>#N/A</v>
      </c>
      <c r="T292" s="107" t="e">
        <f>VLOOKUP($A292,'S46'!$C:$BQ,32,0)</f>
        <v>#N/A</v>
      </c>
      <c r="U292" s="107" t="e">
        <f>VLOOKUP($A292,'S46'!$C:$BQ,39,0)</f>
        <v>#N/A</v>
      </c>
      <c r="V292" s="107" t="e">
        <f>VLOOKUP($A292,'S46'!$C:$BQ,40,0)</f>
        <v>#N/A</v>
      </c>
      <c r="W292" s="107" t="e">
        <f>VLOOKUP($A292,'S46'!$C:$BQ,22,0)</f>
        <v>#N/A</v>
      </c>
      <c r="X292" s="115" t="e">
        <f>VLOOKUP($A292,'S46'!$C:$BQ,29,0)</f>
        <v>#N/A</v>
      </c>
      <c r="Y292" s="115" t="e">
        <f>VLOOKUP($A292,'S46'!$C:$BQ,30,0)</f>
        <v>#N/A</v>
      </c>
      <c r="Z292" s="115" t="e">
        <f>VLOOKUP($A292,'S46'!$C:$BQ,52,0)</f>
        <v>#N/A</v>
      </c>
      <c r="AA292" s="115" t="e">
        <f>VLOOKUP($A292,'S46'!$C:$BQ,59,0)</f>
        <v>#N/A</v>
      </c>
      <c r="AB292" s="115" t="e">
        <f>VLOOKUP($A292,'S46'!$C:$BQ,60,0)</f>
        <v>#N/A</v>
      </c>
      <c r="AC292" s="107" t="e">
        <f>VLOOKUP($A292,'S47'!$C:$BQ,32,0)</f>
        <v>#N/A</v>
      </c>
      <c r="AD292" s="107" t="e">
        <f>VLOOKUP($A292,'S47'!$C:$BQ,39,0)</f>
        <v>#N/A</v>
      </c>
      <c r="AE292" s="107" t="e">
        <f>VLOOKUP($A292,'S47'!$C:$BQ,40,0)</f>
        <v>#N/A</v>
      </c>
      <c r="AF292" s="107" t="e">
        <f>VLOOKUP($A292,'S47'!$C:$BQ,22,0)</f>
        <v>#N/A</v>
      </c>
      <c r="AG292" s="115" t="e">
        <f>VLOOKUP($A292,'S47'!$C:$BQ,29,0)</f>
        <v>#N/A</v>
      </c>
      <c r="AH292" s="115" t="e">
        <f>VLOOKUP($A292,'S47'!$C:$BQ,30,0)</f>
        <v>#N/A</v>
      </c>
      <c r="AI292" s="115" t="e">
        <f>VLOOKUP($A292,'S47'!$C:$BQ,52,0)</f>
        <v>#N/A</v>
      </c>
      <c r="AJ292" s="115" t="e">
        <f>VLOOKUP($A292,'S47'!$C:$BQ,59,0)</f>
        <v>#N/A</v>
      </c>
      <c r="AK292" s="115" t="e">
        <f>VLOOKUP($A292,'S47'!$C:$BQ,60,0)</f>
        <v>#N/A</v>
      </c>
      <c r="AL292" s="107" t="e">
        <f>VLOOKUP($A292,'S48'!$C:$BQ,32,0)</f>
        <v>#N/A</v>
      </c>
      <c r="AM292" s="107" t="e">
        <f>VLOOKUP($A292,'S48'!$C:$BQ,39,0)</f>
        <v>#N/A</v>
      </c>
      <c r="AN292" s="107" t="e">
        <f>VLOOKUP($A292,'S48'!$C:$BQ,40,0)</f>
        <v>#N/A</v>
      </c>
      <c r="AO292" s="107" t="e">
        <f>VLOOKUP($A292,'S48'!$C:$BQ,22,0)</f>
        <v>#N/A</v>
      </c>
      <c r="AP292" s="115" t="e">
        <f>VLOOKUP($A292,'S48'!$C:$BQ,29,0)</f>
        <v>#N/A</v>
      </c>
      <c r="AQ292" s="115" t="e">
        <f>VLOOKUP($A292,'S48'!$C:$BQ,30,0)</f>
        <v>#N/A</v>
      </c>
      <c r="AR292" s="115" t="e">
        <f>VLOOKUP($A292,'S48'!$C:$BQ,52,0)</f>
        <v>#N/A</v>
      </c>
      <c r="AS292" s="115" t="e">
        <f>VLOOKUP($A292,'S48'!$C:$BQ,59,0)</f>
        <v>#N/A</v>
      </c>
      <c r="AT292" s="115" t="e">
        <f>VLOOKUP($A292,'S48'!$C:$BQ,60,0)</f>
        <v>#N/A</v>
      </c>
      <c r="AU292" s="107" t="e">
        <f>VLOOKUP($A292,'S49'!$C:$BQ,32,0)</f>
        <v>#N/A</v>
      </c>
      <c r="AV292" s="107" t="e">
        <f>VLOOKUP($A292,'S49'!$C:$BQ,39,0)</f>
        <v>#N/A</v>
      </c>
      <c r="AW292" s="107" t="e">
        <f>VLOOKUP($A292,'S49'!$C:$BQ,40,0)</f>
        <v>#N/A</v>
      </c>
      <c r="AX292" s="107" t="e">
        <f>VLOOKUP($A292,'S49'!$C:$BQ,22,0)</f>
        <v>#N/A</v>
      </c>
      <c r="AY292" s="115" t="e">
        <f>VLOOKUP($A292,'S49'!$C:$BQ,29,0)</f>
        <v>#N/A</v>
      </c>
      <c r="AZ292" s="115" t="e">
        <f>VLOOKUP($A292,'S49'!$C:$BQ,30,0)</f>
        <v>#N/A</v>
      </c>
      <c r="BA292" s="115" t="e">
        <f>VLOOKUP($A292,'S49'!$C:$BQ,52,0)</f>
        <v>#N/A</v>
      </c>
      <c r="BB292" s="115" t="e">
        <f>VLOOKUP($A292,'S49'!$C:$BQ,59,0)</f>
        <v>#N/A</v>
      </c>
      <c r="BC292" s="115" t="e">
        <f>VLOOKUP($A292,'S49'!$C:$BQ,60,0)</f>
        <v>#N/A</v>
      </c>
      <c r="BD292" s="107" t="e">
        <f>VLOOKUP($A292,'S50'!$C:$BQ,32,0)</f>
        <v>#N/A</v>
      </c>
      <c r="BE292" s="107" t="e">
        <f>VLOOKUP($A292,'S50'!$C:$BQ,39,0)</f>
        <v>#N/A</v>
      </c>
      <c r="BF292" s="107" t="e">
        <f>VLOOKUP($A292,'S50'!$C:$BQ,40,0)</f>
        <v>#N/A</v>
      </c>
      <c r="BG292" s="107" t="e">
        <f>VLOOKUP($A292,'S50'!$C:$BQ,22,0)</f>
        <v>#N/A</v>
      </c>
      <c r="BH292" s="115" t="e">
        <f>VLOOKUP($A292,'S50'!$C:$BQ,29,0)</f>
        <v>#N/A</v>
      </c>
      <c r="BI292" s="115" t="e">
        <f>VLOOKUP($A292,'S50'!$C:$BQ,30,0)</f>
        <v>#N/A</v>
      </c>
      <c r="BJ292" s="115" t="e">
        <f>VLOOKUP($A292,'S50'!$C:$BQ,52,0)</f>
        <v>#N/A</v>
      </c>
      <c r="BK292" s="115" t="e">
        <f>VLOOKUP($A292,'S50'!$C:$BQ,59,0)</f>
        <v>#N/A</v>
      </c>
      <c r="BL292" s="115" t="e">
        <f>VLOOKUP($A292,'S50'!$C:$BQ,60,0)</f>
        <v>#N/A</v>
      </c>
    </row>
    <row r="293" spans="1:64" x14ac:dyDescent="0.2">
      <c r="A293" s="106" t="s">
        <v>367</v>
      </c>
      <c r="B293" s="107">
        <f>VLOOKUP($A293,'S0 remplacer avec S44'!$C:$BQ,32,0)</f>
        <v>211.05</v>
      </c>
      <c r="C293" s="107">
        <f>VLOOKUP($A293,'S0 remplacer avec S44'!$C:$BQ,39,0)</f>
        <v>41</v>
      </c>
      <c r="D293" s="107">
        <f>VLOOKUP($A293,'S0 remplacer avec S44'!$C:$BQ,40,0)</f>
        <v>91</v>
      </c>
      <c r="E293" s="107">
        <f>VLOOKUP($A293,'S0 remplacer avec S44'!$C:$BQ,22,0)</f>
        <v>2428.6663050000002</v>
      </c>
      <c r="F293" s="115">
        <f>VLOOKUP($A293,'S0 remplacer avec S44'!$C:$BQ,29,0)</f>
        <v>0</v>
      </c>
      <c r="G293" s="115">
        <f>VLOOKUP($A293,'S0 remplacer avec S44'!$C:$BQ,30,0)</f>
        <v>316</v>
      </c>
      <c r="H293" s="115">
        <f>VLOOKUP($A293,'S0 remplacer avec S44'!$C:$BQ,52,0)</f>
        <v>97.6</v>
      </c>
      <c r="I293" s="115">
        <f>VLOOKUP($A293,'S0 remplacer avec S44'!$C:$BQ,59,0)</f>
        <v>31</v>
      </c>
      <c r="J293" s="115">
        <f>VLOOKUP($A293,'S0 remplacer avec S44'!$C:$BQ,60,0)</f>
        <v>56</v>
      </c>
      <c r="K293" s="107" t="e">
        <f>VLOOKUP($A293,'S45'!$C:$BQ,32,0)</f>
        <v>#N/A</v>
      </c>
      <c r="L293" s="107" t="e">
        <f>VLOOKUP($A293,'S45'!$C:$BQ,39,0)</f>
        <v>#N/A</v>
      </c>
      <c r="M293" s="107" t="e">
        <f>VLOOKUP($A293,'S45'!$C:$BQ,40,0)</f>
        <v>#N/A</v>
      </c>
      <c r="N293" s="107" t="e">
        <f>VLOOKUP($A293,'S45'!$C:$BQ,22,0)</f>
        <v>#N/A</v>
      </c>
      <c r="O293" s="115" t="e">
        <f>VLOOKUP($A293,'S45'!$C:$BQ,29,0)</f>
        <v>#N/A</v>
      </c>
      <c r="P293" s="115" t="e">
        <f>VLOOKUP($A293,'S45'!$C:$BQ,30,0)</f>
        <v>#N/A</v>
      </c>
      <c r="Q293" s="115" t="e">
        <f>VLOOKUP($A293,'S45'!$C:$BQ,52,0)</f>
        <v>#N/A</v>
      </c>
      <c r="R293" s="115" t="e">
        <f>VLOOKUP($A293,'S45'!$C:$BQ,59,0)</f>
        <v>#N/A</v>
      </c>
      <c r="S293" s="115" t="e">
        <f>VLOOKUP($A293,'S45'!$C:$BQ,60,0)</f>
        <v>#N/A</v>
      </c>
      <c r="T293" s="107" t="e">
        <f>VLOOKUP($A293,'S46'!$C:$BQ,32,0)</f>
        <v>#N/A</v>
      </c>
      <c r="U293" s="107" t="e">
        <f>VLOOKUP($A293,'S46'!$C:$BQ,39,0)</f>
        <v>#N/A</v>
      </c>
      <c r="V293" s="107" t="e">
        <f>VLOOKUP($A293,'S46'!$C:$BQ,40,0)</f>
        <v>#N/A</v>
      </c>
      <c r="W293" s="107" t="e">
        <f>VLOOKUP($A293,'S46'!$C:$BQ,22,0)</f>
        <v>#N/A</v>
      </c>
      <c r="X293" s="115" t="e">
        <f>VLOOKUP($A293,'S46'!$C:$BQ,29,0)</f>
        <v>#N/A</v>
      </c>
      <c r="Y293" s="115" t="e">
        <f>VLOOKUP($A293,'S46'!$C:$BQ,30,0)</f>
        <v>#N/A</v>
      </c>
      <c r="Z293" s="115" t="e">
        <f>VLOOKUP($A293,'S46'!$C:$BQ,52,0)</f>
        <v>#N/A</v>
      </c>
      <c r="AA293" s="115" t="e">
        <f>VLOOKUP($A293,'S46'!$C:$BQ,59,0)</f>
        <v>#N/A</v>
      </c>
      <c r="AB293" s="115" t="e">
        <f>VLOOKUP($A293,'S46'!$C:$BQ,60,0)</f>
        <v>#N/A</v>
      </c>
      <c r="AC293" s="107" t="e">
        <f>VLOOKUP($A293,'S47'!$C:$BQ,32,0)</f>
        <v>#N/A</v>
      </c>
      <c r="AD293" s="107" t="e">
        <f>VLOOKUP($A293,'S47'!$C:$BQ,39,0)</f>
        <v>#N/A</v>
      </c>
      <c r="AE293" s="107" t="e">
        <f>VLOOKUP($A293,'S47'!$C:$BQ,40,0)</f>
        <v>#N/A</v>
      </c>
      <c r="AF293" s="107" t="e">
        <f>VLOOKUP($A293,'S47'!$C:$BQ,22,0)</f>
        <v>#N/A</v>
      </c>
      <c r="AG293" s="115" t="e">
        <f>VLOOKUP($A293,'S47'!$C:$BQ,29,0)</f>
        <v>#N/A</v>
      </c>
      <c r="AH293" s="115" t="e">
        <f>VLOOKUP($A293,'S47'!$C:$BQ,30,0)</f>
        <v>#N/A</v>
      </c>
      <c r="AI293" s="115" t="e">
        <f>VLOOKUP($A293,'S47'!$C:$BQ,52,0)</f>
        <v>#N/A</v>
      </c>
      <c r="AJ293" s="115" t="e">
        <f>VLOOKUP($A293,'S47'!$C:$BQ,59,0)</f>
        <v>#N/A</v>
      </c>
      <c r="AK293" s="115" t="e">
        <f>VLOOKUP($A293,'S47'!$C:$BQ,60,0)</f>
        <v>#N/A</v>
      </c>
      <c r="AL293" s="107" t="e">
        <f>VLOOKUP($A293,'S48'!$C:$BQ,32,0)</f>
        <v>#N/A</v>
      </c>
      <c r="AM293" s="107" t="e">
        <f>VLOOKUP($A293,'S48'!$C:$BQ,39,0)</f>
        <v>#N/A</v>
      </c>
      <c r="AN293" s="107" t="e">
        <f>VLOOKUP($A293,'S48'!$C:$BQ,40,0)</f>
        <v>#N/A</v>
      </c>
      <c r="AO293" s="107" t="e">
        <f>VLOOKUP($A293,'S48'!$C:$BQ,22,0)</f>
        <v>#N/A</v>
      </c>
      <c r="AP293" s="115" t="e">
        <f>VLOOKUP($A293,'S48'!$C:$BQ,29,0)</f>
        <v>#N/A</v>
      </c>
      <c r="AQ293" s="115" t="e">
        <f>VLOOKUP($A293,'S48'!$C:$BQ,30,0)</f>
        <v>#N/A</v>
      </c>
      <c r="AR293" s="115" t="e">
        <f>VLOOKUP($A293,'S48'!$C:$BQ,52,0)</f>
        <v>#N/A</v>
      </c>
      <c r="AS293" s="115" t="e">
        <f>VLOOKUP($A293,'S48'!$C:$BQ,59,0)</f>
        <v>#N/A</v>
      </c>
      <c r="AT293" s="115" t="e">
        <f>VLOOKUP($A293,'S48'!$C:$BQ,60,0)</f>
        <v>#N/A</v>
      </c>
      <c r="AU293" s="107" t="e">
        <f>VLOOKUP($A293,'S49'!$C:$BQ,32,0)</f>
        <v>#N/A</v>
      </c>
      <c r="AV293" s="107" t="e">
        <f>VLOOKUP($A293,'S49'!$C:$BQ,39,0)</f>
        <v>#N/A</v>
      </c>
      <c r="AW293" s="107" t="e">
        <f>VLOOKUP($A293,'S49'!$C:$BQ,40,0)</f>
        <v>#N/A</v>
      </c>
      <c r="AX293" s="107" t="e">
        <f>VLOOKUP($A293,'S49'!$C:$BQ,22,0)</f>
        <v>#N/A</v>
      </c>
      <c r="AY293" s="115" t="e">
        <f>VLOOKUP($A293,'S49'!$C:$BQ,29,0)</f>
        <v>#N/A</v>
      </c>
      <c r="AZ293" s="115" t="e">
        <f>VLOOKUP($A293,'S49'!$C:$BQ,30,0)</f>
        <v>#N/A</v>
      </c>
      <c r="BA293" s="115" t="e">
        <f>VLOOKUP($A293,'S49'!$C:$BQ,52,0)</f>
        <v>#N/A</v>
      </c>
      <c r="BB293" s="115" t="e">
        <f>VLOOKUP($A293,'S49'!$C:$BQ,59,0)</f>
        <v>#N/A</v>
      </c>
      <c r="BC293" s="115" t="e">
        <f>VLOOKUP($A293,'S49'!$C:$BQ,60,0)</f>
        <v>#N/A</v>
      </c>
      <c r="BD293" s="107" t="e">
        <f>VLOOKUP($A293,'S50'!$C:$BQ,32,0)</f>
        <v>#N/A</v>
      </c>
      <c r="BE293" s="107" t="e">
        <f>VLOOKUP($A293,'S50'!$C:$BQ,39,0)</f>
        <v>#N/A</v>
      </c>
      <c r="BF293" s="107" t="e">
        <f>VLOOKUP($A293,'S50'!$C:$BQ,40,0)</f>
        <v>#N/A</v>
      </c>
      <c r="BG293" s="107" t="e">
        <f>VLOOKUP($A293,'S50'!$C:$BQ,22,0)</f>
        <v>#N/A</v>
      </c>
      <c r="BH293" s="115" t="e">
        <f>VLOOKUP($A293,'S50'!$C:$BQ,29,0)</f>
        <v>#N/A</v>
      </c>
      <c r="BI293" s="115" t="e">
        <f>VLOOKUP($A293,'S50'!$C:$BQ,30,0)</f>
        <v>#N/A</v>
      </c>
      <c r="BJ293" s="115" t="e">
        <f>VLOOKUP($A293,'S50'!$C:$BQ,52,0)</f>
        <v>#N/A</v>
      </c>
      <c r="BK293" s="115" t="e">
        <f>VLOOKUP($A293,'S50'!$C:$BQ,59,0)</f>
        <v>#N/A</v>
      </c>
      <c r="BL293" s="115" t="e">
        <f>VLOOKUP($A293,'S50'!$C:$BQ,60,0)</f>
        <v>#N/A</v>
      </c>
    </row>
    <row r="294" spans="1:64" x14ac:dyDescent="0.2">
      <c r="A294" s="106" t="s">
        <v>368</v>
      </c>
      <c r="B294" s="107">
        <f>VLOOKUP($A294,'S0 remplacer avec S44'!$C:$BQ,32,0)</f>
        <v>172.75</v>
      </c>
      <c r="C294" s="107">
        <f>VLOOKUP($A294,'S0 remplacer avec S44'!$C:$BQ,39,0)</f>
        <v>0</v>
      </c>
      <c r="D294" s="107">
        <f>VLOOKUP($A294,'S0 remplacer avec S44'!$C:$BQ,40,0)</f>
        <v>0</v>
      </c>
      <c r="E294" s="107">
        <f>VLOOKUP($A294,'S0 remplacer avec S44'!$C:$BQ,22,0)</f>
        <v>1458.2094500000001</v>
      </c>
      <c r="F294" s="115">
        <f>VLOOKUP($A294,'S0 remplacer avec S44'!$C:$BQ,29,0)</f>
        <v>0</v>
      </c>
      <c r="G294" s="115">
        <f>VLOOKUP($A294,'S0 remplacer avec S44'!$C:$BQ,30,0)</f>
        <v>0</v>
      </c>
      <c r="H294" s="115">
        <f>VLOOKUP($A294,'S0 remplacer avec S44'!$C:$BQ,52,0)</f>
        <v>65.400000000000006</v>
      </c>
      <c r="I294" s="115">
        <f>VLOOKUP($A294,'S0 remplacer avec S44'!$C:$BQ,59,0)</f>
        <v>0</v>
      </c>
      <c r="J294" s="115">
        <f>VLOOKUP($A294,'S0 remplacer avec S44'!$C:$BQ,60,0)</f>
        <v>8</v>
      </c>
      <c r="K294" s="107" t="e">
        <f>VLOOKUP($A294,'S45'!$C:$BQ,32,0)</f>
        <v>#N/A</v>
      </c>
      <c r="L294" s="107" t="e">
        <f>VLOOKUP($A294,'S45'!$C:$BQ,39,0)</f>
        <v>#N/A</v>
      </c>
      <c r="M294" s="107" t="e">
        <f>VLOOKUP($A294,'S45'!$C:$BQ,40,0)</f>
        <v>#N/A</v>
      </c>
      <c r="N294" s="107" t="e">
        <f>VLOOKUP($A294,'S45'!$C:$BQ,22,0)</f>
        <v>#N/A</v>
      </c>
      <c r="O294" s="115" t="e">
        <f>VLOOKUP($A294,'S45'!$C:$BQ,29,0)</f>
        <v>#N/A</v>
      </c>
      <c r="P294" s="115" t="e">
        <f>VLOOKUP($A294,'S45'!$C:$BQ,30,0)</f>
        <v>#N/A</v>
      </c>
      <c r="Q294" s="115" t="e">
        <f>VLOOKUP($A294,'S45'!$C:$BQ,52,0)</f>
        <v>#N/A</v>
      </c>
      <c r="R294" s="115" t="e">
        <f>VLOOKUP($A294,'S45'!$C:$BQ,59,0)</f>
        <v>#N/A</v>
      </c>
      <c r="S294" s="115" t="e">
        <f>VLOOKUP($A294,'S45'!$C:$BQ,60,0)</f>
        <v>#N/A</v>
      </c>
      <c r="T294" s="107" t="e">
        <f>VLOOKUP($A294,'S46'!$C:$BQ,32,0)</f>
        <v>#N/A</v>
      </c>
      <c r="U294" s="107" t="e">
        <f>VLOOKUP($A294,'S46'!$C:$BQ,39,0)</f>
        <v>#N/A</v>
      </c>
      <c r="V294" s="107" t="e">
        <f>VLOOKUP($A294,'S46'!$C:$BQ,40,0)</f>
        <v>#N/A</v>
      </c>
      <c r="W294" s="107" t="e">
        <f>VLOOKUP($A294,'S46'!$C:$BQ,22,0)</f>
        <v>#N/A</v>
      </c>
      <c r="X294" s="115" t="e">
        <f>VLOOKUP($A294,'S46'!$C:$BQ,29,0)</f>
        <v>#N/A</v>
      </c>
      <c r="Y294" s="115" t="e">
        <f>VLOOKUP($A294,'S46'!$C:$BQ,30,0)</f>
        <v>#N/A</v>
      </c>
      <c r="Z294" s="115" t="e">
        <f>VLOOKUP($A294,'S46'!$C:$BQ,52,0)</f>
        <v>#N/A</v>
      </c>
      <c r="AA294" s="115" t="e">
        <f>VLOOKUP($A294,'S46'!$C:$BQ,59,0)</f>
        <v>#N/A</v>
      </c>
      <c r="AB294" s="115" t="e">
        <f>VLOOKUP($A294,'S46'!$C:$BQ,60,0)</f>
        <v>#N/A</v>
      </c>
      <c r="AC294" s="107" t="e">
        <f>VLOOKUP($A294,'S47'!$C:$BQ,32,0)</f>
        <v>#N/A</v>
      </c>
      <c r="AD294" s="107" t="e">
        <f>VLOOKUP($A294,'S47'!$C:$BQ,39,0)</f>
        <v>#N/A</v>
      </c>
      <c r="AE294" s="107" t="e">
        <f>VLOOKUP($A294,'S47'!$C:$BQ,40,0)</f>
        <v>#N/A</v>
      </c>
      <c r="AF294" s="107" t="e">
        <f>VLOOKUP($A294,'S47'!$C:$BQ,22,0)</f>
        <v>#N/A</v>
      </c>
      <c r="AG294" s="115" t="e">
        <f>VLOOKUP($A294,'S47'!$C:$BQ,29,0)</f>
        <v>#N/A</v>
      </c>
      <c r="AH294" s="115" t="e">
        <f>VLOOKUP($A294,'S47'!$C:$BQ,30,0)</f>
        <v>#N/A</v>
      </c>
      <c r="AI294" s="115" t="e">
        <f>VLOOKUP($A294,'S47'!$C:$BQ,52,0)</f>
        <v>#N/A</v>
      </c>
      <c r="AJ294" s="115" t="e">
        <f>VLOOKUP($A294,'S47'!$C:$BQ,59,0)</f>
        <v>#N/A</v>
      </c>
      <c r="AK294" s="115" t="e">
        <f>VLOOKUP($A294,'S47'!$C:$BQ,60,0)</f>
        <v>#N/A</v>
      </c>
      <c r="AL294" s="107" t="e">
        <f>VLOOKUP($A294,'S48'!$C:$BQ,32,0)</f>
        <v>#N/A</v>
      </c>
      <c r="AM294" s="107" t="e">
        <f>VLOOKUP($A294,'S48'!$C:$BQ,39,0)</f>
        <v>#N/A</v>
      </c>
      <c r="AN294" s="107" t="e">
        <f>VLOOKUP($A294,'S48'!$C:$BQ,40,0)</f>
        <v>#N/A</v>
      </c>
      <c r="AO294" s="107" t="e">
        <f>VLOOKUP($A294,'S48'!$C:$BQ,22,0)</f>
        <v>#N/A</v>
      </c>
      <c r="AP294" s="115" t="e">
        <f>VLOOKUP($A294,'S48'!$C:$BQ,29,0)</f>
        <v>#N/A</v>
      </c>
      <c r="AQ294" s="115" t="e">
        <f>VLOOKUP($A294,'S48'!$C:$BQ,30,0)</f>
        <v>#N/A</v>
      </c>
      <c r="AR294" s="115" t="e">
        <f>VLOOKUP($A294,'S48'!$C:$BQ,52,0)</f>
        <v>#N/A</v>
      </c>
      <c r="AS294" s="115" t="e">
        <f>VLOOKUP($A294,'S48'!$C:$BQ,59,0)</f>
        <v>#N/A</v>
      </c>
      <c r="AT294" s="115" t="e">
        <f>VLOOKUP($A294,'S48'!$C:$BQ,60,0)</f>
        <v>#N/A</v>
      </c>
      <c r="AU294" s="107" t="e">
        <f>VLOOKUP($A294,'S49'!$C:$BQ,32,0)</f>
        <v>#N/A</v>
      </c>
      <c r="AV294" s="107" t="e">
        <f>VLOOKUP($A294,'S49'!$C:$BQ,39,0)</f>
        <v>#N/A</v>
      </c>
      <c r="AW294" s="107" t="e">
        <f>VLOOKUP($A294,'S49'!$C:$BQ,40,0)</f>
        <v>#N/A</v>
      </c>
      <c r="AX294" s="107" t="e">
        <f>VLOOKUP($A294,'S49'!$C:$BQ,22,0)</f>
        <v>#N/A</v>
      </c>
      <c r="AY294" s="115" t="e">
        <f>VLOOKUP($A294,'S49'!$C:$BQ,29,0)</f>
        <v>#N/A</v>
      </c>
      <c r="AZ294" s="115" t="e">
        <f>VLOOKUP($A294,'S49'!$C:$BQ,30,0)</f>
        <v>#N/A</v>
      </c>
      <c r="BA294" s="115" t="e">
        <f>VLOOKUP($A294,'S49'!$C:$BQ,52,0)</f>
        <v>#N/A</v>
      </c>
      <c r="BB294" s="115" t="e">
        <f>VLOOKUP($A294,'S49'!$C:$BQ,59,0)</f>
        <v>#N/A</v>
      </c>
      <c r="BC294" s="115" t="e">
        <f>VLOOKUP($A294,'S49'!$C:$BQ,60,0)</f>
        <v>#N/A</v>
      </c>
      <c r="BD294" s="107" t="e">
        <f>VLOOKUP($A294,'S50'!$C:$BQ,32,0)</f>
        <v>#N/A</v>
      </c>
      <c r="BE294" s="107" t="e">
        <f>VLOOKUP($A294,'S50'!$C:$BQ,39,0)</f>
        <v>#N/A</v>
      </c>
      <c r="BF294" s="107" t="e">
        <f>VLOOKUP($A294,'S50'!$C:$BQ,40,0)</f>
        <v>#N/A</v>
      </c>
      <c r="BG294" s="107" t="e">
        <f>VLOOKUP($A294,'S50'!$C:$BQ,22,0)</f>
        <v>#N/A</v>
      </c>
      <c r="BH294" s="115" t="e">
        <f>VLOOKUP($A294,'S50'!$C:$BQ,29,0)</f>
        <v>#N/A</v>
      </c>
      <c r="BI294" s="115" t="e">
        <f>VLOOKUP($A294,'S50'!$C:$BQ,30,0)</f>
        <v>#N/A</v>
      </c>
      <c r="BJ294" s="115" t="e">
        <f>VLOOKUP($A294,'S50'!$C:$BQ,52,0)</f>
        <v>#N/A</v>
      </c>
      <c r="BK294" s="115" t="e">
        <f>VLOOKUP($A294,'S50'!$C:$BQ,59,0)</f>
        <v>#N/A</v>
      </c>
      <c r="BL294" s="115" t="e">
        <f>VLOOKUP($A294,'S50'!$C:$BQ,60,0)</f>
        <v>#N/A</v>
      </c>
    </row>
    <row r="295" spans="1:64" x14ac:dyDescent="0.2">
      <c r="A295" s="106" t="s">
        <v>369</v>
      </c>
      <c r="B295" s="107">
        <f>VLOOKUP($A295,'S0 remplacer avec S44'!$C:$BQ,32,0)</f>
        <v>118.75</v>
      </c>
      <c r="C295" s="107">
        <f>VLOOKUP($A295,'S0 remplacer avec S44'!$C:$BQ,39,0)</f>
        <v>84</v>
      </c>
      <c r="D295" s="107">
        <f>VLOOKUP($A295,'S0 remplacer avec S44'!$C:$BQ,40,0)</f>
        <v>124</v>
      </c>
      <c r="E295" s="107">
        <f>VLOOKUP($A295,'S0 remplacer avec S44'!$C:$BQ,22,0)</f>
        <v>1752.9531199999999</v>
      </c>
      <c r="F295" s="115">
        <f>VLOOKUP($A295,'S0 remplacer avec S44'!$C:$BQ,29,0)</f>
        <v>85</v>
      </c>
      <c r="G295" s="115">
        <f>VLOOKUP($A295,'S0 remplacer avec S44'!$C:$BQ,30,0)</f>
        <v>453</v>
      </c>
      <c r="H295" s="115">
        <f>VLOOKUP($A295,'S0 remplacer avec S44'!$C:$BQ,52,0)</f>
        <v>115.2</v>
      </c>
      <c r="I295" s="115">
        <f>VLOOKUP($A295,'S0 remplacer avec S44'!$C:$BQ,59,0)</f>
        <v>0</v>
      </c>
      <c r="J295" s="115">
        <f>VLOOKUP($A295,'S0 remplacer avec S44'!$C:$BQ,60,0)</f>
        <v>8</v>
      </c>
      <c r="K295" s="107" t="e">
        <f>VLOOKUP($A295,'S45'!$C:$BQ,32,0)</f>
        <v>#N/A</v>
      </c>
      <c r="L295" s="107" t="e">
        <f>VLOOKUP($A295,'S45'!$C:$BQ,39,0)</f>
        <v>#N/A</v>
      </c>
      <c r="M295" s="107" t="e">
        <f>VLOOKUP($A295,'S45'!$C:$BQ,40,0)</f>
        <v>#N/A</v>
      </c>
      <c r="N295" s="107" t="e">
        <f>VLOOKUP($A295,'S45'!$C:$BQ,22,0)</f>
        <v>#N/A</v>
      </c>
      <c r="O295" s="115" t="e">
        <f>VLOOKUP($A295,'S45'!$C:$BQ,29,0)</f>
        <v>#N/A</v>
      </c>
      <c r="P295" s="115" t="e">
        <f>VLOOKUP($A295,'S45'!$C:$BQ,30,0)</f>
        <v>#N/A</v>
      </c>
      <c r="Q295" s="115" t="e">
        <f>VLOOKUP($A295,'S45'!$C:$BQ,52,0)</f>
        <v>#N/A</v>
      </c>
      <c r="R295" s="115" t="e">
        <f>VLOOKUP($A295,'S45'!$C:$BQ,59,0)</f>
        <v>#N/A</v>
      </c>
      <c r="S295" s="115" t="e">
        <f>VLOOKUP($A295,'S45'!$C:$BQ,60,0)</f>
        <v>#N/A</v>
      </c>
      <c r="T295" s="107" t="e">
        <f>VLOOKUP($A295,'S46'!$C:$BQ,32,0)</f>
        <v>#N/A</v>
      </c>
      <c r="U295" s="107" t="e">
        <f>VLOOKUP($A295,'S46'!$C:$BQ,39,0)</f>
        <v>#N/A</v>
      </c>
      <c r="V295" s="107" t="e">
        <f>VLOOKUP($A295,'S46'!$C:$BQ,40,0)</f>
        <v>#N/A</v>
      </c>
      <c r="W295" s="107" t="e">
        <f>VLOOKUP($A295,'S46'!$C:$BQ,22,0)</f>
        <v>#N/A</v>
      </c>
      <c r="X295" s="115" t="e">
        <f>VLOOKUP($A295,'S46'!$C:$BQ,29,0)</f>
        <v>#N/A</v>
      </c>
      <c r="Y295" s="115" t="e">
        <f>VLOOKUP($A295,'S46'!$C:$BQ,30,0)</f>
        <v>#N/A</v>
      </c>
      <c r="Z295" s="115" t="e">
        <f>VLOOKUP($A295,'S46'!$C:$BQ,52,0)</f>
        <v>#N/A</v>
      </c>
      <c r="AA295" s="115" t="e">
        <f>VLOOKUP($A295,'S46'!$C:$BQ,59,0)</f>
        <v>#N/A</v>
      </c>
      <c r="AB295" s="115" t="e">
        <f>VLOOKUP($A295,'S46'!$C:$BQ,60,0)</f>
        <v>#N/A</v>
      </c>
      <c r="AC295" s="107" t="e">
        <f>VLOOKUP($A295,'S47'!$C:$BQ,32,0)</f>
        <v>#N/A</v>
      </c>
      <c r="AD295" s="107" t="e">
        <f>VLOOKUP($A295,'S47'!$C:$BQ,39,0)</f>
        <v>#N/A</v>
      </c>
      <c r="AE295" s="107" t="e">
        <f>VLOOKUP($A295,'S47'!$C:$BQ,40,0)</f>
        <v>#N/A</v>
      </c>
      <c r="AF295" s="107" t="e">
        <f>VLOOKUP($A295,'S47'!$C:$BQ,22,0)</f>
        <v>#N/A</v>
      </c>
      <c r="AG295" s="115" t="e">
        <f>VLOOKUP($A295,'S47'!$C:$BQ,29,0)</f>
        <v>#N/A</v>
      </c>
      <c r="AH295" s="115" t="e">
        <f>VLOOKUP($A295,'S47'!$C:$BQ,30,0)</f>
        <v>#N/A</v>
      </c>
      <c r="AI295" s="115" t="e">
        <f>VLOOKUP($A295,'S47'!$C:$BQ,52,0)</f>
        <v>#N/A</v>
      </c>
      <c r="AJ295" s="115" t="e">
        <f>VLOOKUP($A295,'S47'!$C:$BQ,59,0)</f>
        <v>#N/A</v>
      </c>
      <c r="AK295" s="115" t="e">
        <f>VLOOKUP($A295,'S47'!$C:$BQ,60,0)</f>
        <v>#N/A</v>
      </c>
      <c r="AL295" s="107" t="e">
        <f>VLOOKUP($A295,'S48'!$C:$BQ,32,0)</f>
        <v>#N/A</v>
      </c>
      <c r="AM295" s="107" t="e">
        <f>VLOOKUP($A295,'S48'!$C:$BQ,39,0)</f>
        <v>#N/A</v>
      </c>
      <c r="AN295" s="107" t="e">
        <f>VLOOKUP($A295,'S48'!$C:$BQ,40,0)</f>
        <v>#N/A</v>
      </c>
      <c r="AO295" s="107" t="e">
        <f>VLOOKUP($A295,'S48'!$C:$BQ,22,0)</f>
        <v>#N/A</v>
      </c>
      <c r="AP295" s="115" t="e">
        <f>VLOOKUP($A295,'S48'!$C:$BQ,29,0)</f>
        <v>#N/A</v>
      </c>
      <c r="AQ295" s="115" t="e">
        <f>VLOOKUP($A295,'S48'!$C:$BQ,30,0)</f>
        <v>#N/A</v>
      </c>
      <c r="AR295" s="115" t="e">
        <f>VLOOKUP($A295,'S48'!$C:$BQ,52,0)</f>
        <v>#N/A</v>
      </c>
      <c r="AS295" s="115" t="e">
        <f>VLOOKUP($A295,'S48'!$C:$BQ,59,0)</f>
        <v>#N/A</v>
      </c>
      <c r="AT295" s="115" t="e">
        <f>VLOOKUP($A295,'S48'!$C:$BQ,60,0)</f>
        <v>#N/A</v>
      </c>
      <c r="AU295" s="107" t="e">
        <f>VLOOKUP($A295,'S49'!$C:$BQ,32,0)</f>
        <v>#N/A</v>
      </c>
      <c r="AV295" s="107" t="e">
        <f>VLOOKUP($A295,'S49'!$C:$BQ,39,0)</f>
        <v>#N/A</v>
      </c>
      <c r="AW295" s="107" t="e">
        <f>VLOOKUP($A295,'S49'!$C:$BQ,40,0)</f>
        <v>#N/A</v>
      </c>
      <c r="AX295" s="107" t="e">
        <f>VLOOKUP($A295,'S49'!$C:$BQ,22,0)</f>
        <v>#N/A</v>
      </c>
      <c r="AY295" s="115" t="e">
        <f>VLOOKUP($A295,'S49'!$C:$BQ,29,0)</f>
        <v>#N/A</v>
      </c>
      <c r="AZ295" s="115" t="e">
        <f>VLOOKUP($A295,'S49'!$C:$BQ,30,0)</f>
        <v>#N/A</v>
      </c>
      <c r="BA295" s="115" t="e">
        <f>VLOOKUP($A295,'S49'!$C:$BQ,52,0)</f>
        <v>#N/A</v>
      </c>
      <c r="BB295" s="115" t="e">
        <f>VLOOKUP($A295,'S49'!$C:$BQ,59,0)</f>
        <v>#N/A</v>
      </c>
      <c r="BC295" s="115" t="e">
        <f>VLOOKUP($A295,'S49'!$C:$BQ,60,0)</f>
        <v>#N/A</v>
      </c>
      <c r="BD295" s="107" t="e">
        <f>VLOOKUP($A295,'S50'!$C:$BQ,32,0)</f>
        <v>#N/A</v>
      </c>
      <c r="BE295" s="107" t="e">
        <f>VLOOKUP($A295,'S50'!$C:$BQ,39,0)</f>
        <v>#N/A</v>
      </c>
      <c r="BF295" s="107" t="e">
        <f>VLOOKUP($A295,'S50'!$C:$BQ,40,0)</f>
        <v>#N/A</v>
      </c>
      <c r="BG295" s="107" t="e">
        <f>VLOOKUP($A295,'S50'!$C:$BQ,22,0)</f>
        <v>#N/A</v>
      </c>
      <c r="BH295" s="115" t="e">
        <f>VLOOKUP($A295,'S50'!$C:$BQ,29,0)</f>
        <v>#N/A</v>
      </c>
      <c r="BI295" s="115" t="e">
        <f>VLOOKUP($A295,'S50'!$C:$BQ,30,0)</f>
        <v>#N/A</v>
      </c>
      <c r="BJ295" s="115" t="e">
        <f>VLOOKUP($A295,'S50'!$C:$BQ,52,0)</f>
        <v>#N/A</v>
      </c>
      <c r="BK295" s="115" t="e">
        <f>VLOOKUP($A295,'S50'!$C:$BQ,59,0)</f>
        <v>#N/A</v>
      </c>
      <c r="BL295" s="115" t="e">
        <f>VLOOKUP($A295,'S50'!$C:$BQ,60,0)</f>
        <v>#N/A</v>
      </c>
    </row>
    <row r="296" spans="1:64" x14ac:dyDescent="0.2">
      <c r="A296" s="118"/>
      <c r="B296" s="119"/>
      <c r="C296" s="119"/>
      <c r="D296" s="119"/>
      <c r="E296" s="119"/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79998168889431442"/>
  </sheetPr>
  <dimension ref="A1:E18"/>
  <sheetViews>
    <sheetView showGridLines="0" workbookViewId="0">
      <selection activeCell="E25" sqref="E25"/>
    </sheetView>
  </sheetViews>
  <sheetFormatPr baseColWidth="10" defaultRowHeight="15" x14ac:dyDescent="0.25"/>
  <cols>
    <col min="1" max="1" width="29.85546875" customWidth="1"/>
    <col min="2" max="2" width="23.42578125" customWidth="1"/>
    <col min="3" max="3" width="21.5703125" customWidth="1"/>
    <col min="4" max="4" width="29" customWidth="1"/>
    <col min="5" max="5" width="30.140625" customWidth="1"/>
    <col min="6" max="6" width="4.7109375" customWidth="1"/>
  </cols>
  <sheetData>
    <row r="1" spans="1:5" s="207" customFormat="1" ht="12" x14ac:dyDescent="0.2">
      <c r="A1" s="257" t="s">
        <v>613</v>
      </c>
      <c r="B1" s="257" t="s">
        <v>614</v>
      </c>
      <c r="C1" s="257" t="s">
        <v>615</v>
      </c>
      <c r="D1" s="257" t="s">
        <v>616</v>
      </c>
      <c r="E1" s="257" t="s">
        <v>617</v>
      </c>
    </row>
    <row r="2" spans="1:5" s="207" customFormat="1" ht="12" x14ac:dyDescent="0.2">
      <c r="A2" s="258" t="s">
        <v>4</v>
      </c>
      <c r="B2" s="258" t="s">
        <v>0</v>
      </c>
      <c r="C2" s="259">
        <v>410541</v>
      </c>
      <c r="D2" s="258" t="s">
        <v>59</v>
      </c>
      <c r="E2" s="260"/>
    </row>
    <row r="3" spans="1:5" s="207" customFormat="1" ht="12" x14ac:dyDescent="0.2">
      <c r="A3" s="258" t="s">
        <v>4</v>
      </c>
      <c r="B3" s="258" t="s">
        <v>64</v>
      </c>
      <c r="C3" s="259">
        <v>410510</v>
      </c>
      <c r="D3" s="258" t="s">
        <v>78</v>
      </c>
      <c r="E3" s="260"/>
    </row>
    <row r="4" spans="1:5" s="207" customFormat="1" ht="12" x14ac:dyDescent="0.2">
      <c r="A4" s="258" t="s">
        <v>4</v>
      </c>
      <c r="B4" s="258" t="s">
        <v>64</v>
      </c>
      <c r="C4" s="259">
        <v>410512</v>
      </c>
      <c r="D4" s="258" t="s">
        <v>79</v>
      </c>
      <c r="E4" s="260"/>
    </row>
    <row r="5" spans="1:5" s="207" customFormat="1" ht="12" x14ac:dyDescent="0.2">
      <c r="A5" s="258" t="s">
        <v>4</v>
      </c>
      <c r="B5" s="258" t="s">
        <v>64</v>
      </c>
      <c r="C5" s="259">
        <v>510511</v>
      </c>
      <c r="D5" s="258" t="s">
        <v>76</v>
      </c>
      <c r="E5" s="260"/>
    </row>
    <row r="6" spans="1:5" s="207" customFormat="1" ht="12" x14ac:dyDescent="0.2">
      <c r="A6" s="258" t="s">
        <v>80</v>
      </c>
      <c r="B6" s="258" t="s">
        <v>100</v>
      </c>
      <c r="C6" s="259">
        <v>4007</v>
      </c>
      <c r="D6" s="258" t="s">
        <v>105</v>
      </c>
      <c r="E6" s="260"/>
    </row>
    <row r="7" spans="1:5" s="207" customFormat="1" ht="12" x14ac:dyDescent="0.2">
      <c r="A7" s="258" t="s">
        <v>139</v>
      </c>
      <c r="B7" s="258" t="s">
        <v>140</v>
      </c>
      <c r="C7" s="259">
        <v>4135</v>
      </c>
      <c r="D7" s="258" t="s">
        <v>143</v>
      </c>
      <c r="E7" s="260"/>
    </row>
    <row r="8" spans="1:5" s="207" customFormat="1" ht="12" x14ac:dyDescent="0.2">
      <c r="A8" s="258" t="s">
        <v>175</v>
      </c>
      <c r="B8" s="258" t="s">
        <v>201</v>
      </c>
      <c r="C8" s="259">
        <v>451350</v>
      </c>
      <c r="D8" s="258" t="s">
        <v>209</v>
      </c>
      <c r="E8" s="260"/>
    </row>
    <row r="9" spans="1:5" s="207" customFormat="1" ht="12" x14ac:dyDescent="0.2">
      <c r="A9" s="258" t="s">
        <v>220</v>
      </c>
      <c r="B9" s="258" t="s">
        <v>221</v>
      </c>
      <c r="C9" s="259">
        <v>554266</v>
      </c>
      <c r="D9" s="258" t="s">
        <v>226</v>
      </c>
      <c r="E9" s="260"/>
    </row>
    <row r="10" spans="1:5" s="207" customFormat="1" ht="12" x14ac:dyDescent="0.2">
      <c r="A10" s="258" t="s">
        <v>220</v>
      </c>
      <c r="B10" s="258" t="s">
        <v>240</v>
      </c>
      <c r="C10" s="259">
        <v>454535</v>
      </c>
      <c r="D10" s="258" t="s">
        <v>256</v>
      </c>
      <c r="E10" s="260"/>
    </row>
    <row r="11" spans="1:5" s="207" customFormat="1" ht="12" x14ac:dyDescent="0.2">
      <c r="A11" s="258" t="s">
        <v>220</v>
      </c>
      <c r="B11" s="258" t="s">
        <v>240</v>
      </c>
      <c r="C11" s="259">
        <v>554506</v>
      </c>
      <c r="D11" s="258" t="s">
        <v>242</v>
      </c>
      <c r="E11" s="260"/>
    </row>
    <row r="12" spans="1:5" s="207" customFormat="1" ht="12" x14ac:dyDescent="0.2">
      <c r="A12" s="258" t="s">
        <v>220</v>
      </c>
      <c r="B12" s="258" t="s">
        <v>260</v>
      </c>
      <c r="C12" s="259">
        <v>455456</v>
      </c>
      <c r="D12" s="258" t="s">
        <v>268</v>
      </c>
      <c r="E12" s="260"/>
    </row>
    <row r="13" spans="1:5" s="207" customFormat="1" ht="12" x14ac:dyDescent="0.2">
      <c r="A13" s="258" t="s">
        <v>275</v>
      </c>
      <c r="B13" s="258" t="s">
        <v>318</v>
      </c>
      <c r="C13" s="259">
        <v>457632</v>
      </c>
      <c r="D13" s="258" t="s">
        <v>334</v>
      </c>
      <c r="E13" s="260"/>
    </row>
    <row r="14" spans="1:5" s="207" customFormat="1" ht="12" x14ac:dyDescent="0.2">
      <c r="A14" s="258" t="s">
        <v>339</v>
      </c>
      <c r="B14" s="258" t="s">
        <v>340</v>
      </c>
      <c r="C14" s="259">
        <v>488286</v>
      </c>
      <c r="D14" s="258" t="s">
        <v>346</v>
      </c>
      <c r="E14" s="260"/>
    </row>
    <row r="15" spans="1:5" s="207" customFormat="1" ht="12" x14ac:dyDescent="0.2">
      <c r="A15" s="258" t="s">
        <v>339</v>
      </c>
      <c r="B15" s="258" t="s">
        <v>357</v>
      </c>
      <c r="C15" s="259">
        <v>488326</v>
      </c>
      <c r="D15" s="258" t="s">
        <v>361</v>
      </c>
      <c r="E15" s="260"/>
    </row>
    <row r="16" spans="1:5" s="207" customFormat="1" ht="12" x14ac:dyDescent="0.2">
      <c r="A16" s="258" t="s">
        <v>339</v>
      </c>
      <c r="B16" s="258" t="s">
        <v>357</v>
      </c>
      <c r="C16" s="259">
        <v>488586</v>
      </c>
      <c r="D16" s="258" t="s">
        <v>357</v>
      </c>
      <c r="E16" s="260"/>
    </row>
    <row r="17" spans="1:5" s="207" customFormat="1" ht="12" x14ac:dyDescent="0.2">
      <c r="A17" s="258" t="s">
        <v>339</v>
      </c>
      <c r="B17" s="258" t="s">
        <v>357</v>
      </c>
      <c r="C17" s="259">
        <v>588386</v>
      </c>
      <c r="D17" s="258" t="s">
        <v>363</v>
      </c>
      <c r="E17" s="260"/>
    </row>
    <row r="18" spans="1:5" s="207" customFormat="1" ht="12" x14ac:dyDescent="0.2"/>
  </sheetData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79998168889431442"/>
  </sheetPr>
  <dimension ref="A1:Z297"/>
  <sheetViews>
    <sheetView workbookViewId="0">
      <selection sqref="A1:XFD1048576"/>
    </sheetView>
  </sheetViews>
  <sheetFormatPr baseColWidth="10" defaultRowHeight="15" x14ac:dyDescent="0.25"/>
  <cols>
    <col min="1" max="1" width="5.5703125" bestFit="1" customWidth="1"/>
    <col min="2" max="2" width="35.28515625" bestFit="1" customWidth="1"/>
    <col min="3" max="3" width="7" bestFit="1" customWidth="1"/>
    <col min="4" max="4" width="31.28515625" bestFit="1" customWidth="1"/>
    <col min="5" max="5" width="9.85546875" bestFit="1" customWidth="1"/>
    <col min="6" max="6" width="40.85546875" bestFit="1" customWidth="1"/>
    <col min="7" max="8" width="8.42578125" bestFit="1" customWidth="1"/>
    <col min="9" max="9" width="9.5703125" bestFit="1" customWidth="1"/>
    <col min="10" max="10" width="9.85546875" bestFit="1" customWidth="1"/>
    <col min="11" max="11" width="5.28515625" bestFit="1" customWidth="1"/>
  </cols>
  <sheetData>
    <row r="1" spans="1:26" x14ac:dyDescent="0.25">
      <c r="A1" s="313" t="s">
        <v>445</v>
      </c>
      <c r="B1" s="313"/>
      <c r="C1" s="313"/>
      <c r="D1" s="313"/>
      <c r="E1" s="313"/>
      <c r="F1" s="313"/>
      <c r="G1" s="313"/>
      <c r="H1" s="313"/>
      <c r="I1" s="313"/>
      <c r="J1" s="313"/>
      <c r="K1" s="313"/>
      <c r="M1" s="314" t="s">
        <v>446</v>
      </c>
      <c r="N1" s="314"/>
      <c r="O1" s="314"/>
      <c r="P1" s="314"/>
      <c r="Q1" s="314"/>
      <c r="R1" s="314"/>
      <c r="S1" s="314"/>
      <c r="U1" s="315" t="s">
        <v>447</v>
      </c>
      <c r="V1" s="315"/>
      <c r="W1" s="315"/>
      <c r="X1" s="315"/>
      <c r="Y1" s="315"/>
      <c r="Z1" s="315"/>
    </row>
    <row r="2" spans="1:26" x14ac:dyDescent="0.25">
      <c r="M2" t="s">
        <v>448</v>
      </c>
      <c r="O2">
        <v>44</v>
      </c>
    </row>
    <row r="3" spans="1:26" ht="15.75" thickBot="1" x14ac:dyDescent="0.3">
      <c r="M3" s="104" t="s">
        <v>449</v>
      </c>
      <c r="N3" s="104"/>
      <c r="O3">
        <f>50-O2</f>
        <v>6</v>
      </c>
    </row>
    <row r="4" spans="1:26" ht="30.75" thickBot="1" x14ac:dyDescent="0.3">
      <c r="A4" s="128"/>
      <c r="B4" s="129" t="s">
        <v>450</v>
      </c>
      <c r="C4" s="128" t="s">
        <v>451</v>
      </c>
      <c r="D4" s="129" t="s">
        <v>452</v>
      </c>
      <c r="E4" s="128" t="s">
        <v>451</v>
      </c>
      <c r="F4" s="129" t="s">
        <v>453</v>
      </c>
      <c r="G4" s="129" t="s">
        <v>454</v>
      </c>
      <c r="H4" s="130" t="s">
        <v>455</v>
      </c>
      <c r="I4" s="131" t="s">
        <v>456</v>
      </c>
      <c r="J4" s="131" t="s">
        <v>457</v>
      </c>
      <c r="K4" s="132" t="s">
        <v>458</v>
      </c>
      <c r="M4" s="133" t="s">
        <v>456</v>
      </c>
      <c r="N4" s="133" t="s">
        <v>459</v>
      </c>
      <c r="O4" s="133" t="s">
        <v>460</v>
      </c>
      <c r="P4" s="133" t="s">
        <v>461</v>
      </c>
      <c r="Q4" s="133" t="s">
        <v>462</v>
      </c>
      <c r="R4" s="133" t="s">
        <v>463</v>
      </c>
      <c r="S4" s="133" t="s">
        <v>464</v>
      </c>
      <c r="U4" s="133" t="s">
        <v>465</v>
      </c>
      <c r="V4" s="133" t="s">
        <v>466</v>
      </c>
      <c r="W4" s="133" t="s">
        <v>467</v>
      </c>
      <c r="X4" s="133" t="s">
        <v>468</v>
      </c>
      <c r="Y4" s="133" t="s">
        <v>469</v>
      </c>
      <c r="Z4" s="133" t="s">
        <v>470</v>
      </c>
    </row>
    <row r="5" spans="1:26" ht="19.5" thickBot="1" x14ac:dyDescent="0.35">
      <c r="A5" s="134">
        <v>50</v>
      </c>
      <c r="B5" s="135" t="s">
        <v>4</v>
      </c>
      <c r="C5" s="134">
        <v>21</v>
      </c>
      <c r="D5" s="135" t="s">
        <v>0</v>
      </c>
      <c r="E5" s="134">
        <v>410560</v>
      </c>
      <c r="F5" s="135" t="s">
        <v>5</v>
      </c>
      <c r="G5" s="136">
        <v>1.8999518999518987</v>
      </c>
      <c r="H5" s="137">
        <v>159.28280643192167</v>
      </c>
      <c r="I5" s="138">
        <v>0.77509002841981578</v>
      </c>
      <c r="J5" s="139">
        <v>0.9389661807581553</v>
      </c>
      <c r="K5" s="140">
        <v>183</v>
      </c>
      <c r="M5" s="138">
        <f t="shared" ref="M5:M68" si="0">I5</f>
        <v>0.77509002841981578</v>
      </c>
      <c r="N5" s="138">
        <f>VLOOKUP(1,$K$5:$M$297,3,0)</f>
        <v>12.699353211840561</v>
      </c>
      <c r="O5" s="138">
        <f>VLOOKUP(10,$K$5:$M$297,3,0)</f>
        <v>2.6082384428123953</v>
      </c>
      <c r="P5" s="138">
        <f>VLOOKUP(30,$K$5:$M$297,3,0)</f>
        <v>1.914975633001748</v>
      </c>
      <c r="Q5" s="138">
        <f>VLOOKUP(50,$K$5:$M$297,3,0)</f>
        <v>1.6623042923820932</v>
      </c>
      <c r="R5" s="138">
        <f>VLOOKUP(100,$K$5:$M$297,3,0)</f>
        <v>1.2624746393587887</v>
      </c>
      <c r="S5" s="138">
        <f>VLOOKUP(150,$K$5:$M$297,3,0)</f>
        <v>0.93947728518347895</v>
      </c>
      <c r="U5" s="141">
        <f>((((($N$5-$M5)))/0.003)*G5*1000)+(((((($N$5/$O$2)-($M5/$O$2))))/0.003)*G5*1000)*$O$3</f>
        <v>8581638.8222979996</v>
      </c>
      <c r="V5" s="141">
        <f>((((($O$5-$M5)))/0.003)*G5*1000)+(((((($O$5/$O$2)-($M5/$O$2))))/0.003)*G5*1000)*$O$3</f>
        <v>1319277.959401133</v>
      </c>
      <c r="W5" s="141">
        <f>((((($P$5-$M5)))/0.003)*G5*1000)+(((((($P$5/$O$2)-($M5/$O$2))))/0.003)*G5*1000)*$O$3</f>
        <v>820351.44702775031</v>
      </c>
      <c r="X5" s="141">
        <f>((((($Q$5-$M5)))/0.003)*G5*1000)+(((((($Q$5/$O$2)-($M5/$O$2))))/0.003)*G5*1000)*$O$3</f>
        <v>638509.25245437655</v>
      </c>
      <c r="Y5" s="141">
        <f>((((($R$5-$M5)))/0.003)*G5*1000)+(((((($R$5/$O$2)-($M5/$O$2))))/0.003)*G5*1000)*$O$3</f>
        <v>350760.34756091615</v>
      </c>
      <c r="Z5" s="141">
        <f>((((($S$5-$M5)))/0.003)*G5*1000)+(((((($S$5/$O$2)-($M5/$O$2))))/0.003)*G5*1000)*$O$3</f>
        <v>118306.01546060698</v>
      </c>
    </row>
    <row r="6" spans="1:26" ht="19.5" thickBot="1" x14ac:dyDescent="0.35">
      <c r="A6" s="142">
        <v>50</v>
      </c>
      <c r="B6" s="143" t="s">
        <v>4</v>
      </c>
      <c r="C6" s="142">
        <v>21</v>
      </c>
      <c r="D6" s="143" t="s">
        <v>0</v>
      </c>
      <c r="E6" s="142">
        <v>410566</v>
      </c>
      <c r="F6" s="143" t="s">
        <v>56</v>
      </c>
      <c r="G6" s="144">
        <v>9.1914924979441111</v>
      </c>
      <c r="H6" s="145">
        <v>186.96285288971026</v>
      </c>
      <c r="I6" s="146">
        <v>1.1548310004141555</v>
      </c>
      <c r="J6" s="147">
        <v>0.90906379394681147</v>
      </c>
      <c r="K6" s="148">
        <v>111</v>
      </c>
      <c r="M6" s="138">
        <f t="shared" si="0"/>
        <v>1.1548310004141555</v>
      </c>
      <c r="N6" s="149"/>
      <c r="U6" s="141">
        <f>((((($N$5-$M6)))/0.003)*G6*1000)+(((((($N$5/$O$2)-($M6/$O$2))))/0.003)*G6*1000)*$O$3</f>
        <v>40193708.067679912</v>
      </c>
      <c r="V6" s="141">
        <f>((((($O$5-$M6)))/0.003)*G6*1000)+(((((($O$5/$O$2)-($M6/$O$2))))/0.003)*G6*1000)*$O$3</f>
        <v>5060221.061840741</v>
      </c>
      <c r="W6" s="141">
        <f>((((($P$5-$M6)))/0.003)*G6*1000)+(((((($P$5/$O$2)-($M6/$O$2))))/0.003)*G6*1000)*$O$3</f>
        <v>2646539.2756747496</v>
      </c>
      <c r="X6" s="141">
        <f>((((($Q$5-$M6)))/0.003)*G6*1000)+(((((($Q$5/$O$2)-($M6/$O$2))))/0.003)*G6*1000)*$O$3</f>
        <v>1766832.1803145078</v>
      </c>
      <c r="Y6" s="141">
        <f t="shared" ref="Y6:Y69" si="1">((((($R$5-$M6)))/0.003)*G6*1000)+(((((($R$5/$O$2)-($M6/$O$2))))/0.003)*G6*1000)*$O$3</f>
        <v>374774.88629204547</v>
      </c>
      <c r="Z6" s="141">
        <f>((((($S$5-$M6)))/0.003)*G6*1000)+(((((($S$5/$O$2)-($M6/$O$2))))/0.003)*G6*1000)*$O$3</f>
        <v>-749781.08255574096</v>
      </c>
    </row>
    <row r="7" spans="1:26" ht="19.5" thickBot="1" x14ac:dyDescent="0.35">
      <c r="A7" s="142">
        <v>50</v>
      </c>
      <c r="B7" s="143" t="s">
        <v>4</v>
      </c>
      <c r="C7" s="142">
        <v>21</v>
      </c>
      <c r="D7" s="143" t="s">
        <v>0</v>
      </c>
      <c r="E7" s="142">
        <v>510590</v>
      </c>
      <c r="F7" s="143" t="s">
        <v>57</v>
      </c>
      <c r="G7" s="144">
        <v>2.4137029144041779</v>
      </c>
      <c r="H7" s="145">
        <v>131.52422379966555</v>
      </c>
      <c r="I7" s="146">
        <v>0.88934954840119329</v>
      </c>
      <c r="J7" s="147">
        <v>0.92996890994637538</v>
      </c>
      <c r="K7" s="148">
        <v>161</v>
      </c>
      <c r="M7" s="138">
        <f t="shared" si="0"/>
        <v>0.88934954840119329</v>
      </c>
      <c r="N7" s="149"/>
      <c r="U7" s="141">
        <f t="shared" ref="U7:U70" si="2">((((($N$5-$M7)))/0.003)*G7*1000)+(((((($N$5/$O$2)-($M7/$O$2))))/0.003)*G7*1000)*$O$3</f>
        <v>10797666.76574531</v>
      </c>
      <c r="V7" s="141">
        <f t="shared" ref="V7:V70" si="3">((((($O$5-$M7)))/0.003)*G7*1000)+(((((($O$5/$O$2)-($M7/$O$2))))/0.003)*G7*1000)*$O$3</f>
        <v>1571548.156809581</v>
      </c>
      <c r="W7" s="141">
        <f t="shared" ref="W7:W70" si="4">((((($P$5-$M7)))/0.003)*G7*1000)+(((((($P$5/$O$2)-($M7/$O$2))))/0.003)*G7*1000)*$O$3</f>
        <v>937710.85965503973</v>
      </c>
      <c r="X7" s="141">
        <f t="shared" ref="X7:X70" si="5">((((($Q$5-$M7)))/0.003)*G7*1000)+(((((($Q$5/$O$2)-($M7/$O$2))))/0.003)*G7*1000)*$O$3</f>
        <v>706698.15085198218</v>
      </c>
      <c r="Y7" s="141">
        <f t="shared" si="1"/>
        <v>341141.33313699701</v>
      </c>
      <c r="Z7" s="141">
        <f t="shared" ref="Z7:Z70" si="6">((((($S$5-$M7)))/0.003)*G7*1000)+(((((($S$5/$O$2)-($M7/$O$2))))/0.003)*G7*1000)*$O$3</f>
        <v>45830.857713594094</v>
      </c>
    </row>
    <row r="8" spans="1:26" ht="19.5" thickBot="1" x14ac:dyDescent="0.35">
      <c r="A8" s="142">
        <v>50</v>
      </c>
      <c r="B8" s="143" t="s">
        <v>4</v>
      </c>
      <c r="C8" s="142">
        <v>21</v>
      </c>
      <c r="D8" s="143" t="s">
        <v>0</v>
      </c>
      <c r="E8" s="142">
        <v>451154</v>
      </c>
      <c r="F8" s="143" t="s">
        <v>58</v>
      </c>
      <c r="G8" s="144">
        <v>2.8152337732047874</v>
      </c>
      <c r="H8" s="145">
        <v>38.493977587742208</v>
      </c>
      <c r="I8" s="146">
        <v>0.12055144374517017</v>
      </c>
      <c r="J8" s="147">
        <v>0.99050727688771034</v>
      </c>
      <c r="K8" s="148">
        <v>293</v>
      </c>
      <c r="M8" s="138">
        <f t="shared" si="0"/>
        <v>0.12055144374517017</v>
      </c>
      <c r="N8" s="149"/>
      <c r="U8" s="141">
        <f t="shared" si="2"/>
        <v>13413737.713632667</v>
      </c>
      <c r="V8" s="141">
        <f t="shared" si="3"/>
        <v>2652810.7791426205</v>
      </c>
      <c r="W8" s="141">
        <f t="shared" si="4"/>
        <v>1913531.6594889155</v>
      </c>
      <c r="X8" s="141">
        <f t="shared" si="5"/>
        <v>1644088.8975065732</v>
      </c>
      <c r="Y8" s="141">
        <f t="shared" si="1"/>
        <v>1217719.9798096197</v>
      </c>
      <c r="Z8" s="141">
        <f t="shared" si="6"/>
        <v>873283.21460881643</v>
      </c>
    </row>
    <row r="9" spans="1:26" ht="19.5" thickBot="1" x14ac:dyDescent="0.35">
      <c r="A9" s="142">
        <v>50</v>
      </c>
      <c r="B9" s="143" t="s">
        <v>4</v>
      </c>
      <c r="C9" s="142">
        <v>21</v>
      </c>
      <c r="D9" s="143" t="s">
        <v>0</v>
      </c>
      <c r="E9" s="142">
        <v>410541</v>
      </c>
      <c r="F9" s="143" t="s">
        <v>59</v>
      </c>
      <c r="G9" s="144">
        <v>6.6773487932149918</v>
      </c>
      <c r="H9" s="145">
        <v>172.70134179328483</v>
      </c>
      <c r="I9" s="146">
        <v>0.88019987732289262</v>
      </c>
      <c r="J9" s="147">
        <v>0.93068939318088928</v>
      </c>
      <c r="K9" s="148">
        <v>162</v>
      </c>
      <c r="M9" s="138">
        <f t="shared" si="0"/>
        <v>0.88019987732289262</v>
      </c>
      <c r="N9" s="149"/>
      <c r="U9" s="141">
        <f t="shared" si="2"/>
        <v>29894170.172372922</v>
      </c>
      <c r="V9" s="141">
        <f t="shared" si="3"/>
        <v>4370725.8446592027</v>
      </c>
      <c r="W9" s="141">
        <f t="shared" si="4"/>
        <v>2617257.0619054297</v>
      </c>
      <c r="X9" s="141">
        <f t="shared" si="5"/>
        <v>1978175.7469938141</v>
      </c>
      <c r="Y9" s="141">
        <f t="shared" si="1"/>
        <v>966887.09127156762</v>
      </c>
      <c r="Z9" s="141">
        <f t="shared" si="6"/>
        <v>149930.27569802996</v>
      </c>
    </row>
    <row r="10" spans="1:26" ht="19.5" thickBot="1" x14ac:dyDescent="0.35">
      <c r="A10" s="142">
        <v>50</v>
      </c>
      <c r="B10" s="143" t="s">
        <v>4</v>
      </c>
      <c r="C10" s="142">
        <v>21</v>
      </c>
      <c r="D10" s="143" t="s">
        <v>0</v>
      </c>
      <c r="E10" s="142">
        <v>410582</v>
      </c>
      <c r="F10" s="143" t="s">
        <v>471</v>
      </c>
      <c r="G10" s="144">
        <v>2.0789473684210522</v>
      </c>
      <c r="H10" s="145">
        <v>62.531598430379766</v>
      </c>
      <c r="I10" s="146">
        <v>0.40826201706329124</v>
      </c>
      <c r="J10" s="147">
        <v>0.96785174723050948</v>
      </c>
      <c r="K10" s="148">
        <v>252</v>
      </c>
      <c r="M10" s="138">
        <f t="shared" si="0"/>
        <v>0.40826201706329124</v>
      </c>
      <c r="N10" s="149"/>
      <c r="U10" s="141">
        <f t="shared" si="2"/>
        <v>9678989.2781838495</v>
      </c>
      <c r="V10" s="141">
        <f t="shared" si="3"/>
        <v>1732437.5760982772</v>
      </c>
      <c r="W10" s="141">
        <f t="shared" si="4"/>
        <v>1186506.9344012963</v>
      </c>
      <c r="X10" s="141">
        <f t="shared" si="5"/>
        <v>987533.29097074713</v>
      </c>
      <c r="Y10" s="141">
        <f t="shared" si="1"/>
        <v>672675.41030048137</v>
      </c>
      <c r="Z10" s="141">
        <f t="shared" si="6"/>
        <v>418321.4332286166</v>
      </c>
    </row>
    <row r="11" spans="1:26" ht="19.5" thickBot="1" x14ac:dyDescent="0.35">
      <c r="A11" s="142">
        <v>50</v>
      </c>
      <c r="B11" s="143" t="s">
        <v>4</v>
      </c>
      <c r="C11" s="142">
        <v>21</v>
      </c>
      <c r="D11" s="143" t="s">
        <v>0</v>
      </c>
      <c r="E11" s="142">
        <v>451156</v>
      </c>
      <c r="F11" s="143" t="s">
        <v>61</v>
      </c>
      <c r="G11" s="144">
        <v>5.4163613696573032</v>
      </c>
      <c r="H11" s="145">
        <v>165.43792870243723</v>
      </c>
      <c r="I11" s="146">
        <v>1.000888426438763</v>
      </c>
      <c r="J11" s="147">
        <v>0.92118587382028561</v>
      </c>
      <c r="K11" s="148">
        <v>136</v>
      </c>
      <c r="M11" s="138">
        <f t="shared" si="0"/>
        <v>1.000888426438763</v>
      </c>
      <c r="N11" s="149"/>
      <c r="U11" s="141">
        <f t="shared" si="2"/>
        <v>24001179.071191896</v>
      </c>
      <c r="V11" s="141">
        <f t="shared" si="3"/>
        <v>3297722.9303803695</v>
      </c>
      <c r="W11" s="141">
        <f t="shared" si="4"/>
        <v>1875388.8765627684</v>
      </c>
      <c r="X11" s="141">
        <f t="shared" si="5"/>
        <v>1356995.2066567754</v>
      </c>
      <c r="Y11" s="141">
        <f t="shared" si="1"/>
        <v>536683.88579355204</v>
      </c>
      <c r="Z11" s="141">
        <f t="shared" si="6"/>
        <v>-125994.29286427583</v>
      </c>
    </row>
    <row r="12" spans="1:26" ht="19.5" thickBot="1" x14ac:dyDescent="0.35">
      <c r="A12" s="142">
        <v>50</v>
      </c>
      <c r="B12" s="143" t="s">
        <v>4</v>
      </c>
      <c r="C12" s="142">
        <v>21</v>
      </c>
      <c r="D12" s="143" t="s">
        <v>0</v>
      </c>
      <c r="E12" s="142">
        <v>551157</v>
      </c>
      <c r="F12" s="143" t="s">
        <v>62</v>
      </c>
      <c r="G12" s="144">
        <v>2.5347178251492424</v>
      </c>
      <c r="H12" s="145">
        <v>204.95750274270139</v>
      </c>
      <c r="I12" s="146">
        <v>2.146522635701924</v>
      </c>
      <c r="J12" s="147">
        <v>0.83097386143252083</v>
      </c>
      <c r="K12" s="148">
        <v>24</v>
      </c>
      <c r="M12" s="138">
        <f t="shared" si="0"/>
        <v>2.146522635701924</v>
      </c>
      <c r="N12" s="149"/>
      <c r="U12" s="141">
        <f t="shared" si="2"/>
        <v>10131987.79057521</v>
      </c>
      <c r="V12" s="141">
        <f t="shared" si="3"/>
        <v>443302.76001366694</v>
      </c>
      <c r="W12" s="141">
        <f t="shared" si="4"/>
        <v>-222312.99814546056</v>
      </c>
      <c r="X12" s="141">
        <f t="shared" si="5"/>
        <v>-464907.90381704952</v>
      </c>
      <c r="Y12" s="141">
        <f t="shared" si="1"/>
        <v>-848792.5055372793</v>
      </c>
      <c r="Z12" s="141">
        <f t="shared" si="6"/>
        <v>-1158908.8506525068</v>
      </c>
    </row>
    <row r="13" spans="1:26" ht="19.5" thickBot="1" x14ac:dyDescent="0.35">
      <c r="A13" s="142">
        <v>50</v>
      </c>
      <c r="B13" s="143" t="s">
        <v>4</v>
      </c>
      <c r="C13" s="142">
        <v>21</v>
      </c>
      <c r="D13" s="143" t="s">
        <v>0</v>
      </c>
      <c r="E13" s="142">
        <v>451151</v>
      </c>
      <c r="F13" s="143" t="s">
        <v>63</v>
      </c>
      <c r="G13" s="144">
        <v>2.8184251680890458</v>
      </c>
      <c r="H13" s="145">
        <v>131.84191007346982</v>
      </c>
      <c r="I13" s="146">
        <v>1.0334692001685866</v>
      </c>
      <c r="J13" s="147">
        <v>0.91862032790732961</v>
      </c>
      <c r="K13" s="148">
        <v>130</v>
      </c>
      <c r="M13" s="138">
        <f t="shared" si="0"/>
        <v>1.0334692001685866</v>
      </c>
      <c r="N13" s="149"/>
      <c r="U13" s="141">
        <f t="shared" si="2"/>
        <v>12454326.176706022</v>
      </c>
      <c r="V13" s="141">
        <f t="shared" si="3"/>
        <v>1681200.4800756953</v>
      </c>
      <c r="W13" s="141">
        <f t="shared" si="4"/>
        <v>941083.30156415841</v>
      </c>
      <c r="X13" s="141">
        <f t="shared" si="5"/>
        <v>671335.09487581183</v>
      </c>
      <c r="Y13" s="141">
        <f t="shared" si="1"/>
        <v>244482.83842536027</v>
      </c>
      <c r="Z13" s="141">
        <f t="shared" si="6"/>
        <v>-100344.38590564893</v>
      </c>
    </row>
    <row r="14" spans="1:26" ht="19.5" thickBot="1" x14ac:dyDescent="0.35">
      <c r="A14" s="142">
        <v>50</v>
      </c>
      <c r="B14" s="143" t="s">
        <v>4</v>
      </c>
      <c r="C14" s="142">
        <v>14</v>
      </c>
      <c r="D14" s="143" t="s">
        <v>64</v>
      </c>
      <c r="E14" s="142">
        <v>510530</v>
      </c>
      <c r="F14" s="143" t="s">
        <v>65</v>
      </c>
      <c r="G14" s="144">
        <v>3.6851069298474619</v>
      </c>
      <c r="H14" s="145">
        <v>200.17195655718297</v>
      </c>
      <c r="I14" s="146">
        <v>2.1319409131949403</v>
      </c>
      <c r="J14" s="147">
        <v>0.83212208703612001</v>
      </c>
      <c r="K14" s="148">
        <v>25</v>
      </c>
      <c r="M14" s="138">
        <f t="shared" si="0"/>
        <v>2.1319409131949403</v>
      </c>
      <c r="N14" s="149"/>
      <c r="U14" s="141">
        <f t="shared" si="2"/>
        <v>14750774.353141772</v>
      </c>
      <c r="V14" s="141">
        <f t="shared" si="3"/>
        <v>664851.26025095081</v>
      </c>
      <c r="W14" s="141">
        <f t="shared" si="4"/>
        <v>-302856.158172814</v>
      </c>
      <c r="X14" s="141">
        <f t="shared" si="5"/>
        <v>-655553.47191953321</v>
      </c>
      <c r="Y14" s="141">
        <f t="shared" si="1"/>
        <v>-1213665.2238569143</v>
      </c>
      <c r="Z14" s="141">
        <f t="shared" si="6"/>
        <v>-1664528.7799909399</v>
      </c>
    </row>
    <row r="15" spans="1:26" ht="19.5" thickBot="1" x14ac:dyDescent="0.35">
      <c r="A15" s="142">
        <v>50</v>
      </c>
      <c r="B15" s="143" t="s">
        <v>4</v>
      </c>
      <c r="C15" s="142">
        <v>14</v>
      </c>
      <c r="D15" s="143" t="s">
        <v>64</v>
      </c>
      <c r="E15" s="142">
        <v>410550</v>
      </c>
      <c r="F15" s="143" t="s">
        <v>66</v>
      </c>
      <c r="G15" s="144">
        <v>2.9880840429759532</v>
      </c>
      <c r="H15" s="145">
        <v>213.13125247164447</v>
      </c>
      <c r="I15" s="146">
        <v>1.4816123928163649</v>
      </c>
      <c r="J15" s="147">
        <v>0.88333166515638406</v>
      </c>
      <c r="K15" s="148">
        <v>69</v>
      </c>
      <c r="M15" s="138">
        <f t="shared" si="0"/>
        <v>1.4816123928163649</v>
      </c>
      <c r="N15" s="149"/>
      <c r="U15" s="141">
        <f t="shared" si="2"/>
        <v>12696800.128623562</v>
      </c>
      <c r="V15" s="141">
        <f t="shared" si="3"/>
        <v>1275171.7130280936</v>
      </c>
      <c r="W15" s="141">
        <f t="shared" si="4"/>
        <v>490502.19045844639</v>
      </c>
      <c r="X15" s="141">
        <f t="shared" si="5"/>
        <v>204516.12946491141</v>
      </c>
      <c r="Y15" s="141">
        <f t="shared" si="1"/>
        <v>-248031.06981825081</v>
      </c>
      <c r="Z15" s="141">
        <f t="shared" si="6"/>
        <v>-613615.63039957476</v>
      </c>
    </row>
    <row r="16" spans="1:26" ht="19.5" thickBot="1" x14ac:dyDescent="0.35">
      <c r="A16" s="142">
        <v>50</v>
      </c>
      <c r="B16" s="143" t="s">
        <v>4</v>
      </c>
      <c r="C16" s="142">
        <v>14</v>
      </c>
      <c r="D16" s="143" t="s">
        <v>64</v>
      </c>
      <c r="E16" s="142">
        <v>510556</v>
      </c>
      <c r="F16" s="143" t="s">
        <v>67</v>
      </c>
      <c r="G16" s="144">
        <v>3.73188092915326</v>
      </c>
      <c r="H16" s="145">
        <v>187.70043171472074</v>
      </c>
      <c r="I16" s="146">
        <v>2.1554765462908616</v>
      </c>
      <c r="J16" s="147">
        <v>0.83026879319482594</v>
      </c>
      <c r="K16" s="148">
        <v>23</v>
      </c>
      <c r="M16" s="138">
        <f t="shared" si="0"/>
        <v>2.1554765462908616</v>
      </c>
      <c r="N16" s="149"/>
      <c r="U16" s="141">
        <f t="shared" si="2"/>
        <v>14904731.911935223</v>
      </c>
      <c r="V16" s="141">
        <f t="shared" si="3"/>
        <v>640020.26025605039</v>
      </c>
      <c r="W16" s="141">
        <f t="shared" si="4"/>
        <v>-339969.98929832753</v>
      </c>
      <c r="X16" s="141">
        <f t="shared" si="5"/>
        <v>-697143.98831426597</v>
      </c>
      <c r="Y16" s="141">
        <f t="shared" si="1"/>
        <v>-1262339.6917338248</v>
      </c>
      <c r="Z16" s="141">
        <f t="shared" si="6"/>
        <v>-1718925.9289360216</v>
      </c>
    </row>
    <row r="17" spans="1:26" ht="19.5" thickBot="1" x14ac:dyDescent="0.35">
      <c r="A17" s="142">
        <v>50</v>
      </c>
      <c r="B17" s="143" t="s">
        <v>4</v>
      </c>
      <c r="C17" s="142">
        <v>14</v>
      </c>
      <c r="D17" s="143" t="s">
        <v>64</v>
      </c>
      <c r="E17" s="142">
        <v>410551</v>
      </c>
      <c r="F17" s="143" t="s">
        <v>472</v>
      </c>
      <c r="G17" s="144">
        <v>2.4135234435568145</v>
      </c>
      <c r="H17" s="145">
        <v>105.82337381136263</v>
      </c>
      <c r="I17" s="146">
        <v>0.65716295606915387</v>
      </c>
      <c r="J17" s="147">
        <v>0.94825224992904111</v>
      </c>
      <c r="K17" s="148">
        <v>206</v>
      </c>
      <c r="M17" s="138">
        <f t="shared" si="0"/>
        <v>0.65716295606915387</v>
      </c>
      <c r="N17" s="149"/>
      <c r="U17" s="141">
        <f t="shared" si="2"/>
        <v>11009132.005331714</v>
      </c>
      <c r="V17" s="141">
        <f t="shared" si="3"/>
        <v>1783699.4043196347</v>
      </c>
      <c r="W17" s="141">
        <f t="shared" si="4"/>
        <v>1149909.2361287007</v>
      </c>
      <c r="X17" s="141">
        <f t="shared" si="5"/>
        <v>918913.70427246345</v>
      </c>
      <c r="Y17" s="141">
        <f t="shared" si="1"/>
        <v>553384.06752968603</v>
      </c>
      <c r="Z17" s="141">
        <f t="shared" si="6"/>
        <v>258095.5499126658</v>
      </c>
    </row>
    <row r="18" spans="1:26" ht="19.5" thickBot="1" x14ac:dyDescent="0.35">
      <c r="A18" s="142">
        <v>50</v>
      </c>
      <c r="B18" s="143" t="s">
        <v>4</v>
      </c>
      <c r="C18" s="142">
        <v>14</v>
      </c>
      <c r="D18" s="143" t="s">
        <v>64</v>
      </c>
      <c r="E18" s="142">
        <v>510523</v>
      </c>
      <c r="F18" s="143" t="s">
        <v>69</v>
      </c>
      <c r="G18" s="144">
        <v>5.7520380455864339</v>
      </c>
      <c r="H18" s="145">
        <v>157.26257219110167</v>
      </c>
      <c r="I18" s="146">
        <v>0.73167997009326402</v>
      </c>
      <c r="J18" s="147">
        <v>0.94238446967432454</v>
      </c>
      <c r="K18" s="148">
        <v>192</v>
      </c>
      <c r="M18" s="138">
        <f t="shared" si="0"/>
        <v>0.73167997009326402</v>
      </c>
      <c r="N18" s="149"/>
      <c r="U18" s="141">
        <f t="shared" si="2"/>
        <v>26075193.865029234</v>
      </c>
      <c r="V18" s="141">
        <f t="shared" si="3"/>
        <v>4088649.8976697018</v>
      </c>
      <c r="W18" s="141">
        <f t="shared" si="4"/>
        <v>2578167.3000859916</v>
      </c>
      <c r="X18" s="141">
        <f t="shared" si="5"/>
        <v>2027646.4045278167</v>
      </c>
      <c r="Y18" s="141">
        <f t="shared" si="1"/>
        <v>1156496.6409127901</v>
      </c>
      <c r="Z18" s="141">
        <f t="shared" si="6"/>
        <v>452749.2659733441</v>
      </c>
    </row>
    <row r="19" spans="1:26" ht="19.5" thickBot="1" x14ac:dyDescent="0.35">
      <c r="A19" s="142">
        <v>50</v>
      </c>
      <c r="B19" s="143" t="s">
        <v>4</v>
      </c>
      <c r="C19" s="142">
        <v>14</v>
      </c>
      <c r="D19" s="143" t="s">
        <v>64</v>
      </c>
      <c r="E19" s="142">
        <v>510570</v>
      </c>
      <c r="F19" s="143" t="s">
        <v>70</v>
      </c>
      <c r="G19" s="144">
        <v>3.7144129870129854</v>
      </c>
      <c r="H19" s="145">
        <v>230.54473756528628</v>
      </c>
      <c r="I19" s="146">
        <v>2.4333483308134904</v>
      </c>
      <c r="J19" s="147">
        <v>0.80838801077328115</v>
      </c>
      <c r="K19" s="148">
        <v>12</v>
      </c>
      <c r="M19" s="138">
        <f t="shared" si="0"/>
        <v>2.4333483308134904</v>
      </c>
      <c r="N19" s="149"/>
      <c r="U19" s="141">
        <f t="shared" si="2"/>
        <v>14444008.27834305</v>
      </c>
      <c r="V19" s="141">
        <f t="shared" si="3"/>
        <v>246065.94822306346</v>
      </c>
      <c r="W19" s="141">
        <f t="shared" si="4"/>
        <v>-729337.22760033852</v>
      </c>
      <c r="X19" s="141">
        <f t="shared" si="5"/>
        <v>-1084839.3901168641</v>
      </c>
      <c r="Y19" s="141">
        <f t="shared" si="1"/>
        <v>-1647389.5627618106</v>
      </c>
      <c r="Z19" s="141">
        <f t="shared" si="6"/>
        <v>-2101838.6412162054</v>
      </c>
    </row>
    <row r="20" spans="1:26" ht="19.5" thickBot="1" x14ac:dyDescent="0.35">
      <c r="A20" s="142">
        <v>50</v>
      </c>
      <c r="B20" s="143" t="s">
        <v>4</v>
      </c>
      <c r="C20" s="142">
        <v>14</v>
      </c>
      <c r="D20" s="143" t="s">
        <v>64</v>
      </c>
      <c r="E20" s="142">
        <v>410571</v>
      </c>
      <c r="F20" s="143" t="s">
        <v>473</v>
      </c>
      <c r="G20" s="144">
        <v>6.6311696410441163</v>
      </c>
      <c r="H20" s="145">
        <v>184.54309452824009</v>
      </c>
      <c r="I20" s="146">
        <v>1.2745735074226208</v>
      </c>
      <c r="J20" s="147">
        <v>0.89963476988463942</v>
      </c>
      <c r="K20" s="148">
        <v>98</v>
      </c>
      <c r="M20" s="138">
        <f t="shared" si="0"/>
        <v>1.2745735074226208</v>
      </c>
      <c r="N20" s="149"/>
      <c r="U20" s="141">
        <f t="shared" si="2"/>
        <v>28696838.004376214</v>
      </c>
      <c r="V20" s="141">
        <f t="shared" si="3"/>
        <v>3349908.4965461125</v>
      </c>
      <c r="W20" s="141">
        <f t="shared" si="4"/>
        <v>1608566.3383334966</v>
      </c>
      <c r="X20" s="141">
        <f t="shared" si="5"/>
        <v>973904.77656115848</v>
      </c>
      <c r="Y20" s="141">
        <f t="shared" si="1"/>
        <v>-30390.01764995512</v>
      </c>
      <c r="Z20" s="141">
        <f t="shared" si="6"/>
        <v>-841696.93020483688</v>
      </c>
    </row>
    <row r="21" spans="1:26" ht="19.5" thickBot="1" x14ac:dyDescent="0.35">
      <c r="A21" s="142">
        <v>50</v>
      </c>
      <c r="B21" s="143" t="s">
        <v>4</v>
      </c>
      <c r="C21" s="142">
        <v>14</v>
      </c>
      <c r="D21" s="143" t="s">
        <v>64</v>
      </c>
      <c r="E21" s="142">
        <v>510520</v>
      </c>
      <c r="F21" s="143" t="s">
        <v>72</v>
      </c>
      <c r="G21" s="144">
        <v>4.317006661822929</v>
      </c>
      <c r="H21" s="145">
        <v>423.55052566166233</v>
      </c>
      <c r="I21" s="146">
        <v>1.4813150392498275</v>
      </c>
      <c r="J21" s="147">
        <v>0.88335508001551721</v>
      </c>
      <c r="K21" s="148">
        <v>70</v>
      </c>
      <c r="M21" s="138">
        <f t="shared" si="0"/>
        <v>1.4813150392498275</v>
      </c>
      <c r="N21" s="149"/>
      <c r="U21" s="141">
        <f t="shared" si="2"/>
        <v>18344070.274112921</v>
      </c>
      <c r="V21" s="141">
        <f t="shared" si="3"/>
        <v>1842778.7274787023</v>
      </c>
      <c r="W21" s="141">
        <f t="shared" si="4"/>
        <v>709134.72431709373</v>
      </c>
      <c r="X21" s="141">
        <f t="shared" si="5"/>
        <v>295959.01950391947</v>
      </c>
      <c r="Y21" s="141">
        <f t="shared" si="1"/>
        <v>-357854.34250212443</v>
      </c>
      <c r="Z21" s="141">
        <f t="shared" si="6"/>
        <v>-886029.2401256063</v>
      </c>
    </row>
    <row r="22" spans="1:26" ht="19.5" thickBot="1" x14ac:dyDescent="0.35">
      <c r="A22" s="142">
        <v>50</v>
      </c>
      <c r="B22" s="143" t="s">
        <v>4</v>
      </c>
      <c r="C22" s="142">
        <v>14</v>
      </c>
      <c r="D22" s="143" t="s">
        <v>64</v>
      </c>
      <c r="E22" s="142">
        <v>410524</v>
      </c>
      <c r="F22" s="143" t="s">
        <v>74</v>
      </c>
      <c r="G22" s="144">
        <v>5.2411436324383089</v>
      </c>
      <c r="H22" s="145">
        <v>350.60581654487396</v>
      </c>
      <c r="I22" s="146">
        <v>1.3797775600237989</v>
      </c>
      <c r="J22" s="147">
        <v>0.89135056431556459</v>
      </c>
      <c r="K22" s="148">
        <v>82</v>
      </c>
      <c r="M22" s="138">
        <f t="shared" si="0"/>
        <v>1.3797775600237989</v>
      </c>
      <c r="N22" s="149"/>
      <c r="U22" s="141">
        <f t="shared" si="2"/>
        <v>22472546.155084524</v>
      </c>
      <c r="V22" s="141">
        <f t="shared" si="3"/>
        <v>2438840.8839117405</v>
      </c>
      <c r="W22" s="141">
        <f t="shared" si="4"/>
        <v>1062518.9288945575</v>
      </c>
      <c r="X22" s="141">
        <f t="shared" si="5"/>
        <v>560895.14556563506</v>
      </c>
      <c r="Y22" s="141">
        <f t="shared" si="1"/>
        <v>-232879.33928402819</v>
      </c>
      <c r="Z22" s="141">
        <f t="shared" si="6"/>
        <v>-874120.06887885614</v>
      </c>
    </row>
    <row r="23" spans="1:26" ht="19.5" thickBot="1" x14ac:dyDescent="0.35">
      <c r="A23" s="142">
        <v>50</v>
      </c>
      <c r="B23" s="143" t="s">
        <v>4</v>
      </c>
      <c r="C23" s="142">
        <v>14</v>
      </c>
      <c r="D23" s="143" t="s">
        <v>64</v>
      </c>
      <c r="E23" s="142">
        <v>410521</v>
      </c>
      <c r="F23" s="143" t="s">
        <v>73</v>
      </c>
      <c r="G23" s="144">
        <v>4.4760896212509138</v>
      </c>
      <c r="H23" s="145">
        <v>194.59891409783114</v>
      </c>
      <c r="I23" s="146">
        <v>1.2247957978928685</v>
      </c>
      <c r="J23" s="147">
        <v>0.9035544741955126</v>
      </c>
      <c r="K23" s="148">
        <v>103</v>
      </c>
      <c r="M23" s="138">
        <f t="shared" si="0"/>
        <v>1.2247957978928685</v>
      </c>
      <c r="N23" s="149"/>
      <c r="U23" s="141">
        <f t="shared" si="2"/>
        <v>19454980.05644659</v>
      </c>
      <c r="V23" s="141">
        <f t="shared" si="3"/>
        <v>2345611.0850455328</v>
      </c>
      <c r="W23" s="141">
        <f t="shared" si="4"/>
        <v>1170191.9684573947</v>
      </c>
      <c r="X23" s="141">
        <f t="shared" si="5"/>
        <v>741790.61795164051</v>
      </c>
      <c r="Y23" s="141">
        <f t="shared" si="1"/>
        <v>63884.042131198403</v>
      </c>
      <c r="Z23" s="141">
        <f t="shared" si="6"/>
        <v>-483754.25510956271</v>
      </c>
    </row>
    <row r="24" spans="1:26" ht="19.5" thickBot="1" x14ac:dyDescent="0.35">
      <c r="A24" s="142">
        <v>50</v>
      </c>
      <c r="B24" s="143" t="s">
        <v>4</v>
      </c>
      <c r="C24" s="142">
        <v>14</v>
      </c>
      <c r="D24" s="143" t="s">
        <v>64</v>
      </c>
      <c r="E24" s="142">
        <v>510513</v>
      </c>
      <c r="F24" s="143" t="s">
        <v>474</v>
      </c>
      <c r="G24" s="144">
        <v>4.2224398656301876</v>
      </c>
      <c r="H24" s="145">
        <v>176.27510611069735</v>
      </c>
      <c r="I24" s="146">
        <v>1.1921047110824279</v>
      </c>
      <c r="J24" s="147">
        <v>0.90612870662019718</v>
      </c>
      <c r="K24" s="148">
        <v>107</v>
      </c>
      <c r="M24" s="138">
        <f t="shared" si="0"/>
        <v>1.1921047110824279</v>
      </c>
      <c r="N24" s="149"/>
      <c r="U24" s="141">
        <f t="shared" si="2"/>
        <v>18404797.277770586</v>
      </c>
      <c r="V24" s="141">
        <f t="shared" si="3"/>
        <v>2264977.0923940376</v>
      </c>
      <c r="W24" s="141">
        <f t="shared" si="4"/>
        <v>1156166.2872791605</v>
      </c>
      <c r="X24" s="141">
        <f t="shared" si="5"/>
        <v>752041.46094027627</v>
      </c>
      <c r="Y24" s="141">
        <f t="shared" si="1"/>
        <v>112550.29943016772</v>
      </c>
      <c r="Z24" s="141">
        <f t="shared" si="6"/>
        <v>-404054.58873759775</v>
      </c>
    </row>
    <row r="25" spans="1:26" ht="19.5" thickBot="1" x14ac:dyDescent="0.35">
      <c r="A25" s="142">
        <v>50</v>
      </c>
      <c r="B25" s="143" t="s">
        <v>4</v>
      </c>
      <c r="C25" s="142">
        <v>14</v>
      </c>
      <c r="D25" s="143" t="s">
        <v>64</v>
      </c>
      <c r="E25" s="142">
        <v>510511</v>
      </c>
      <c r="F25" s="143" t="s">
        <v>76</v>
      </c>
      <c r="G25" s="144">
        <v>3.24608091615878</v>
      </c>
      <c r="H25" s="145">
        <v>129.61178068779239</v>
      </c>
      <c r="I25" s="146">
        <v>0.89118680283030172</v>
      </c>
      <c r="J25" s="147">
        <v>0.92982423687535676</v>
      </c>
      <c r="K25" s="148">
        <v>160</v>
      </c>
      <c r="M25" s="138">
        <f t="shared" si="0"/>
        <v>0.89118680283030172</v>
      </c>
      <c r="N25" s="149"/>
      <c r="U25" s="141">
        <f t="shared" si="2"/>
        <v>14519039.255725512</v>
      </c>
      <c r="V25" s="141">
        <f t="shared" si="3"/>
        <v>2111245.6668958371</v>
      </c>
      <c r="W25" s="141">
        <f t="shared" si="4"/>
        <v>1258826.2817409297</v>
      </c>
      <c r="X25" s="141">
        <f t="shared" si="5"/>
        <v>948147.6389963401</v>
      </c>
      <c r="Y25" s="141">
        <f t="shared" si="1"/>
        <v>456526.65172613721</v>
      </c>
      <c r="Z25" s="141">
        <f t="shared" si="6"/>
        <v>59376.823181345077</v>
      </c>
    </row>
    <row r="26" spans="1:26" ht="19.5" thickBot="1" x14ac:dyDescent="0.35">
      <c r="A26" s="142">
        <v>50</v>
      </c>
      <c r="B26" s="143" t="s">
        <v>4</v>
      </c>
      <c r="C26" s="142">
        <v>14</v>
      </c>
      <c r="D26" s="143" t="s">
        <v>64</v>
      </c>
      <c r="E26" s="142">
        <v>510522</v>
      </c>
      <c r="F26" s="143" t="s">
        <v>77</v>
      </c>
      <c r="G26" s="144">
        <v>2.5803141951809545</v>
      </c>
      <c r="H26" s="145">
        <v>40.278852414215926</v>
      </c>
      <c r="I26" s="146">
        <v>0.28030467967846745</v>
      </c>
      <c r="J26" s="147">
        <v>0.9779276412741148</v>
      </c>
      <c r="K26" s="148">
        <v>271</v>
      </c>
      <c r="M26" s="138">
        <f t="shared" si="0"/>
        <v>0.28030467967846745</v>
      </c>
      <c r="N26" s="149"/>
      <c r="U26" s="141">
        <f t="shared" si="2"/>
        <v>12138275.461431457</v>
      </c>
      <c r="V26" s="141">
        <f t="shared" si="3"/>
        <v>2275303.2327482924</v>
      </c>
      <c r="W26" s="141">
        <f t="shared" si="4"/>
        <v>1597713.8883750169</v>
      </c>
      <c r="X26" s="141">
        <f t="shared" si="5"/>
        <v>1350755.0069673285</v>
      </c>
      <c r="Y26" s="141">
        <f t="shared" si="1"/>
        <v>959964.80645584816</v>
      </c>
      <c r="Z26" s="141">
        <f t="shared" si="6"/>
        <v>644269.86024962005</v>
      </c>
    </row>
    <row r="27" spans="1:26" ht="19.5" thickBot="1" x14ac:dyDescent="0.35">
      <c r="A27" s="142">
        <v>50</v>
      </c>
      <c r="B27" s="143" t="s">
        <v>4</v>
      </c>
      <c r="C27" s="142">
        <v>14</v>
      </c>
      <c r="D27" s="143" t="s">
        <v>64</v>
      </c>
      <c r="E27" s="142">
        <v>410510</v>
      </c>
      <c r="F27" s="143" t="s">
        <v>78</v>
      </c>
      <c r="G27" s="144">
        <v>9.6894159427710651</v>
      </c>
      <c r="H27" s="145">
        <v>243.27979609118276</v>
      </c>
      <c r="I27" s="146">
        <v>2.2605926530630236</v>
      </c>
      <c r="J27" s="147">
        <v>0.82199151284686667</v>
      </c>
      <c r="K27" s="148">
        <v>17</v>
      </c>
      <c r="M27" s="138">
        <f t="shared" si="0"/>
        <v>2.2605926530630236</v>
      </c>
      <c r="N27" s="149"/>
      <c r="U27" s="141">
        <f t="shared" si="2"/>
        <v>38312686.735223055</v>
      </c>
      <c r="V27" s="141">
        <f t="shared" si="3"/>
        <v>1275941.1581949999</v>
      </c>
      <c r="W27" s="141">
        <f t="shared" si="4"/>
        <v>-1268495.1001040721</v>
      </c>
      <c r="X27" s="141">
        <f t="shared" si="5"/>
        <v>-2195857.8713470353</v>
      </c>
      <c r="Y27" s="141">
        <f t="shared" si="1"/>
        <v>-3663325.9828609102</v>
      </c>
      <c r="Z27" s="141">
        <f t="shared" si="6"/>
        <v>-4848801.6317317877</v>
      </c>
    </row>
    <row r="28" spans="1:26" ht="19.5" thickBot="1" x14ac:dyDescent="0.35">
      <c r="A28" s="142">
        <v>50</v>
      </c>
      <c r="B28" s="143" t="s">
        <v>4</v>
      </c>
      <c r="C28" s="142">
        <v>14</v>
      </c>
      <c r="D28" s="143" t="s">
        <v>64</v>
      </c>
      <c r="E28" s="142">
        <v>410512</v>
      </c>
      <c r="F28" s="143" t="s">
        <v>79</v>
      </c>
      <c r="G28" s="144">
        <v>4.4281860372366975</v>
      </c>
      <c r="H28" s="145">
        <v>218.33040261409454</v>
      </c>
      <c r="I28" s="146">
        <v>1.4207997040264595</v>
      </c>
      <c r="J28" s="147">
        <v>0.88812030972555822</v>
      </c>
      <c r="K28" s="148">
        <v>78</v>
      </c>
      <c r="M28" s="138">
        <f t="shared" si="0"/>
        <v>1.4207997040264595</v>
      </c>
      <c r="N28" s="149"/>
      <c r="U28" s="141">
        <f t="shared" si="2"/>
        <v>18918004.986185372</v>
      </c>
      <c r="V28" s="141">
        <f t="shared" si="3"/>
        <v>1991742.2890779676</v>
      </c>
      <c r="W28" s="141">
        <f t="shared" si="4"/>
        <v>828902.63205562357</v>
      </c>
      <c r="X28" s="141">
        <f t="shared" si="5"/>
        <v>405086.07806250511</v>
      </c>
      <c r="Y28" s="141">
        <f t="shared" si="1"/>
        <v>-265565.46996438527</v>
      </c>
      <c r="Z28" s="141">
        <f t="shared" si="6"/>
        <v>-807342.88429146959</v>
      </c>
    </row>
    <row r="29" spans="1:26" ht="19.5" thickBot="1" x14ac:dyDescent="0.35">
      <c r="A29" s="142">
        <v>262</v>
      </c>
      <c r="B29" s="143" t="s">
        <v>475</v>
      </c>
      <c r="C29" s="142">
        <v>5060</v>
      </c>
      <c r="D29" s="143" t="s">
        <v>81</v>
      </c>
      <c r="E29" s="142">
        <v>4057</v>
      </c>
      <c r="F29" s="143" t="s">
        <v>82</v>
      </c>
      <c r="G29" s="144">
        <v>6.243624835140964</v>
      </c>
      <c r="H29" s="145">
        <v>135.33225325203622</v>
      </c>
      <c r="I29" s="146">
        <v>1.0146644776834943</v>
      </c>
      <c r="J29" s="147">
        <v>0.92010109012973618</v>
      </c>
      <c r="K29" s="148">
        <v>133</v>
      </c>
      <c r="M29" s="138">
        <f t="shared" si="0"/>
        <v>1.0146644776834943</v>
      </c>
      <c r="N29" s="149"/>
      <c r="U29" s="141">
        <f t="shared" si="2"/>
        <v>27634398.777073823</v>
      </c>
      <c r="V29" s="141">
        <f t="shared" si="3"/>
        <v>3768817.4186791154</v>
      </c>
      <c r="W29" s="141">
        <f t="shared" si="4"/>
        <v>2129244.3517801147</v>
      </c>
      <c r="X29" s="141">
        <f t="shared" si="5"/>
        <v>1531674.2542720695</v>
      </c>
      <c r="Y29" s="141">
        <f t="shared" si="1"/>
        <v>586073.36357430508</v>
      </c>
      <c r="Z29" s="141">
        <f t="shared" si="6"/>
        <v>-177818.41756728047</v>
      </c>
    </row>
    <row r="30" spans="1:26" ht="19.5" thickBot="1" x14ac:dyDescent="0.35">
      <c r="A30" s="142">
        <v>262</v>
      </c>
      <c r="B30" s="143" t="s">
        <v>475</v>
      </c>
      <c r="C30" s="142">
        <v>5060</v>
      </c>
      <c r="D30" s="143" t="s">
        <v>81</v>
      </c>
      <c r="E30" s="142">
        <v>4082</v>
      </c>
      <c r="F30" s="143" t="s">
        <v>476</v>
      </c>
      <c r="G30" s="144">
        <v>2.8402116402116402</v>
      </c>
      <c r="H30" s="145">
        <v>141.58268123640087</v>
      </c>
      <c r="I30" s="146">
        <v>0.63354468111605811</v>
      </c>
      <c r="J30" s="147">
        <v>0.95011205133460208</v>
      </c>
      <c r="K30" s="148">
        <v>212</v>
      </c>
      <c r="M30" s="138">
        <f t="shared" si="0"/>
        <v>0.63354468111605811</v>
      </c>
      <c r="N30" s="149"/>
      <c r="U30" s="141">
        <f t="shared" si="2"/>
        <v>12980852.21118509</v>
      </c>
      <c r="V30" s="141">
        <f t="shared" si="3"/>
        <v>2124450.0787209272</v>
      </c>
      <c r="W30" s="141">
        <f t="shared" si="4"/>
        <v>1378611.7824519768</v>
      </c>
      <c r="X30" s="141">
        <f t="shared" si="5"/>
        <v>1106778.4177641647</v>
      </c>
      <c r="Y30" s="141">
        <f t="shared" si="1"/>
        <v>676626.58646925143</v>
      </c>
      <c r="Z30" s="141">
        <f t="shared" si="6"/>
        <v>329133.84211838926</v>
      </c>
    </row>
    <row r="31" spans="1:26" ht="19.5" thickBot="1" x14ac:dyDescent="0.35">
      <c r="A31" s="142">
        <v>262</v>
      </c>
      <c r="B31" s="143" t="s">
        <v>475</v>
      </c>
      <c r="C31" s="142">
        <v>5060</v>
      </c>
      <c r="D31" s="143" t="s">
        <v>81</v>
      </c>
      <c r="E31" s="142">
        <v>4030</v>
      </c>
      <c r="F31" s="143" t="s">
        <v>477</v>
      </c>
      <c r="G31" s="144">
        <v>7.4919696310260804</v>
      </c>
      <c r="H31" s="145">
        <v>130.72087543497821</v>
      </c>
      <c r="I31" s="146">
        <v>0.75650788989166817</v>
      </c>
      <c r="J31" s="147">
        <v>0.94042941579211137</v>
      </c>
      <c r="K31" s="148">
        <v>185</v>
      </c>
      <c r="M31" s="138">
        <f t="shared" si="0"/>
        <v>0.75650788989166817</v>
      </c>
      <c r="N31" s="149"/>
      <c r="U31" s="141">
        <f t="shared" si="2"/>
        <v>33892210.022758707</v>
      </c>
      <c r="V31" s="141">
        <f t="shared" si="3"/>
        <v>5254965.555805007</v>
      </c>
      <c r="W31" s="141">
        <f t="shared" si="4"/>
        <v>3287577.7082969849</v>
      </c>
      <c r="X31" s="141">
        <f t="shared" si="5"/>
        <v>2570529.9770268714</v>
      </c>
      <c r="Y31" s="141">
        <f t="shared" si="1"/>
        <v>1435866.4853472153</v>
      </c>
      <c r="Z31" s="141">
        <f t="shared" si="6"/>
        <v>519242.86095964111</v>
      </c>
    </row>
    <row r="32" spans="1:26" ht="19.5" thickBot="1" x14ac:dyDescent="0.35">
      <c r="A32" s="142">
        <v>262</v>
      </c>
      <c r="B32" s="143" t="s">
        <v>475</v>
      </c>
      <c r="C32" s="142">
        <v>5060</v>
      </c>
      <c r="D32" s="143" t="s">
        <v>81</v>
      </c>
      <c r="E32" s="142">
        <v>4060</v>
      </c>
      <c r="F32" s="143" t="s">
        <v>478</v>
      </c>
      <c r="G32" s="144">
        <v>8.0712319790393234</v>
      </c>
      <c r="H32" s="145">
        <v>199.42063843289247</v>
      </c>
      <c r="I32" s="146">
        <v>1.8633557382140915</v>
      </c>
      <c r="J32" s="147">
        <v>0.85327160311780725</v>
      </c>
      <c r="K32" s="148">
        <v>35</v>
      </c>
      <c r="M32" s="138">
        <f t="shared" si="0"/>
        <v>1.8633557382140915</v>
      </c>
      <c r="N32" s="149"/>
      <c r="U32" s="141">
        <f t="shared" si="2"/>
        <v>33128730.808304273</v>
      </c>
      <c r="V32" s="141">
        <f t="shared" si="3"/>
        <v>2277318.6007527011</v>
      </c>
      <c r="W32" s="141">
        <f t="shared" si="4"/>
        <v>157816.72180484032</v>
      </c>
      <c r="X32" s="141">
        <f t="shared" si="5"/>
        <v>-614671.53751186258</v>
      </c>
      <c r="Y32" s="141">
        <f t="shared" si="1"/>
        <v>-1837064.6745004579</v>
      </c>
      <c r="Z32" s="141">
        <f t="shared" si="6"/>
        <v>-2824559.5889568408</v>
      </c>
    </row>
    <row r="33" spans="1:26" ht="19.5" thickBot="1" x14ac:dyDescent="0.35">
      <c r="A33" s="142">
        <v>262</v>
      </c>
      <c r="B33" s="143" t="s">
        <v>475</v>
      </c>
      <c r="C33" s="142">
        <v>5060</v>
      </c>
      <c r="D33" s="143" t="s">
        <v>81</v>
      </c>
      <c r="E33" s="142">
        <v>4064</v>
      </c>
      <c r="F33" s="143" t="s">
        <v>86</v>
      </c>
      <c r="G33" s="144">
        <v>1.4323658323796258</v>
      </c>
      <c r="H33" s="145">
        <v>153.17605917442074</v>
      </c>
      <c r="I33" s="146">
        <v>0.59335759153653567</v>
      </c>
      <c r="J33" s="147">
        <v>0.95327655025900815</v>
      </c>
      <c r="K33" s="148">
        <v>219</v>
      </c>
      <c r="M33" s="138">
        <f t="shared" si="0"/>
        <v>0.59335759153653567</v>
      </c>
      <c r="N33" s="149"/>
      <c r="U33" s="141">
        <f t="shared" si="2"/>
        <v>6568263.0657048794</v>
      </c>
      <c r="V33" s="141">
        <f t="shared" si="3"/>
        <v>1093199.4271528465</v>
      </c>
      <c r="W33" s="141">
        <f t="shared" si="4"/>
        <v>717060.80532244302</v>
      </c>
      <c r="X33" s="141">
        <f t="shared" si="5"/>
        <v>579970.73141140223</v>
      </c>
      <c r="Y33" s="141">
        <f t="shared" si="1"/>
        <v>363038.02922853007</v>
      </c>
      <c r="Z33" s="141">
        <f t="shared" si="6"/>
        <v>187791.67541423673</v>
      </c>
    </row>
    <row r="34" spans="1:26" ht="19.5" thickBot="1" x14ac:dyDescent="0.35">
      <c r="A34" s="142">
        <v>262</v>
      </c>
      <c r="B34" s="143" t="s">
        <v>475</v>
      </c>
      <c r="C34" s="142">
        <v>5060</v>
      </c>
      <c r="D34" s="143" t="s">
        <v>81</v>
      </c>
      <c r="E34" s="142">
        <v>4092</v>
      </c>
      <c r="F34" s="143" t="s">
        <v>479</v>
      </c>
      <c r="G34" s="144">
        <v>2.4192814679252703</v>
      </c>
      <c r="H34" s="145">
        <v>92.377725106809848</v>
      </c>
      <c r="I34" s="146">
        <v>0.72016817732835137</v>
      </c>
      <c r="J34" s="147">
        <v>0.94329095621524373</v>
      </c>
      <c r="K34" s="148">
        <v>195</v>
      </c>
      <c r="M34" s="138">
        <f t="shared" si="0"/>
        <v>0.72016817732835137</v>
      </c>
      <c r="N34" s="149"/>
      <c r="U34" s="141">
        <f t="shared" si="2"/>
        <v>10977659.225319367</v>
      </c>
      <c r="V34" s="141">
        <f t="shared" si="3"/>
        <v>1730217.1982675353</v>
      </c>
      <c r="W34" s="141">
        <f t="shared" si="4"/>
        <v>1094914.9754733306</v>
      </c>
      <c r="X34" s="141">
        <f t="shared" si="5"/>
        <v>863368.34977751051</v>
      </c>
      <c r="Y34" s="141">
        <f t="shared" si="1"/>
        <v>496966.6566387713</v>
      </c>
      <c r="Z34" s="141">
        <f t="shared" si="6"/>
        <v>200973.6592352782</v>
      </c>
    </row>
    <row r="35" spans="1:26" ht="19.5" thickBot="1" x14ac:dyDescent="0.35">
      <c r="A35" s="142">
        <v>262</v>
      </c>
      <c r="B35" s="143" t="s">
        <v>475</v>
      </c>
      <c r="C35" s="142">
        <v>5060</v>
      </c>
      <c r="D35" s="143" t="s">
        <v>81</v>
      </c>
      <c r="E35" s="142">
        <v>4041</v>
      </c>
      <c r="F35" s="143" t="s">
        <v>480</v>
      </c>
      <c r="G35" s="144">
        <v>2.4492784858856167</v>
      </c>
      <c r="H35" s="145">
        <v>243.85668192158906</v>
      </c>
      <c r="I35" s="146">
        <v>1.6659939110740067</v>
      </c>
      <c r="J35" s="147">
        <v>0.86881269594732791</v>
      </c>
      <c r="K35" s="148">
        <v>49</v>
      </c>
      <c r="M35" s="138">
        <f t="shared" si="0"/>
        <v>1.6659939110740067</v>
      </c>
      <c r="N35" s="149"/>
      <c r="U35" s="141">
        <f t="shared" si="2"/>
        <v>10236276.349399051</v>
      </c>
      <c r="V35" s="141">
        <f t="shared" si="3"/>
        <v>874173.96213265229</v>
      </c>
      <c r="W35" s="141">
        <f t="shared" si="4"/>
        <v>230994.53594559539</v>
      </c>
      <c r="X35" s="141">
        <f t="shared" si="5"/>
        <v>-3423.0695769792537</v>
      </c>
      <c r="Y35" s="141">
        <f t="shared" si="1"/>
        <v>-374367.82986830152</v>
      </c>
      <c r="Z35" s="141">
        <f t="shared" si="6"/>
        <v>-674030.88690601476</v>
      </c>
    </row>
    <row r="36" spans="1:26" ht="19.5" thickBot="1" x14ac:dyDescent="0.35">
      <c r="A36" s="142">
        <v>262</v>
      </c>
      <c r="B36" s="143" t="s">
        <v>475</v>
      </c>
      <c r="C36" s="142">
        <v>5060</v>
      </c>
      <c r="D36" s="143" t="s">
        <v>81</v>
      </c>
      <c r="E36" s="142">
        <v>4085</v>
      </c>
      <c r="F36" s="143" t="s">
        <v>481</v>
      </c>
      <c r="G36" s="144">
        <v>3.7485407748762594</v>
      </c>
      <c r="H36" s="145">
        <v>251.7133472427407</v>
      </c>
      <c r="I36" s="146">
        <v>1.5441623887234028</v>
      </c>
      <c r="J36" s="147">
        <v>0.87840621778409445</v>
      </c>
      <c r="K36" s="148">
        <v>63</v>
      </c>
      <c r="M36" s="138">
        <f t="shared" si="0"/>
        <v>1.5441623887234028</v>
      </c>
      <c r="N36" s="149"/>
      <c r="U36" s="141">
        <f t="shared" si="2"/>
        <v>15839275.62575005</v>
      </c>
      <c r="V36" s="141">
        <f t="shared" si="3"/>
        <v>1510883.5137583425</v>
      </c>
      <c r="W36" s="141">
        <f t="shared" si="4"/>
        <v>526518.39622785139</v>
      </c>
      <c r="X36" s="141">
        <f t="shared" si="5"/>
        <v>167749.90268413012</v>
      </c>
      <c r="Y36" s="141">
        <f t="shared" si="1"/>
        <v>-399968.94480165915</v>
      </c>
      <c r="Z36" s="141">
        <f t="shared" si="6"/>
        <v>-858593.47218927171</v>
      </c>
    </row>
    <row r="37" spans="1:26" ht="19.5" thickBot="1" x14ac:dyDescent="0.35">
      <c r="A37" s="142">
        <v>262</v>
      </c>
      <c r="B37" s="143" t="s">
        <v>475</v>
      </c>
      <c r="C37" s="142">
        <v>5060</v>
      </c>
      <c r="D37" s="143" t="s">
        <v>81</v>
      </c>
      <c r="E37" s="142">
        <v>4066</v>
      </c>
      <c r="F37" s="143" t="s">
        <v>482</v>
      </c>
      <c r="G37" s="144">
        <v>5.8039269676717034</v>
      </c>
      <c r="H37" s="145">
        <v>150.68154091381192</v>
      </c>
      <c r="I37" s="146">
        <v>0.96536165905058735</v>
      </c>
      <c r="J37" s="147">
        <v>0.92398339955215125</v>
      </c>
      <c r="K37" s="148">
        <v>141</v>
      </c>
      <c r="M37" s="138">
        <f t="shared" si="0"/>
        <v>0.96536165905058735</v>
      </c>
      <c r="N37" s="149"/>
      <c r="U37" s="141">
        <f t="shared" si="2"/>
        <v>25796678.034723364</v>
      </c>
      <c r="V37" s="141">
        <f t="shared" si="3"/>
        <v>3611794.2688776175</v>
      </c>
      <c r="W37" s="141">
        <f t="shared" si="4"/>
        <v>2087685.6637473619</v>
      </c>
      <c r="X37" s="141">
        <f t="shared" si="5"/>
        <v>1532198.5395882041</v>
      </c>
      <c r="Y37" s="141">
        <f t="shared" si="1"/>
        <v>653190.16623336414</v>
      </c>
      <c r="Z37" s="141">
        <f t="shared" si="6"/>
        <v>-56905.687700229981</v>
      </c>
    </row>
    <row r="38" spans="1:26" ht="19.5" thickBot="1" x14ac:dyDescent="0.35">
      <c r="A38" s="142">
        <v>262</v>
      </c>
      <c r="B38" s="143" t="s">
        <v>475</v>
      </c>
      <c r="C38" s="142">
        <v>5060</v>
      </c>
      <c r="D38" s="143" t="s">
        <v>81</v>
      </c>
      <c r="E38" s="142">
        <v>4067</v>
      </c>
      <c r="F38" s="143" t="s">
        <v>483</v>
      </c>
      <c r="G38" s="144">
        <v>2.9206349206349214</v>
      </c>
      <c r="H38" s="145">
        <v>167.85257520081518</v>
      </c>
      <c r="I38" s="146">
        <v>0.91111111804809752</v>
      </c>
      <c r="J38" s="147">
        <v>0.92825531325496169</v>
      </c>
      <c r="K38" s="148">
        <v>156</v>
      </c>
      <c r="M38" s="138">
        <f t="shared" si="0"/>
        <v>0.91111111804809752</v>
      </c>
      <c r="N38" s="149"/>
      <c r="U38" s="141">
        <f t="shared" si="2"/>
        <v>13041345.269707873</v>
      </c>
      <c r="V38" s="141">
        <f t="shared" si="3"/>
        <v>1877533.8369205799</v>
      </c>
      <c r="W38" s="141">
        <f t="shared" si="4"/>
        <v>1110576.4234696473</v>
      </c>
      <c r="X38" s="141">
        <f t="shared" si="5"/>
        <v>831045.83981153939</v>
      </c>
      <c r="Y38" s="141">
        <f t="shared" si="1"/>
        <v>388713.85233987006</v>
      </c>
      <c r="Z38" s="141">
        <f t="shared" si="6"/>
        <v>31381.522083394557</v>
      </c>
    </row>
    <row r="39" spans="1:26" ht="19.5" thickBot="1" x14ac:dyDescent="0.35">
      <c r="A39" s="142">
        <v>262</v>
      </c>
      <c r="B39" s="143" t="s">
        <v>475</v>
      </c>
      <c r="C39" s="142">
        <v>5060</v>
      </c>
      <c r="D39" s="143" t="s">
        <v>81</v>
      </c>
      <c r="E39" s="142">
        <v>4095</v>
      </c>
      <c r="F39" s="143" t="s">
        <v>92</v>
      </c>
      <c r="G39" s="144">
        <v>4.1371847501813255</v>
      </c>
      <c r="H39" s="145">
        <v>144.02276657668844</v>
      </c>
      <c r="I39" s="146">
        <v>0.61368051319649775</v>
      </c>
      <c r="J39" s="147">
        <v>0.95167623870605345</v>
      </c>
      <c r="K39" s="148">
        <v>214</v>
      </c>
      <c r="M39" s="138">
        <f t="shared" si="0"/>
        <v>0.61368051319649775</v>
      </c>
      <c r="N39" s="149"/>
      <c r="U39" s="141">
        <f t="shared" si="2"/>
        <v>18939644.236557957</v>
      </c>
      <c r="V39" s="141">
        <f t="shared" si="3"/>
        <v>3125702.5188485333</v>
      </c>
      <c r="W39" s="141">
        <f t="shared" si="4"/>
        <v>2039279.6686150234</v>
      </c>
      <c r="X39" s="141">
        <f t="shared" si="5"/>
        <v>1643314.5105773315</v>
      </c>
      <c r="Y39" s="141">
        <f t="shared" si="1"/>
        <v>1016735.2896840338</v>
      </c>
      <c r="Z39" s="141">
        <f t="shared" si="6"/>
        <v>510561.15027380345</v>
      </c>
    </row>
    <row r="40" spans="1:26" ht="19.5" thickBot="1" x14ac:dyDescent="0.35">
      <c r="A40" s="142">
        <v>262</v>
      </c>
      <c r="B40" s="143" t="s">
        <v>475</v>
      </c>
      <c r="C40" s="142">
        <v>5060</v>
      </c>
      <c r="D40" s="143" t="s">
        <v>81</v>
      </c>
      <c r="E40" s="142">
        <v>4087</v>
      </c>
      <c r="F40" s="143" t="s">
        <v>93</v>
      </c>
      <c r="G40" s="144">
        <v>7.6785695594795067</v>
      </c>
      <c r="H40" s="145">
        <v>292.40013090565691</v>
      </c>
      <c r="I40" s="146">
        <v>1.4273810268852918</v>
      </c>
      <c r="J40" s="147">
        <v>0.88760206893415361</v>
      </c>
      <c r="K40" s="148">
        <v>76</v>
      </c>
      <c r="M40" s="138">
        <f t="shared" si="0"/>
        <v>1.4273810268852918</v>
      </c>
      <c r="N40" s="149"/>
      <c r="U40" s="141">
        <f t="shared" si="2"/>
        <v>32785084.278294414</v>
      </c>
      <c r="V40" s="141">
        <f t="shared" si="3"/>
        <v>3434581.7454634425</v>
      </c>
      <c r="W40" s="141">
        <f t="shared" si="4"/>
        <v>1418192.8408682654</v>
      </c>
      <c r="X40" s="141">
        <f t="shared" si="5"/>
        <v>683285.84668835672</v>
      </c>
      <c r="Y40" s="141">
        <f t="shared" si="1"/>
        <v>-479638.32099421887</v>
      </c>
      <c r="Z40" s="141">
        <f t="shared" si="6"/>
        <v>-1419091.9768892771</v>
      </c>
    </row>
    <row r="41" spans="1:26" ht="19.5" thickBot="1" x14ac:dyDescent="0.35">
      <c r="A41" s="142">
        <v>262</v>
      </c>
      <c r="B41" s="143" t="s">
        <v>475</v>
      </c>
      <c r="C41" s="142">
        <v>5060</v>
      </c>
      <c r="D41" s="143" t="s">
        <v>81</v>
      </c>
      <c r="E41" s="142">
        <v>4073</v>
      </c>
      <c r="F41" s="143" t="s">
        <v>484</v>
      </c>
      <c r="G41" s="144">
        <v>2.4205745913741672</v>
      </c>
      <c r="H41" s="145">
        <v>150.36454195504629</v>
      </c>
      <c r="I41" s="146">
        <v>0.5122781853196452</v>
      </c>
      <c r="J41" s="147">
        <v>0.95966108062558564</v>
      </c>
      <c r="K41" s="148">
        <v>234</v>
      </c>
      <c r="M41" s="138">
        <f t="shared" si="0"/>
        <v>0.5122781853196452</v>
      </c>
      <c r="N41" s="149"/>
      <c r="U41" s="141">
        <f t="shared" si="2"/>
        <v>11174137.936502721</v>
      </c>
      <c r="V41" s="141">
        <f t="shared" si="3"/>
        <v>1921753.0847791694</v>
      </c>
      <c r="W41" s="141">
        <f t="shared" si="4"/>
        <v>1286111.2883502627</v>
      </c>
      <c r="X41" s="141">
        <f t="shared" si="5"/>
        <v>1054440.8993076929</v>
      </c>
      <c r="Y41" s="141">
        <f t="shared" si="1"/>
        <v>687843.36181293521</v>
      </c>
      <c r="Z41" s="141">
        <f t="shared" si="6"/>
        <v>391692.15401072399</v>
      </c>
    </row>
    <row r="42" spans="1:26" ht="19.5" thickBot="1" x14ac:dyDescent="0.35">
      <c r="A42" s="142">
        <v>262</v>
      </c>
      <c r="B42" s="143" t="s">
        <v>475</v>
      </c>
      <c r="C42" s="142">
        <v>5060</v>
      </c>
      <c r="D42" s="143" t="s">
        <v>81</v>
      </c>
      <c r="E42" s="142">
        <v>4074</v>
      </c>
      <c r="F42" s="143" t="s">
        <v>485</v>
      </c>
      <c r="G42" s="144">
        <v>1.6157698529477824</v>
      </c>
      <c r="H42" s="145">
        <v>152.04649384428112</v>
      </c>
      <c r="I42" s="146">
        <v>1.0258175011596566</v>
      </c>
      <c r="J42" s="147">
        <v>0.91922285457788444</v>
      </c>
      <c r="K42" s="148">
        <v>132</v>
      </c>
      <c r="M42" s="138">
        <f t="shared" si="0"/>
        <v>1.0258175011596566</v>
      </c>
      <c r="N42" s="149"/>
      <c r="U42" s="141">
        <f t="shared" si="2"/>
        <v>7144601.1661468083</v>
      </c>
      <c r="V42" s="141">
        <f t="shared" si="3"/>
        <v>968495.47431656707</v>
      </c>
      <c r="W42" s="141">
        <f t="shared" si="4"/>
        <v>544195.0393688716</v>
      </c>
      <c r="X42" s="141">
        <f t="shared" si="5"/>
        <v>389551.5791881372</v>
      </c>
      <c r="Y42" s="141">
        <f t="shared" si="1"/>
        <v>144842.22325267221</v>
      </c>
      <c r="Z42" s="141">
        <f t="shared" si="6"/>
        <v>-52843.150784586513</v>
      </c>
    </row>
    <row r="43" spans="1:26" ht="19.5" thickBot="1" x14ac:dyDescent="0.35">
      <c r="A43" s="142">
        <v>262</v>
      </c>
      <c r="B43" s="143" t="s">
        <v>475</v>
      </c>
      <c r="C43" s="142">
        <v>5060</v>
      </c>
      <c r="D43" s="143" t="s">
        <v>81</v>
      </c>
      <c r="E43" s="142">
        <v>4079</v>
      </c>
      <c r="F43" s="143" t="s">
        <v>486</v>
      </c>
      <c r="G43" s="144">
        <v>2.3852260407453945</v>
      </c>
      <c r="H43" s="145">
        <v>110.48968596604858</v>
      </c>
      <c r="I43" s="146">
        <v>1.0295794933685014</v>
      </c>
      <c r="J43" s="147">
        <v>0.91892661963220712</v>
      </c>
      <c r="K43" s="148">
        <v>131</v>
      </c>
      <c r="M43" s="138">
        <f t="shared" si="0"/>
        <v>1.0295794933685014</v>
      </c>
      <c r="N43" s="149"/>
      <c r="U43" s="141">
        <f t="shared" si="2"/>
        <v>10543578.849585518</v>
      </c>
      <c r="V43" s="141">
        <f t="shared" si="3"/>
        <v>1426310.0135111148</v>
      </c>
      <c r="W43" s="141">
        <f t="shared" si="4"/>
        <v>799950.73054116103</v>
      </c>
      <c r="X43" s="141">
        <f t="shared" si="5"/>
        <v>571663.51031538448</v>
      </c>
      <c r="Y43" s="141">
        <f t="shared" si="1"/>
        <v>210419.53294667936</v>
      </c>
      <c r="Z43" s="141">
        <f t="shared" si="6"/>
        <v>-81406.868671052405</v>
      </c>
    </row>
    <row r="44" spans="1:26" ht="19.5" thickBot="1" x14ac:dyDescent="0.35">
      <c r="A44" s="142">
        <v>262</v>
      </c>
      <c r="B44" s="143" t="s">
        <v>475</v>
      </c>
      <c r="C44" s="142">
        <v>5060</v>
      </c>
      <c r="D44" s="143" t="s">
        <v>81</v>
      </c>
      <c r="E44" s="142">
        <v>4031</v>
      </c>
      <c r="F44" s="143" t="s">
        <v>487</v>
      </c>
      <c r="G44" s="144">
        <v>2.9406015037593991</v>
      </c>
      <c r="H44" s="145">
        <v>208.96806293352074</v>
      </c>
      <c r="I44" s="146">
        <v>1.2484374572027612</v>
      </c>
      <c r="J44" s="147">
        <v>0.90169283140823664</v>
      </c>
      <c r="K44" s="148">
        <v>101</v>
      </c>
      <c r="M44" s="138">
        <f t="shared" si="0"/>
        <v>1.2484374572027612</v>
      </c>
      <c r="N44" s="149"/>
      <c r="U44" s="141">
        <f t="shared" si="2"/>
        <v>12754765.184662919</v>
      </c>
      <c r="V44" s="141">
        <f t="shared" si="3"/>
        <v>1514633.6451125769</v>
      </c>
      <c r="W44" s="141">
        <f t="shared" si="4"/>
        <v>742433.0159346771</v>
      </c>
      <c r="X44" s="141">
        <f t="shared" si="5"/>
        <v>460991.45374412386</v>
      </c>
      <c r="Y44" s="141">
        <f t="shared" si="1"/>
        <v>15635.51475627233</v>
      </c>
      <c r="Z44" s="141">
        <f t="shared" si="6"/>
        <v>-344139.67668244848</v>
      </c>
    </row>
    <row r="45" spans="1:26" ht="19.5" thickBot="1" x14ac:dyDescent="0.35">
      <c r="A45" s="142">
        <v>262</v>
      </c>
      <c r="B45" s="143" t="s">
        <v>475</v>
      </c>
      <c r="C45" s="142">
        <v>5060</v>
      </c>
      <c r="D45" s="143" t="s">
        <v>81</v>
      </c>
      <c r="E45" s="142">
        <v>4071</v>
      </c>
      <c r="F45" s="143" t="s">
        <v>98</v>
      </c>
      <c r="G45" s="144">
        <v>8.6630214135911014</v>
      </c>
      <c r="H45" s="145">
        <v>195.6332239720808</v>
      </c>
      <c r="I45" s="146">
        <v>1.1458512649947534</v>
      </c>
      <c r="J45" s="147">
        <v>0.90977089573928926</v>
      </c>
      <c r="K45" s="148">
        <v>112</v>
      </c>
      <c r="M45" s="138">
        <f t="shared" si="0"/>
        <v>1.1458512649947534</v>
      </c>
      <c r="N45" s="149"/>
      <c r="U45" s="141">
        <f t="shared" si="2"/>
        <v>37912210.139201403</v>
      </c>
      <c r="V45" s="141">
        <f t="shared" si="3"/>
        <v>4798746.7562103365</v>
      </c>
      <c r="W45" s="141">
        <f t="shared" si="4"/>
        <v>2523841.2385451957</v>
      </c>
      <c r="X45" s="141">
        <f t="shared" si="5"/>
        <v>1694713.4982463925</v>
      </c>
      <c r="Y45" s="141">
        <f t="shared" si="1"/>
        <v>382693.48084882152</v>
      </c>
      <c r="Z45" s="141">
        <f t="shared" si="6"/>
        <v>-677205.38117920014</v>
      </c>
    </row>
    <row r="46" spans="1:26" ht="19.5" thickBot="1" x14ac:dyDescent="0.35">
      <c r="A46" s="142">
        <v>262</v>
      </c>
      <c r="B46" s="143" t="s">
        <v>475</v>
      </c>
      <c r="C46" s="142">
        <v>5060</v>
      </c>
      <c r="D46" s="143" t="s">
        <v>81</v>
      </c>
      <c r="E46" s="142">
        <v>4080</v>
      </c>
      <c r="F46" s="143" t="s">
        <v>488</v>
      </c>
      <c r="G46" s="144">
        <v>2.3098195906539942</v>
      </c>
      <c r="H46" s="145">
        <v>80.011164918587056</v>
      </c>
      <c r="I46" s="146">
        <v>0.39300908706163251</v>
      </c>
      <c r="J46" s="147">
        <v>0.96905282650968394</v>
      </c>
      <c r="K46" s="148">
        <v>255</v>
      </c>
      <c r="M46" s="138">
        <f t="shared" si="0"/>
        <v>0.39300908706163251</v>
      </c>
      <c r="N46" s="149"/>
      <c r="U46" s="141">
        <f t="shared" si="2"/>
        <v>10767210.13210002</v>
      </c>
      <c r="V46" s="141">
        <f t="shared" si="3"/>
        <v>1938174.304433689</v>
      </c>
      <c r="W46" s="141">
        <f t="shared" si="4"/>
        <v>1331616.7212622997</v>
      </c>
      <c r="X46" s="141">
        <f t="shared" si="5"/>
        <v>1110546.5649895396</v>
      </c>
      <c r="Y46" s="141">
        <f t="shared" si="1"/>
        <v>760722.94170256285</v>
      </c>
      <c r="Z46" s="141">
        <f t="shared" si="6"/>
        <v>478122.3294284959</v>
      </c>
    </row>
    <row r="47" spans="1:26" ht="19.5" thickBot="1" x14ac:dyDescent="0.35">
      <c r="A47" s="142">
        <v>262</v>
      </c>
      <c r="B47" s="143" t="s">
        <v>475</v>
      </c>
      <c r="C47" s="142">
        <v>5101</v>
      </c>
      <c r="D47" s="143" t="s">
        <v>100</v>
      </c>
      <c r="E47" s="142">
        <v>4113</v>
      </c>
      <c r="F47" s="143" t="s">
        <v>489</v>
      </c>
      <c r="G47" s="144">
        <v>2.9631336405529956</v>
      </c>
      <c r="H47" s="145">
        <v>198.33963087480561</v>
      </c>
      <c r="I47" s="146">
        <v>1.38666532031042</v>
      </c>
      <c r="J47" s="147">
        <v>0.89080819336393224</v>
      </c>
      <c r="K47" s="148">
        <v>81</v>
      </c>
      <c r="M47" s="138">
        <f t="shared" si="0"/>
        <v>1.38666532031042</v>
      </c>
      <c r="N47" s="149"/>
      <c r="U47" s="141">
        <f t="shared" si="2"/>
        <v>12697350.778965719</v>
      </c>
      <c r="V47" s="141">
        <f t="shared" si="3"/>
        <v>1371092.5809397607</v>
      </c>
      <c r="W47" s="141">
        <f t="shared" si="4"/>
        <v>592975.02279800992</v>
      </c>
      <c r="X47" s="141">
        <f t="shared" si="5"/>
        <v>309376.93590644794</v>
      </c>
      <c r="Y47" s="141">
        <f t="shared" si="1"/>
        <v>-139391.50930718292</v>
      </c>
      <c r="Z47" s="141">
        <f t="shared" si="6"/>
        <v>-501923.45096114906</v>
      </c>
    </row>
    <row r="48" spans="1:26" ht="19.5" thickBot="1" x14ac:dyDescent="0.35">
      <c r="A48" s="142">
        <v>262</v>
      </c>
      <c r="B48" s="143" t="s">
        <v>475</v>
      </c>
      <c r="C48" s="142">
        <v>5101</v>
      </c>
      <c r="D48" s="143" t="s">
        <v>100</v>
      </c>
      <c r="E48" s="142">
        <v>4111</v>
      </c>
      <c r="F48" s="143" t="s">
        <v>490</v>
      </c>
      <c r="G48" s="144">
        <v>3.6627518924840063</v>
      </c>
      <c r="H48" s="145">
        <v>129.45559674762231</v>
      </c>
      <c r="I48" s="146">
        <v>0.94853469943437374</v>
      </c>
      <c r="J48" s="147">
        <v>0.92530842448338357</v>
      </c>
      <c r="K48" s="148">
        <v>145</v>
      </c>
      <c r="M48" s="138">
        <f t="shared" si="0"/>
        <v>0.94853469943437374</v>
      </c>
      <c r="N48" s="149"/>
      <c r="U48" s="141">
        <f t="shared" si="2"/>
        <v>16303156.342633281</v>
      </c>
      <c r="V48" s="141">
        <f t="shared" si="3"/>
        <v>2302682.9647805444</v>
      </c>
      <c r="W48" s="141">
        <f t="shared" si="4"/>
        <v>1340845.9690901174</v>
      </c>
      <c r="X48" s="141">
        <f t="shared" si="5"/>
        <v>990288.23006318125</v>
      </c>
      <c r="Y48" s="141">
        <f t="shared" si="1"/>
        <v>435562.16253199475</v>
      </c>
      <c r="Z48" s="141">
        <f t="shared" si="6"/>
        <v>-12566.311056241098</v>
      </c>
    </row>
    <row r="49" spans="1:26" ht="19.5" thickBot="1" x14ac:dyDescent="0.35">
      <c r="A49" s="142">
        <v>262</v>
      </c>
      <c r="B49" s="143" t="s">
        <v>475</v>
      </c>
      <c r="C49" s="142">
        <v>5101</v>
      </c>
      <c r="D49" s="143" t="s">
        <v>100</v>
      </c>
      <c r="E49" s="142">
        <v>4104</v>
      </c>
      <c r="F49" s="143" t="s">
        <v>491</v>
      </c>
      <c r="G49" s="144">
        <v>4.5139963627053952</v>
      </c>
      <c r="H49" s="145">
        <v>152.02713444339298</v>
      </c>
      <c r="I49" s="146">
        <v>0.72412877890334537</v>
      </c>
      <c r="J49" s="147">
        <v>0.94297908194031599</v>
      </c>
      <c r="K49" s="148">
        <v>194</v>
      </c>
      <c r="M49" s="138">
        <f t="shared" si="0"/>
        <v>0.72412877890334537</v>
      </c>
      <c r="N49" s="149"/>
      <c r="U49" s="141">
        <f t="shared" si="2"/>
        <v>20475802.853355825</v>
      </c>
      <c r="V49" s="141">
        <f t="shared" si="3"/>
        <v>3221539.4582664906</v>
      </c>
      <c r="W49" s="141">
        <f t="shared" si="4"/>
        <v>2036166.0484618756</v>
      </c>
      <c r="X49" s="141">
        <f t="shared" si="5"/>
        <v>1604136.6876599749</v>
      </c>
      <c r="Y49" s="141">
        <f t="shared" si="1"/>
        <v>920489.1121111277</v>
      </c>
      <c r="Z49" s="141">
        <f t="shared" si="6"/>
        <v>368213.02047824353</v>
      </c>
    </row>
    <row r="50" spans="1:26" ht="19.5" thickBot="1" x14ac:dyDescent="0.35">
      <c r="A50" s="142">
        <v>262</v>
      </c>
      <c r="B50" s="143" t="s">
        <v>475</v>
      </c>
      <c r="C50" s="142">
        <v>5101</v>
      </c>
      <c r="D50" s="143" t="s">
        <v>100</v>
      </c>
      <c r="E50" s="142">
        <v>4008</v>
      </c>
      <c r="F50" s="143" t="s">
        <v>492</v>
      </c>
      <c r="G50" s="144">
        <v>2.2098362646270302</v>
      </c>
      <c r="H50" s="145">
        <v>212.70506524126233</v>
      </c>
      <c r="I50" s="146">
        <v>1.5783830585922116</v>
      </c>
      <c r="J50" s="147">
        <v>0.87571153961442971</v>
      </c>
      <c r="K50" s="148">
        <v>57</v>
      </c>
      <c r="M50" s="138">
        <f t="shared" si="0"/>
        <v>1.5783830585922116</v>
      </c>
      <c r="N50" s="149"/>
      <c r="U50" s="141">
        <f t="shared" si="2"/>
        <v>9308910.2812435701</v>
      </c>
      <c r="V50" s="141">
        <f t="shared" si="3"/>
        <v>862049.91491332022</v>
      </c>
      <c r="W50" s="141">
        <f t="shared" si="4"/>
        <v>281747.9080811991</v>
      </c>
      <c r="X50" s="141">
        <f t="shared" si="5"/>
        <v>70247.040076183199</v>
      </c>
      <c r="Y50" s="141">
        <f t="shared" si="1"/>
        <v>-264434.04587993072</v>
      </c>
      <c r="Z50" s="141">
        <f t="shared" si="6"/>
        <v>-534801.9499084081</v>
      </c>
    </row>
    <row r="51" spans="1:26" ht="19.5" thickBot="1" x14ac:dyDescent="0.35">
      <c r="A51" s="142">
        <v>262</v>
      </c>
      <c r="B51" s="143" t="s">
        <v>475</v>
      </c>
      <c r="C51" s="142">
        <v>5101</v>
      </c>
      <c r="D51" s="143" t="s">
        <v>100</v>
      </c>
      <c r="E51" s="142">
        <v>4007</v>
      </c>
      <c r="F51" s="143" t="s">
        <v>493</v>
      </c>
      <c r="G51" s="144">
        <v>7.7514398573821319</v>
      </c>
      <c r="H51" s="145">
        <v>255.40991745869385</v>
      </c>
      <c r="I51" s="146">
        <v>2.0449105746081742</v>
      </c>
      <c r="J51" s="147">
        <v>0.8389752186196735</v>
      </c>
      <c r="K51" s="148">
        <v>26</v>
      </c>
      <c r="M51" s="138">
        <f t="shared" si="0"/>
        <v>2.0449105746081742</v>
      </c>
      <c r="N51" s="149"/>
      <c r="U51" s="141">
        <f t="shared" si="2"/>
        <v>31283057.316831335</v>
      </c>
      <c r="V51" s="141">
        <f t="shared" si="3"/>
        <v>1654015.9433228439</v>
      </c>
      <c r="W51" s="141">
        <f t="shared" si="4"/>
        <v>-381508.66864949686</v>
      </c>
      <c r="X51" s="141">
        <f t="shared" si="5"/>
        <v>-1123389.9945954699</v>
      </c>
      <c r="Y51" s="141">
        <f t="shared" si="1"/>
        <v>-2297350.4145227848</v>
      </c>
      <c r="Z51" s="141">
        <f t="shared" si="6"/>
        <v>-3245719.5679256138</v>
      </c>
    </row>
    <row r="52" spans="1:26" ht="19.5" thickBot="1" x14ac:dyDescent="0.35">
      <c r="A52" s="142">
        <v>262</v>
      </c>
      <c r="B52" s="143" t="s">
        <v>475</v>
      </c>
      <c r="C52" s="142">
        <v>5101</v>
      </c>
      <c r="D52" s="143" t="s">
        <v>100</v>
      </c>
      <c r="E52" s="142">
        <v>4015</v>
      </c>
      <c r="F52" s="143" t="s">
        <v>106</v>
      </c>
      <c r="G52" s="144">
        <v>4.7798890689306095</v>
      </c>
      <c r="H52" s="145">
        <v>147.56325549157623</v>
      </c>
      <c r="I52" s="146">
        <v>0.66775866545666385</v>
      </c>
      <c r="J52" s="147">
        <v>0.94741789961129186</v>
      </c>
      <c r="K52" s="148">
        <v>205</v>
      </c>
      <c r="M52" s="138">
        <f t="shared" si="0"/>
        <v>0.66775866545666385</v>
      </c>
      <c r="N52" s="149"/>
      <c r="U52" s="141">
        <f t="shared" si="2"/>
        <v>21783972.444721788</v>
      </c>
      <c r="V52" s="141">
        <f t="shared" si="3"/>
        <v>3513362.9076755918</v>
      </c>
      <c r="W52" s="141">
        <f t="shared" si="4"/>
        <v>2258166.1930884589</v>
      </c>
      <c r="X52" s="141">
        <f t="shared" si="5"/>
        <v>1800688.5495051516</v>
      </c>
      <c r="Y52" s="141">
        <f t="shared" si="1"/>
        <v>1076771.3571110561</v>
      </c>
      <c r="Z52" s="141">
        <f t="shared" si="6"/>
        <v>491963.96221860475</v>
      </c>
    </row>
    <row r="53" spans="1:26" ht="19.5" thickBot="1" x14ac:dyDescent="0.35">
      <c r="A53" s="142">
        <v>262</v>
      </c>
      <c r="B53" s="143" t="s">
        <v>475</v>
      </c>
      <c r="C53" s="142">
        <v>5101</v>
      </c>
      <c r="D53" s="143" t="s">
        <v>100</v>
      </c>
      <c r="E53" s="142">
        <v>4109</v>
      </c>
      <c r="F53" s="143" t="s">
        <v>494</v>
      </c>
      <c r="G53" s="144">
        <v>2.5187938061803754</v>
      </c>
      <c r="H53" s="145">
        <v>93.258120336658664</v>
      </c>
      <c r="I53" s="146">
        <v>0.52743374800281839</v>
      </c>
      <c r="J53" s="147">
        <v>0.9584676684548743</v>
      </c>
      <c r="K53" s="148">
        <v>230</v>
      </c>
      <c r="M53" s="138">
        <f t="shared" si="0"/>
        <v>0.52743374800281839</v>
      </c>
      <c r="N53" s="149"/>
      <c r="U53" s="141">
        <f t="shared" si="2"/>
        <v>11613089.149560932</v>
      </c>
      <c r="V53" s="141">
        <f t="shared" si="3"/>
        <v>1985271.9610444726</v>
      </c>
      <c r="W53" s="141">
        <f t="shared" si="4"/>
        <v>1323837.8430875556</v>
      </c>
      <c r="X53" s="141">
        <f t="shared" si="5"/>
        <v>1082767.0068178289</v>
      </c>
      <c r="Y53" s="141">
        <f t="shared" si="1"/>
        <v>701294.10774118186</v>
      </c>
      <c r="Z53" s="141">
        <f t="shared" si="6"/>
        <v>393126.02626034134</v>
      </c>
    </row>
    <row r="54" spans="1:26" ht="19.5" thickBot="1" x14ac:dyDescent="0.35">
      <c r="A54" s="142">
        <v>262</v>
      </c>
      <c r="B54" s="143" t="s">
        <v>475</v>
      </c>
      <c r="C54" s="142">
        <v>5101</v>
      </c>
      <c r="D54" s="143" t="s">
        <v>100</v>
      </c>
      <c r="E54" s="142">
        <v>4129</v>
      </c>
      <c r="F54" s="143" t="s">
        <v>495</v>
      </c>
      <c r="G54" s="144">
        <v>2.5697043736581602</v>
      </c>
      <c r="H54" s="145">
        <v>124.58659516707064</v>
      </c>
      <c r="I54" s="146">
        <v>1.2008817111934875</v>
      </c>
      <c r="J54" s="147">
        <v>0.90543756905085415</v>
      </c>
      <c r="K54" s="148">
        <v>105</v>
      </c>
      <c r="M54" s="138">
        <f t="shared" si="0"/>
        <v>1.2008817111934875</v>
      </c>
      <c r="N54" s="149"/>
      <c r="U54" s="141">
        <f t="shared" si="2"/>
        <v>11192300.191513823</v>
      </c>
      <c r="V54" s="141">
        <f t="shared" si="3"/>
        <v>1369882.8592948336</v>
      </c>
      <c r="W54" s="141">
        <f t="shared" si="4"/>
        <v>695079.64927022543</v>
      </c>
      <c r="X54" s="141">
        <f t="shared" si="5"/>
        <v>449136.22158522636</v>
      </c>
      <c r="Y54" s="141">
        <f t="shared" si="1"/>
        <v>59952.885186661842</v>
      </c>
      <c r="Z54" s="141">
        <f t="shared" si="6"/>
        <v>-254443.9760649697</v>
      </c>
    </row>
    <row r="55" spans="1:26" ht="19.5" thickBot="1" x14ac:dyDescent="0.35">
      <c r="A55" s="142">
        <v>262</v>
      </c>
      <c r="B55" s="143" t="s">
        <v>475</v>
      </c>
      <c r="C55" s="142">
        <v>5101</v>
      </c>
      <c r="D55" s="143" t="s">
        <v>100</v>
      </c>
      <c r="E55" s="142">
        <v>4116</v>
      </c>
      <c r="F55" s="143" t="s">
        <v>109</v>
      </c>
      <c r="G55" s="144">
        <v>5.2395012254440703</v>
      </c>
      <c r="H55" s="145">
        <v>156.95163847591286</v>
      </c>
      <c r="I55" s="146">
        <v>1.1980176081107792</v>
      </c>
      <c r="J55" s="147">
        <v>0.90566310046453569</v>
      </c>
      <c r="K55" s="148">
        <v>106</v>
      </c>
      <c r="M55" s="138">
        <f t="shared" si="0"/>
        <v>1.1980176081107792</v>
      </c>
      <c r="N55" s="149"/>
      <c r="U55" s="141">
        <f t="shared" si="2"/>
        <v>22826235.602267314</v>
      </c>
      <c r="V55" s="141">
        <f t="shared" si="3"/>
        <v>2798808.254381014</v>
      </c>
      <c r="W55" s="141">
        <f t="shared" si="4"/>
        <v>1422917.5947000724</v>
      </c>
      <c r="X55" s="141">
        <f t="shared" si="5"/>
        <v>921451.00424125534</v>
      </c>
      <c r="Y55" s="141">
        <f t="shared" si="1"/>
        <v>127925.26295925476</v>
      </c>
      <c r="Z55" s="141">
        <f t="shared" si="6"/>
        <v>-513114.52227435424</v>
      </c>
    </row>
    <row r="56" spans="1:26" ht="19.5" thickBot="1" x14ac:dyDescent="0.35">
      <c r="A56" s="142">
        <v>262</v>
      </c>
      <c r="B56" s="143" t="s">
        <v>475</v>
      </c>
      <c r="C56" s="142">
        <v>5101</v>
      </c>
      <c r="D56" s="143" t="s">
        <v>100</v>
      </c>
      <c r="E56" s="142">
        <v>4126</v>
      </c>
      <c r="F56" s="143" t="s">
        <v>496</v>
      </c>
      <c r="G56" s="144">
        <v>2.6352440240385908</v>
      </c>
      <c r="H56" s="145">
        <v>269.29395939296421</v>
      </c>
      <c r="I56" s="146">
        <v>1.3206513589836093</v>
      </c>
      <c r="J56" s="147">
        <v>0.89600640781041774</v>
      </c>
      <c r="K56" s="148">
        <v>92</v>
      </c>
      <c r="M56" s="138">
        <f t="shared" si="0"/>
        <v>1.3206513589836093</v>
      </c>
      <c r="N56" s="149"/>
      <c r="U56" s="141">
        <f t="shared" si="2"/>
        <v>11358203.052673532</v>
      </c>
      <c r="V56" s="141">
        <f t="shared" si="3"/>
        <v>1285267.4879125319</v>
      </c>
      <c r="W56" s="141">
        <f t="shared" si="4"/>
        <v>593253.59524521744</v>
      </c>
      <c r="X56" s="141">
        <f t="shared" si="5"/>
        <v>341037.44357333687</v>
      </c>
      <c r="Y56" s="141">
        <f t="shared" si="1"/>
        <v>-58071.913912680749</v>
      </c>
      <c r="Z56" s="141">
        <f t="shared" si="6"/>
        <v>-380487.38640160544</v>
      </c>
    </row>
    <row r="57" spans="1:26" ht="19.5" thickBot="1" x14ac:dyDescent="0.35">
      <c r="A57" s="142">
        <v>262</v>
      </c>
      <c r="B57" s="143" t="s">
        <v>475</v>
      </c>
      <c r="C57" s="142">
        <v>5101</v>
      </c>
      <c r="D57" s="143" t="s">
        <v>100</v>
      </c>
      <c r="E57" s="142">
        <v>4119</v>
      </c>
      <c r="F57" s="143" t="s">
        <v>497</v>
      </c>
      <c r="G57" s="144">
        <v>5.3559300765240208</v>
      </c>
      <c r="H57" s="145">
        <v>205.86804208534275</v>
      </c>
      <c r="I57" s="146">
        <v>1.9594219631804664</v>
      </c>
      <c r="J57" s="147">
        <v>0.84570694818114445</v>
      </c>
      <c r="K57" s="148">
        <v>29</v>
      </c>
      <c r="M57" s="138">
        <f t="shared" si="0"/>
        <v>1.9594219631804664</v>
      </c>
      <c r="N57" s="149"/>
      <c r="U57" s="141">
        <f t="shared" si="2"/>
        <v>21788757.876704082</v>
      </c>
      <c r="V57" s="141">
        <f t="shared" si="3"/>
        <v>1316293.8247746525</v>
      </c>
      <c r="W57" s="141">
        <f t="shared" si="4"/>
        <v>-90170.99871034651</v>
      </c>
      <c r="X57" s="141">
        <f t="shared" si="5"/>
        <v>-602780.85958173079</v>
      </c>
      <c r="Y57" s="141">
        <f t="shared" si="1"/>
        <v>-1413939.823261155</v>
      </c>
      <c r="Z57" s="141">
        <f t="shared" si="6"/>
        <v>-2069224.3853313152</v>
      </c>
    </row>
    <row r="58" spans="1:26" ht="19.5" thickBot="1" x14ac:dyDescent="0.35">
      <c r="A58" s="142">
        <v>262</v>
      </c>
      <c r="B58" s="143" t="s">
        <v>475</v>
      </c>
      <c r="C58" s="142">
        <v>5101</v>
      </c>
      <c r="D58" s="143" t="s">
        <v>100</v>
      </c>
      <c r="E58" s="142">
        <v>4127</v>
      </c>
      <c r="F58" s="143" t="s">
        <v>498</v>
      </c>
      <c r="G58" s="144">
        <v>1.3827908004778966</v>
      </c>
      <c r="H58" s="145">
        <v>154.45904754803445</v>
      </c>
      <c r="I58" s="146">
        <v>0.58370482340571661</v>
      </c>
      <c r="J58" s="147">
        <v>0.95403664945223476</v>
      </c>
      <c r="K58" s="148">
        <v>222</v>
      </c>
      <c r="M58" s="138">
        <f t="shared" si="0"/>
        <v>0.58370482340571661</v>
      </c>
      <c r="N58" s="149"/>
      <c r="U58" s="141">
        <f t="shared" si="2"/>
        <v>6345987.5505123315</v>
      </c>
      <c r="V58" s="141">
        <f t="shared" si="3"/>
        <v>1060419.1152173388</v>
      </c>
      <c r="W58" s="141">
        <f t="shared" si="4"/>
        <v>697298.87441445224</v>
      </c>
      <c r="X58" s="141">
        <f t="shared" si="5"/>
        <v>564953.56935639307</v>
      </c>
      <c r="Y58" s="141">
        <f t="shared" si="1"/>
        <v>355529.03679620568</v>
      </c>
      <c r="Z58" s="141">
        <f t="shared" si="6"/>
        <v>186348.06333699386</v>
      </c>
    </row>
    <row r="59" spans="1:26" ht="19.5" thickBot="1" x14ac:dyDescent="0.35">
      <c r="A59" s="142">
        <v>262</v>
      </c>
      <c r="B59" s="143" t="s">
        <v>475</v>
      </c>
      <c r="C59" s="142">
        <v>5101</v>
      </c>
      <c r="D59" s="143" t="s">
        <v>100</v>
      </c>
      <c r="E59" s="142">
        <v>4121</v>
      </c>
      <c r="F59" s="143" t="s">
        <v>499</v>
      </c>
      <c r="G59" s="144">
        <v>3.0026688585262442</v>
      </c>
      <c r="H59" s="145">
        <v>112.54741692224675</v>
      </c>
      <c r="I59" s="146">
        <v>0.41478303482032608</v>
      </c>
      <c r="J59" s="147">
        <v>0.96733825511415872</v>
      </c>
      <c r="K59" s="148">
        <v>250</v>
      </c>
      <c r="M59" s="138">
        <f t="shared" si="0"/>
        <v>0.41478303482032608</v>
      </c>
      <c r="N59" s="149"/>
      <c r="U59" s="141">
        <f t="shared" si="2"/>
        <v>13972157.693529885</v>
      </c>
      <c r="V59" s="141">
        <f t="shared" si="3"/>
        <v>2494780.3962665773</v>
      </c>
      <c r="W59" s="141">
        <f t="shared" si="4"/>
        <v>1706280.9077086858</v>
      </c>
      <c r="X59" s="141">
        <f t="shared" si="5"/>
        <v>1418898.9509205362</v>
      </c>
      <c r="Y59" s="141">
        <f t="shared" si="1"/>
        <v>964142.87219007034</v>
      </c>
      <c r="Z59" s="141">
        <f t="shared" si="6"/>
        <v>596773.89614136796</v>
      </c>
    </row>
    <row r="60" spans="1:26" ht="19.5" thickBot="1" x14ac:dyDescent="0.35">
      <c r="A60" s="142">
        <v>262</v>
      </c>
      <c r="B60" s="143" t="s">
        <v>475</v>
      </c>
      <c r="C60" s="142">
        <v>5101</v>
      </c>
      <c r="D60" s="143" t="s">
        <v>100</v>
      </c>
      <c r="E60" s="142">
        <v>4101</v>
      </c>
      <c r="F60" s="143" t="s">
        <v>500</v>
      </c>
      <c r="G60" s="144">
        <v>8.0969419466873145</v>
      </c>
      <c r="H60" s="145">
        <v>199.96926113721679</v>
      </c>
      <c r="I60" s="146">
        <v>1.136963070288086</v>
      </c>
      <c r="J60" s="147">
        <v>0.91047078923452496</v>
      </c>
      <c r="K60" s="148">
        <v>115</v>
      </c>
      <c r="M60" s="138">
        <f t="shared" si="0"/>
        <v>1.136963070288086</v>
      </c>
      <c r="N60" s="149"/>
      <c r="U60" s="141">
        <f t="shared" si="2"/>
        <v>35462121.871628828</v>
      </c>
      <c r="V60" s="141">
        <f t="shared" si="3"/>
        <v>4512436.0905000325</v>
      </c>
      <c r="W60" s="141">
        <f t="shared" si="4"/>
        <v>2386182.785638616</v>
      </c>
      <c r="X60" s="141">
        <f t="shared" si="5"/>
        <v>1611233.8551124786</v>
      </c>
      <c r="Y60" s="141">
        <f t="shared" si="1"/>
        <v>384946.9274254223</v>
      </c>
      <c r="Z60" s="141">
        <f t="shared" si="6"/>
        <v>-605693.53685150342</v>
      </c>
    </row>
    <row r="61" spans="1:26" ht="19.5" thickBot="1" x14ac:dyDescent="0.35">
      <c r="A61" s="142">
        <v>262</v>
      </c>
      <c r="B61" s="143" t="s">
        <v>475</v>
      </c>
      <c r="C61" s="142">
        <v>5101</v>
      </c>
      <c r="D61" s="143" t="s">
        <v>100</v>
      </c>
      <c r="E61" s="142">
        <v>4110</v>
      </c>
      <c r="F61" s="143" t="s">
        <v>115</v>
      </c>
      <c r="G61" s="144">
        <v>1.8954203691045792</v>
      </c>
      <c r="H61" s="145">
        <v>361.64706741218902</v>
      </c>
      <c r="I61" s="146">
        <v>1.3457583476350525</v>
      </c>
      <c r="J61" s="147">
        <v>0.89402937888361889</v>
      </c>
      <c r="K61" s="148">
        <v>88</v>
      </c>
      <c r="M61" s="138">
        <f t="shared" si="0"/>
        <v>1.3457583476350525</v>
      </c>
      <c r="N61" s="149"/>
      <c r="U61" s="141">
        <f t="shared" si="2"/>
        <v>8151452.6394607052</v>
      </c>
      <c r="V61" s="141">
        <f t="shared" si="3"/>
        <v>906413.06363190268</v>
      </c>
      <c r="W61" s="141">
        <f t="shared" si="4"/>
        <v>408676.52921607898</v>
      </c>
      <c r="X61" s="141">
        <f t="shared" si="5"/>
        <v>227268.0422087097</v>
      </c>
      <c r="Y61" s="141">
        <f t="shared" si="1"/>
        <v>-59794.559500528077</v>
      </c>
      <c r="Z61" s="141">
        <f t="shared" si="6"/>
        <v>-291694.47020915232</v>
      </c>
    </row>
    <row r="62" spans="1:26" ht="19.5" thickBot="1" x14ac:dyDescent="0.35">
      <c r="A62" s="142">
        <v>262</v>
      </c>
      <c r="B62" s="143" t="s">
        <v>475</v>
      </c>
      <c r="C62" s="142">
        <v>5101</v>
      </c>
      <c r="D62" s="143" t="s">
        <v>100</v>
      </c>
      <c r="E62" s="142">
        <v>4107</v>
      </c>
      <c r="F62" s="143" t="s">
        <v>116</v>
      </c>
      <c r="G62" s="144">
        <v>2.1204174576225512</v>
      </c>
      <c r="H62" s="145">
        <v>158.08316964897782</v>
      </c>
      <c r="I62" s="146">
        <v>0.47662390931885124</v>
      </c>
      <c r="J62" s="147">
        <v>0.96246864691703671</v>
      </c>
      <c r="K62" s="148">
        <v>239</v>
      </c>
      <c r="M62" s="138">
        <f t="shared" si="0"/>
        <v>0.47662390931885124</v>
      </c>
      <c r="N62" s="149"/>
      <c r="U62" s="141">
        <f t="shared" si="2"/>
        <v>9817154.7700233888</v>
      </c>
      <c r="V62" s="141">
        <f t="shared" si="3"/>
        <v>1712088.1324779019</v>
      </c>
      <c r="W62" s="141">
        <f t="shared" si="4"/>
        <v>1155267.4640525386</v>
      </c>
      <c r="X62" s="141">
        <f t="shared" si="5"/>
        <v>952324.76644238341</v>
      </c>
      <c r="Y62" s="141">
        <f t="shared" si="1"/>
        <v>631186.21479625383</v>
      </c>
      <c r="Z62" s="141">
        <f t="shared" si="6"/>
        <v>371758.47670563974</v>
      </c>
    </row>
    <row r="63" spans="1:26" ht="19.5" thickBot="1" x14ac:dyDescent="0.35">
      <c r="A63" s="142">
        <v>262</v>
      </c>
      <c r="B63" s="143" t="s">
        <v>475</v>
      </c>
      <c r="C63" s="142">
        <v>5101</v>
      </c>
      <c r="D63" s="143" t="s">
        <v>100</v>
      </c>
      <c r="E63" s="142">
        <v>4120</v>
      </c>
      <c r="F63" s="143" t="s">
        <v>501</v>
      </c>
      <c r="G63" s="144">
        <v>2.5505437581225676</v>
      </c>
      <c r="H63" s="145">
        <v>143.29655562115491</v>
      </c>
      <c r="I63" s="146">
        <v>0.43299873722336207</v>
      </c>
      <c r="J63" s="147">
        <v>0.96590387478791873</v>
      </c>
      <c r="K63" s="148">
        <v>245</v>
      </c>
      <c r="M63" s="138">
        <f t="shared" si="0"/>
        <v>0.43299873722336207</v>
      </c>
      <c r="N63" s="149"/>
      <c r="U63" s="141">
        <f t="shared" si="2"/>
        <v>11850709.787937017</v>
      </c>
      <c r="V63" s="141">
        <f t="shared" si="3"/>
        <v>2101531.8384509394</v>
      </c>
      <c r="W63" s="141">
        <f t="shared" si="4"/>
        <v>1431760.1974278109</v>
      </c>
      <c r="X63" s="141">
        <f t="shared" si="5"/>
        <v>1187650.6100513255</v>
      </c>
      <c r="Y63" s="141">
        <f t="shared" si="1"/>
        <v>801369.16087295383</v>
      </c>
      <c r="Z63" s="141">
        <f t="shared" si="6"/>
        <v>489316.55269797624</v>
      </c>
    </row>
    <row r="64" spans="1:26" ht="19.5" thickBot="1" x14ac:dyDescent="0.35">
      <c r="A64" s="142">
        <v>262</v>
      </c>
      <c r="B64" s="143" t="s">
        <v>475</v>
      </c>
      <c r="C64" s="142">
        <v>5006</v>
      </c>
      <c r="D64" s="143" t="s">
        <v>118</v>
      </c>
      <c r="E64" s="142">
        <v>4028</v>
      </c>
      <c r="F64" s="143" t="s">
        <v>502</v>
      </c>
      <c r="G64" s="144">
        <v>2.7952903573694758</v>
      </c>
      <c r="H64" s="145">
        <v>218.54447638666289</v>
      </c>
      <c r="I64" s="146">
        <v>1.0923914699772235</v>
      </c>
      <c r="J64" s="147">
        <v>0.91398054280758911</v>
      </c>
      <c r="K64" s="148">
        <v>121</v>
      </c>
      <c r="M64" s="138">
        <f t="shared" si="0"/>
        <v>1.0923914699772235</v>
      </c>
      <c r="N64" s="149"/>
      <c r="U64" s="141">
        <f t="shared" si="2"/>
        <v>12289707.664919319</v>
      </c>
      <c r="V64" s="141">
        <f t="shared" si="3"/>
        <v>1605012.2827325249</v>
      </c>
      <c r="W64" s="141">
        <f t="shared" si="4"/>
        <v>870970.29508609639</v>
      </c>
      <c r="X64" s="141">
        <f t="shared" si="5"/>
        <v>603436.29432180116</v>
      </c>
      <c r="Y64" s="141">
        <f t="shared" si="1"/>
        <v>180087.81944057898</v>
      </c>
      <c r="Z64" s="141">
        <f t="shared" si="6"/>
        <v>-161908.91903748794</v>
      </c>
    </row>
    <row r="65" spans="1:26" ht="19.5" thickBot="1" x14ac:dyDescent="0.35">
      <c r="A65" s="142">
        <v>262</v>
      </c>
      <c r="B65" s="143" t="s">
        <v>475</v>
      </c>
      <c r="C65" s="142">
        <v>5006</v>
      </c>
      <c r="D65" s="143" t="s">
        <v>118</v>
      </c>
      <c r="E65" s="142">
        <v>4033</v>
      </c>
      <c r="F65" s="143" t="s">
        <v>503</v>
      </c>
      <c r="G65" s="144">
        <v>1.4210880737196536</v>
      </c>
      <c r="H65" s="145">
        <v>743.76085375445268</v>
      </c>
      <c r="I65" s="146">
        <v>12.699353211840561</v>
      </c>
      <c r="J65" s="147">
        <v>0</v>
      </c>
      <c r="K65" s="148">
        <v>1</v>
      </c>
      <c r="M65" s="138">
        <f t="shared" si="0"/>
        <v>12.699353211840561</v>
      </c>
      <c r="N65" s="149"/>
      <c r="U65" s="141">
        <f t="shared" si="2"/>
        <v>0</v>
      </c>
      <c r="V65" s="141">
        <f t="shared" si="3"/>
        <v>-5431955.624546282</v>
      </c>
      <c r="W65" s="141">
        <f t="shared" si="4"/>
        <v>-5805132.7120369207</v>
      </c>
      <c r="X65" s="141">
        <f t="shared" si="5"/>
        <v>-5941143.4047359163</v>
      </c>
      <c r="Y65" s="141">
        <f t="shared" si="1"/>
        <v>-6156368.0833082208</v>
      </c>
      <c r="Z65" s="141">
        <f t="shared" si="6"/>
        <v>-6330234.6317406204</v>
      </c>
    </row>
    <row r="66" spans="1:26" ht="19.5" thickBot="1" x14ac:dyDescent="0.35">
      <c r="A66" s="142">
        <v>262</v>
      </c>
      <c r="B66" s="143" t="s">
        <v>475</v>
      </c>
      <c r="C66" s="142">
        <v>5006</v>
      </c>
      <c r="D66" s="143" t="s">
        <v>118</v>
      </c>
      <c r="E66" s="142">
        <v>4037</v>
      </c>
      <c r="F66" s="143" t="s">
        <v>121</v>
      </c>
      <c r="G66" s="144">
        <v>4.3565891624630178</v>
      </c>
      <c r="H66" s="145">
        <v>198.44654948166436</v>
      </c>
      <c r="I66" s="146">
        <v>2.2564043042200557</v>
      </c>
      <c r="J66" s="147">
        <v>0.82232132089087495</v>
      </c>
      <c r="K66" s="148">
        <v>18</v>
      </c>
      <c r="M66" s="138">
        <f t="shared" si="0"/>
        <v>2.2564043042200557</v>
      </c>
      <c r="N66" s="149"/>
      <c r="U66" s="141">
        <f t="shared" si="2"/>
        <v>17233196.225414585</v>
      </c>
      <c r="V66" s="141">
        <f t="shared" si="3"/>
        <v>580604.84665753716</v>
      </c>
      <c r="W66" s="141">
        <f t="shared" si="4"/>
        <v>-563433.50332720752</v>
      </c>
      <c r="X66" s="141">
        <f t="shared" si="5"/>
        <v>-980397.60340621881</v>
      </c>
      <c r="Y66" s="141">
        <f t="shared" si="1"/>
        <v>-1640205.7599185966</v>
      </c>
      <c r="Z66" s="141">
        <f t="shared" si="6"/>
        <v>-2173223.4768520752</v>
      </c>
    </row>
    <row r="67" spans="1:26" ht="19.5" thickBot="1" x14ac:dyDescent="0.35">
      <c r="A67" s="142">
        <v>262</v>
      </c>
      <c r="B67" s="143" t="s">
        <v>475</v>
      </c>
      <c r="C67" s="142">
        <v>5006</v>
      </c>
      <c r="D67" s="143" t="s">
        <v>118</v>
      </c>
      <c r="E67" s="142">
        <v>4038</v>
      </c>
      <c r="F67" s="143" t="s">
        <v>122</v>
      </c>
      <c r="G67" s="144">
        <v>4.5469934366708564</v>
      </c>
      <c r="H67" s="145">
        <v>253.59900978970126</v>
      </c>
      <c r="I67" s="146">
        <v>1.8979266146727649</v>
      </c>
      <c r="J67" s="147">
        <v>0.85054934822167283</v>
      </c>
      <c r="K67" s="148">
        <v>32</v>
      </c>
      <c r="M67" s="138">
        <f t="shared" si="0"/>
        <v>1.8979266146727649</v>
      </c>
      <c r="N67" s="149"/>
      <c r="U67" s="141">
        <f t="shared" si="2"/>
        <v>18603793.880304541</v>
      </c>
      <c r="V67" s="141">
        <f t="shared" si="3"/>
        <v>1223402.7350532487</v>
      </c>
      <c r="W67" s="141">
        <f t="shared" si="4"/>
        <v>29364.30850135129</v>
      </c>
      <c r="X67" s="141">
        <f t="shared" si="5"/>
        <v>-405823.16401092021</v>
      </c>
      <c r="Y67" s="141">
        <f t="shared" si="1"/>
        <v>-1094468.1670727958</v>
      </c>
      <c r="Z67" s="141">
        <f t="shared" si="6"/>
        <v>-1650781.3676399114</v>
      </c>
    </row>
    <row r="68" spans="1:26" ht="19.5" thickBot="1" x14ac:dyDescent="0.35">
      <c r="A68" s="142">
        <v>262</v>
      </c>
      <c r="B68" s="143" t="s">
        <v>475</v>
      </c>
      <c r="C68" s="142">
        <v>5006</v>
      </c>
      <c r="D68" s="143" t="s">
        <v>118</v>
      </c>
      <c r="E68" s="142">
        <v>4039</v>
      </c>
      <c r="F68" s="143" t="s">
        <v>504</v>
      </c>
      <c r="G68" s="144">
        <v>1.5103209234800916</v>
      </c>
      <c r="H68" s="145">
        <v>84.278006760778226</v>
      </c>
      <c r="I68" s="146">
        <v>0.32492763185007201</v>
      </c>
      <c r="J68" s="147">
        <v>0.97441384404151254</v>
      </c>
      <c r="K68" s="148">
        <v>267</v>
      </c>
      <c r="M68" s="138">
        <f t="shared" si="0"/>
        <v>0.32492763185007201</v>
      </c>
      <c r="N68" s="149"/>
      <c r="U68" s="141">
        <f t="shared" si="2"/>
        <v>7079300.7081465544</v>
      </c>
      <c r="V68" s="141">
        <f t="shared" si="3"/>
        <v>1306262.1562896564</v>
      </c>
      <c r="W68" s="141">
        <f t="shared" si="4"/>
        <v>909652.56268070941</v>
      </c>
      <c r="X68" s="141">
        <f t="shared" si="5"/>
        <v>765101.497339183</v>
      </c>
      <c r="Y68" s="141">
        <f t="shared" si="1"/>
        <v>536362.44779793988</v>
      </c>
      <c r="Z68" s="141">
        <f t="shared" si="6"/>
        <v>351578.48482836416</v>
      </c>
    </row>
    <row r="69" spans="1:26" ht="19.5" thickBot="1" x14ac:dyDescent="0.35">
      <c r="A69" s="142">
        <v>262</v>
      </c>
      <c r="B69" s="143" t="s">
        <v>475</v>
      </c>
      <c r="C69" s="142">
        <v>5006</v>
      </c>
      <c r="D69" s="143" t="s">
        <v>118</v>
      </c>
      <c r="E69" s="142">
        <v>4027</v>
      </c>
      <c r="F69" s="143" t="s">
        <v>505</v>
      </c>
      <c r="G69" s="144">
        <v>3.0536943670474646</v>
      </c>
      <c r="H69" s="145">
        <v>227.45679253800841</v>
      </c>
      <c r="I69" s="146">
        <v>1.6554375748440531</v>
      </c>
      <c r="J69" s="147">
        <v>0.86964394585855254</v>
      </c>
      <c r="K69" s="148">
        <v>51</v>
      </c>
      <c r="M69" s="138">
        <f t="shared" ref="M69:M132" si="7">I69</f>
        <v>1.6554375748440531</v>
      </c>
      <c r="N69" s="149"/>
      <c r="U69" s="141">
        <f t="shared" si="2"/>
        <v>12774523.852592291</v>
      </c>
      <c r="V69" s="141">
        <f t="shared" si="3"/>
        <v>1102107.0619063871</v>
      </c>
      <c r="W69" s="141">
        <f t="shared" si="4"/>
        <v>300208.29781461752</v>
      </c>
      <c r="X69" s="141">
        <f t="shared" si="5"/>
        <v>7942.7487371284669</v>
      </c>
      <c r="Y69" s="141">
        <f t="shared" si="1"/>
        <v>-454541.17520825309</v>
      </c>
      <c r="Z69" s="141">
        <f t="shared" si="6"/>
        <v>-828152.99377506296</v>
      </c>
    </row>
    <row r="70" spans="1:26" ht="19.5" thickBot="1" x14ac:dyDescent="0.35">
      <c r="A70" s="142">
        <v>262</v>
      </c>
      <c r="B70" s="143" t="s">
        <v>475</v>
      </c>
      <c r="C70" s="142">
        <v>5006</v>
      </c>
      <c r="D70" s="143" t="s">
        <v>118</v>
      </c>
      <c r="E70" s="142">
        <v>4029</v>
      </c>
      <c r="F70" s="143" t="s">
        <v>506</v>
      </c>
      <c r="G70" s="144">
        <v>2.1938047859956189</v>
      </c>
      <c r="H70" s="145">
        <v>255.13047067494082</v>
      </c>
      <c r="I70" s="146">
        <v>1.2935319109590397</v>
      </c>
      <c r="J70" s="147">
        <v>0.89814190617574263</v>
      </c>
      <c r="K70" s="148">
        <v>96</v>
      </c>
      <c r="M70" s="138">
        <f t="shared" si="7"/>
        <v>1.2935319109590397</v>
      </c>
      <c r="N70" s="149"/>
      <c r="U70" s="141">
        <f t="shared" si="2"/>
        <v>9478085.3629108556</v>
      </c>
      <c r="V70" s="141">
        <f t="shared" si="3"/>
        <v>1092503.5915756035</v>
      </c>
      <c r="W70" s="141">
        <f t="shared" si="4"/>
        <v>516411.44380463043</v>
      </c>
      <c r="X70" s="141">
        <f t="shared" si="5"/>
        <v>306444.93004124874</v>
      </c>
      <c r="Y70" s="141">
        <f t="shared" ref="Y70:Y133" si="8">((((($R$5-$M70)))/0.003)*G70*1000)+(((((($R$5/$O$2)-($M70/$O$2))))/0.003)*G70*1000)*$O$3</f>
        <v>-25808.178438104773</v>
      </c>
      <c r="Z70" s="141">
        <f t="shared" si="6"/>
        <v>-294214.67141299736</v>
      </c>
    </row>
    <row r="71" spans="1:26" ht="19.5" thickBot="1" x14ac:dyDescent="0.35">
      <c r="A71" s="142">
        <v>262</v>
      </c>
      <c r="B71" s="143" t="s">
        <v>475</v>
      </c>
      <c r="C71" s="142">
        <v>5006</v>
      </c>
      <c r="D71" s="143" t="s">
        <v>118</v>
      </c>
      <c r="E71" s="142">
        <v>4019</v>
      </c>
      <c r="F71" s="143" t="s">
        <v>126</v>
      </c>
      <c r="G71" s="144">
        <v>4.5919046557416676</v>
      </c>
      <c r="H71" s="145">
        <v>455.27356426836309</v>
      </c>
      <c r="I71" s="146">
        <v>2.9670624674587072</v>
      </c>
      <c r="J71" s="147">
        <v>0.76636113525118021</v>
      </c>
      <c r="K71" s="148">
        <v>6</v>
      </c>
      <c r="M71" s="138">
        <f t="shared" si="7"/>
        <v>2.9670624674587072</v>
      </c>
      <c r="N71" s="149"/>
      <c r="U71" s="141">
        <f t="shared" ref="U71:U134" si="9">((((($N$5-$M71)))/0.003)*G71*1000)+(((((($N$5/$O$2)-($M71/$O$2))))/0.003)*G71*1000)*$O$3</f>
        <v>16927936.053090371</v>
      </c>
      <c r="V71" s="141">
        <f t="shared" ref="V71:V134" si="10">((((($O$5-$M71)))/0.003)*G71*1000)+(((((($O$5/$O$2)-($M71/$O$2))))/0.003)*G71*1000)*$O$3</f>
        <v>-624123.3747596069</v>
      </c>
      <c r="W71" s="141">
        <f t="shared" ref="W71:W134" si="11">((((($P$5-$M71)))/0.003)*G71*1000)+(((((($P$5/$O$2)-($M71/$O$2))))/0.003)*G71*1000)*$O$3</f>
        <v>-1829955.4671922058</v>
      </c>
      <c r="X71" s="141">
        <f t="shared" ref="X71:X134" si="12">((((($Q$5-$M71)))/0.003)*G71*1000)+(((((($Q$5/$O$2)-($M71/$O$2))))/0.003)*G71*1000)*$O$3</f>
        <v>-2269441.3404361005</v>
      </c>
      <c r="Y71" s="141">
        <f t="shared" si="8"/>
        <v>-2964888.1757471943</v>
      </c>
      <c r="Z71" s="141">
        <f t="shared" ref="Z71:Z134" si="13">((((($S$5-$M71)))/0.003)*G71*1000)+(((((($S$5/$O$2)-($M71/$O$2))))/0.003)*G71*1000)*$O$3</f>
        <v>-3526696.1509100143</v>
      </c>
    </row>
    <row r="72" spans="1:26" ht="19.5" thickBot="1" x14ac:dyDescent="0.35">
      <c r="A72" s="142">
        <v>262</v>
      </c>
      <c r="B72" s="143" t="s">
        <v>475</v>
      </c>
      <c r="C72" s="142">
        <v>5006</v>
      </c>
      <c r="D72" s="143" t="s">
        <v>118</v>
      </c>
      <c r="E72" s="142">
        <v>4024</v>
      </c>
      <c r="F72" s="143" t="s">
        <v>507</v>
      </c>
      <c r="G72" s="144">
        <v>2.7606706159337735</v>
      </c>
      <c r="H72" s="145">
        <v>179.1305088501957</v>
      </c>
      <c r="I72" s="146">
        <v>1.1652199027416201</v>
      </c>
      <c r="J72" s="147">
        <v>0.90824572847889617</v>
      </c>
      <c r="K72" s="148">
        <v>109</v>
      </c>
      <c r="M72" s="138">
        <f t="shared" si="7"/>
        <v>1.1652199027416201</v>
      </c>
      <c r="N72" s="149"/>
      <c r="U72" s="141">
        <f t="shared" si="9"/>
        <v>12061342.010110768</v>
      </c>
      <c r="V72" s="141">
        <f t="shared" si="10"/>
        <v>1508976.8491746369</v>
      </c>
      <c r="W72" s="141">
        <f t="shared" si="11"/>
        <v>784025.99002163019</v>
      </c>
      <c r="X72" s="141">
        <f t="shared" si="12"/>
        <v>519805.40459084423</v>
      </c>
      <c r="Y72" s="141">
        <f t="shared" si="8"/>
        <v>101700.1112270438</v>
      </c>
      <c r="Z72" s="141">
        <f t="shared" si="13"/>
        <v>-236060.98903664236</v>
      </c>
    </row>
    <row r="73" spans="1:26" ht="19.5" thickBot="1" x14ac:dyDescent="0.35">
      <c r="A73" s="142">
        <v>262</v>
      </c>
      <c r="B73" s="143" t="s">
        <v>475</v>
      </c>
      <c r="C73" s="142">
        <v>5006</v>
      </c>
      <c r="D73" s="143" t="s">
        <v>118</v>
      </c>
      <c r="E73" s="142">
        <v>4047</v>
      </c>
      <c r="F73" s="143" t="s">
        <v>128</v>
      </c>
      <c r="G73" s="144">
        <v>5.5965996495066284</v>
      </c>
      <c r="H73" s="145">
        <v>110.66321339504752</v>
      </c>
      <c r="I73" s="146">
        <v>0.79650517690558298</v>
      </c>
      <c r="J73" s="147">
        <v>0.93727986271277641</v>
      </c>
      <c r="K73" s="148">
        <v>177</v>
      </c>
      <c r="M73" s="138">
        <f t="shared" si="7"/>
        <v>0.79650517690558298</v>
      </c>
      <c r="N73" s="149"/>
      <c r="U73" s="141">
        <f t="shared" si="9"/>
        <v>25233134.522896878</v>
      </c>
      <c r="V73" s="141">
        <f t="shared" si="10"/>
        <v>3840737.0306718047</v>
      </c>
      <c r="W73" s="141">
        <f t="shared" si="11"/>
        <v>2371072.4858224681</v>
      </c>
      <c r="X73" s="141">
        <f t="shared" si="12"/>
        <v>1835428.4190223431</v>
      </c>
      <c r="Y73" s="141">
        <f t="shared" si="8"/>
        <v>987819.89782060718</v>
      </c>
      <c r="Z73" s="141">
        <f t="shared" si="13"/>
        <v>303090.01934746071</v>
      </c>
    </row>
    <row r="74" spans="1:26" ht="19.5" thickBot="1" x14ac:dyDescent="0.35">
      <c r="A74" s="142">
        <v>262</v>
      </c>
      <c r="B74" s="143" t="s">
        <v>475</v>
      </c>
      <c r="C74" s="142">
        <v>5006</v>
      </c>
      <c r="D74" s="143" t="s">
        <v>118</v>
      </c>
      <c r="E74" s="142">
        <v>4026</v>
      </c>
      <c r="F74" s="143" t="s">
        <v>129</v>
      </c>
      <c r="G74" s="144">
        <v>4.2868855299321398</v>
      </c>
      <c r="H74" s="145">
        <v>184.44553062804002</v>
      </c>
      <c r="I74" s="146">
        <v>1.2639301074772973</v>
      </c>
      <c r="J74" s="147">
        <v>0.90047287555567479</v>
      </c>
      <c r="K74" s="148">
        <v>99</v>
      </c>
      <c r="M74" s="138">
        <f t="shared" si="7"/>
        <v>1.2639301074772973</v>
      </c>
      <c r="N74" s="149"/>
      <c r="U74" s="141">
        <f t="shared" si="9"/>
        <v>18569071.907100964</v>
      </c>
      <c r="V74" s="141">
        <f t="shared" si="10"/>
        <v>2182915.1327709067</v>
      </c>
      <c r="W74" s="141">
        <f t="shared" si="11"/>
        <v>1057180.9252643308</v>
      </c>
      <c r="X74" s="141">
        <f t="shared" si="12"/>
        <v>646888.07907836372</v>
      </c>
      <c r="Y74" s="141">
        <f t="shared" si="8"/>
        <v>-2363.4186426181996</v>
      </c>
      <c r="Z74" s="141">
        <f t="shared" si="13"/>
        <v>-526853.0716049294</v>
      </c>
    </row>
    <row r="75" spans="1:26" ht="19.5" thickBot="1" x14ac:dyDescent="0.35">
      <c r="A75" s="142">
        <v>262</v>
      </c>
      <c r="B75" s="143" t="s">
        <v>475</v>
      </c>
      <c r="C75" s="142">
        <v>5006</v>
      </c>
      <c r="D75" s="143" t="s">
        <v>118</v>
      </c>
      <c r="E75" s="142">
        <v>4045</v>
      </c>
      <c r="F75" s="143" t="s">
        <v>508</v>
      </c>
      <c r="G75" s="144">
        <v>5.9599043153562459</v>
      </c>
      <c r="H75" s="145">
        <v>258.76077498197509</v>
      </c>
      <c r="I75" s="146">
        <v>1.8764847519756715</v>
      </c>
      <c r="J75" s="147">
        <v>0.85223776985539035</v>
      </c>
      <c r="K75" s="148">
        <v>33</v>
      </c>
      <c r="M75" s="138">
        <f t="shared" si="7"/>
        <v>1.8764847519756715</v>
      </c>
      <c r="N75" s="149"/>
      <c r="U75" s="141">
        <f t="shared" si="9"/>
        <v>24433053.196394604</v>
      </c>
      <c r="V75" s="141">
        <f t="shared" si="10"/>
        <v>1651962.8711347159</v>
      </c>
      <c r="W75" s="141">
        <f t="shared" si="11"/>
        <v>86894.684821657953</v>
      </c>
      <c r="X75" s="141">
        <f t="shared" si="12"/>
        <v>-483520.85052907252</v>
      </c>
      <c r="Y75" s="141">
        <f t="shared" si="8"/>
        <v>-1386152.0908552024</v>
      </c>
      <c r="Z75" s="141">
        <f t="shared" si="13"/>
        <v>-2115331.3806272019</v>
      </c>
    </row>
    <row r="76" spans="1:26" ht="19.5" thickBot="1" x14ac:dyDescent="0.35">
      <c r="A76" s="142">
        <v>262</v>
      </c>
      <c r="B76" s="143" t="s">
        <v>475</v>
      </c>
      <c r="C76" s="142">
        <v>5006</v>
      </c>
      <c r="D76" s="143" t="s">
        <v>118</v>
      </c>
      <c r="E76" s="142">
        <v>4043</v>
      </c>
      <c r="F76" s="143" t="s">
        <v>131</v>
      </c>
      <c r="G76" s="144">
        <v>8.4737407849749893</v>
      </c>
      <c r="H76" s="145">
        <v>343.83402682627604</v>
      </c>
      <c r="I76" s="146">
        <v>1.8345558029948499</v>
      </c>
      <c r="J76" s="147">
        <v>0.85553943004874022</v>
      </c>
      <c r="K76" s="148">
        <v>38</v>
      </c>
      <c r="M76" s="138">
        <f t="shared" si="7"/>
        <v>1.8345558029948499</v>
      </c>
      <c r="N76" s="149"/>
      <c r="U76" s="141">
        <f t="shared" si="9"/>
        <v>34873286.713570639</v>
      </c>
      <c r="V76" s="141">
        <f t="shared" si="10"/>
        <v>2483328.0832003974</v>
      </c>
      <c r="W76" s="141">
        <f t="shared" si="11"/>
        <v>258127.57327659402</v>
      </c>
      <c r="X76" s="141">
        <f t="shared" si="12"/>
        <v>-552884.33740638953</v>
      </c>
      <c r="Y76" s="141">
        <f t="shared" si="8"/>
        <v>-1836237.6850828947</v>
      </c>
      <c r="Z76" s="141">
        <f t="shared" si="13"/>
        <v>-2872978.5386868091</v>
      </c>
    </row>
    <row r="77" spans="1:26" ht="19.5" thickBot="1" x14ac:dyDescent="0.35">
      <c r="A77" s="142">
        <v>262</v>
      </c>
      <c r="B77" s="143" t="s">
        <v>475</v>
      </c>
      <c r="C77" s="142">
        <v>5006</v>
      </c>
      <c r="D77" s="143" t="s">
        <v>118</v>
      </c>
      <c r="E77" s="142">
        <v>4048</v>
      </c>
      <c r="F77" s="143" t="s">
        <v>509</v>
      </c>
      <c r="G77" s="144">
        <v>2.7902579681527038</v>
      </c>
      <c r="H77" s="145">
        <v>87.971606038458731</v>
      </c>
      <c r="I77" s="146">
        <v>0.47602705909638982</v>
      </c>
      <c r="J77" s="147">
        <v>0.96251564539109324</v>
      </c>
      <c r="K77" s="148">
        <v>240</v>
      </c>
      <c r="M77" s="138">
        <f t="shared" si="7"/>
        <v>0.47602705909638982</v>
      </c>
      <c r="N77" s="149"/>
      <c r="U77" s="141">
        <f t="shared" si="9"/>
        <v>12919027.725387786</v>
      </c>
      <c r="V77" s="141">
        <f t="shared" si="10"/>
        <v>2253568.1072725328</v>
      </c>
      <c r="W77" s="141">
        <f t="shared" si="11"/>
        <v>1520847.6227656801</v>
      </c>
      <c r="X77" s="141">
        <f t="shared" si="12"/>
        <v>1253795.2661415066</v>
      </c>
      <c r="Y77" s="141">
        <f t="shared" si="8"/>
        <v>831208.9497581711</v>
      </c>
      <c r="Z77" s="141">
        <f t="shared" si="13"/>
        <v>489827.91143245168</v>
      </c>
    </row>
    <row r="78" spans="1:26" ht="19.5" thickBot="1" x14ac:dyDescent="0.35">
      <c r="A78" s="142">
        <v>262</v>
      </c>
      <c r="B78" s="143" t="s">
        <v>475</v>
      </c>
      <c r="C78" s="142">
        <v>5006</v>
      </c>
      <c r="D78" s="143" t="s">
        <v>118</v>
      </c>
      <c r="E78" s="142">
        <v>4010</v>
      </c>
      <c r="F78" s="143" t="s">
        <v>133</v>
      </c>
      <c r="G78" s="144">
        <v>2.4499054331821712</v>
      </c>
      <c r="H78" s="145">
        <v>254.12477657202112</v>
      </c>
      <c r="I78" s="146">
        <v>1.4208941199736314</v>
      </c>
      <c r="J78" s="147">
        <v>0.88811287502037306</v>
      </c>
      <c r="K78" s="148">
        <v>77</v>
      </c>
      <c r="M78" s="138">
        <f t="shared" si="7"/>
        <v>1.4208941199736314</v>
      </c>
      <c r="N78" s="149"/>
      <c r="U78" s="141">
        <f t="shared" si="9"/>
        <v>10466347.805715021</v>
      </c>
      <c r="V78" s="141">
        <f t="shared" si="10"/>
        <v>1101848.980144202</v>
      </c>
      <c r="W78" s="141">
        <f t="shared" si="11"/>
        <v>458504.9178797162</v>
      </c>
      <c r="X78" s="141">
        <f t="shared" si="12"/>
        <v>224027.30795793008</v>
      </c>
      <c r="Y78" s="141">
        <f t="shared" si="8"/>
        <v>-147012.40389401541</v>
      </c>
      <c r="Z78" s="141">
        <f t="shared" si="13"/>
        <v>-446752.1663552114</v>
      </c>
    </row>
    <row r="79" spans="1:26" ht="19.5" thickBot="1" x14ac:dyDescent="0.35">
      <c r="A79" s="142">
        <v>262</v>
      </c>
      <c r="B79" s="143" t="s">
        <v>475</v>
      </c>
      <c r="C79" s="142">
        <v>5006</v>
      </c>
      <c r="D79" s="143" t="s">
        <v>118</v>
      </c>
      <c r="E79" s="142">
        <v>4054</v>
      </c>
      <c r="F79" s="143" t="s">
        <v>510</v>
      </c>
      <c r="G79" s="144">
        <v>2.6774806508153159</v>
      </c>
      <c r="H79" s="145">
        <v>177.18981555871724</v>
      </c>
      <c r="I79" s="146">
        <v>1.1135790494441413</v>
      </c>
      <c r="J79" s="147">
        <v>0.91231214449521192</v>
      </c>
      <c r="K79" s="148">
        <v>116</v>
      </c>
      <c r="M79" s="138">
        <f t="shared" si="7"/>
        <v>1.1135790494441413</v>
      </c>
      <c r="N79" s="149"/>
      <c r="U79" s="141">
        <f t="shared" si="9"/>
        <v>11750259.903231984</v>
      </c>
      <c r="V79" s="141">
        <f t="shared" si="10"/>
        <v>1515879.3959480519</v>
      </c>
      <c r="W79" s="141">
        <f t="shared" si="11"/>
        <v>812774.18413067865</v>
      </c>
      <c r="X79" s="141">
        <f t="shared" si="12"/>
        <v>556515.61385617417</v>
      </c>
      <c r="Y79" s="141">
        <f t="shared" si="8"/>
        <v>151009.49279856076</v>
      </c>
      <c r="Z79" s="141">
        <f t="shared" si="13"/>
        <v>-176573.52465179283</v>
      </c>
    </row>
    <row r="80" spans="1:26" ht="19.5" thickBot="1" x14ac:dyDescent="0.35">
      <c r="A80" s="142">
        <v>262</v>
      </c>
      <c r="B80" s="143" t="s">
        <v>475</v>
      </c>
      <c r="C80" s="142">
        <v>5006</v>
      </c>
      <c r="D80" s="143" t="s">
        <v>118</v>
      </c>
      <c r="E80" s="142">
        <v>4006</v>
      </c>
      <c r="F80" s="143" t="s">
        <v>135</v>
      </c>
      <c r="G80" s="144">
        <v>5.5613445738930185</v>
      </c>
      <c r="H80" s="145">
        <v>168.01939177918933</v>
      </c>
      <c r="I80" s="146">
        <v>1.1402884972582872</v>
      </c>
      <c r="J80" s="147">
        <v>0.91020893125524605</v>
      </c>
      <c r="K80" s="148">
        <v>113</v>
      </c>
      <c r="M80" s="138">
        <f t="shared" si="7"/>
        <v>1.1402884972582872</v>
      </c>
      <c r="N80" s="149"/>
      <c r="U80" s="141">
        <f t="shared" si="9"/>
        <v>24349977.965803172</v>
      </c>
      <c r="V80" s="141">
        <f t="shared" si="10"/>
        <v>3092339.1910810187</v>
      </c>
      <c r="W80" s="141">
        <f t="shared" si="11"/>
        <v>1631932.6131937958</v>
      </c>
      <c r="X80" s="141">
        <f t="shared" si="12"/>
        <v>1099662.7688250863</v>
      </c>
      <c r="Y80" s="141">
        <f t="shared" si="8"/>
        <v>257393.65089982777</v>
      </c>
      <c r="Z80" s="141">
        <f t="shared" si="13"/>
        <v>-423022.85782163439</v>
      </c>
    </row>
    <row r="81" spans="1:26" ht="19.5" thickBot="1" x14ac:dyDescent="0.35">
      <c r="A81" s="142">
        <v>262</v>
      </c>
      <c r="B81" s="143" t="s">
        <v>475</v>
      </c>
      <c r="C81" s="142">
        <v>5006</v>
      </c>
      <c r="D81" s="143" t="s">
        <v>118</v>
      </c>
      <c r="E81" s="142">
        <v>4020</v>
      </c>
      <c r="F81" s="143" t="s">
        <v>136</v>
      </c>
      <c r="G81" s="144">
        <v>4.68169107143878</v>
      </c>
      <c r="H81" s="145">
        <v>283.06470283455332</v>
      </c>
      <c r="I81" s="146">
        <v>1.4496104709049777</v>
      </c>
      <c r="J81" s="147">
        <v>0.88585162986462995</v>
      </c>
      <c r="K81" s="148">
        <v>75</v>
      </c>
      <c r="M81" s="138">
        <f t="shared" si="7"/>
        <v>1.4496104709049777</v>
      </c>
      <c r="N81" s="149"/>
      <c r="U81" s="141">
        <f t="shared" si="9"/>
        <v>19949931.873568691</v>
      </c>
      <c r="V81" s="141">
        <f t="shared" si="10"/>
        <v>2054673.5724235526</v>
      </c>
      <c r="W81" s="141">
        <f t="shared" si="11"/>
        <v>825263.60770723852</v>
      </c>
      <c r="X81" s="141">
        <f t="shared" si="12"/>
        <v>377184.38066651707</v>
      </c>
      <c r="Y81" s="141">
        <f t="shared" si="8"/>
        <v>-331860.66352123674</v>
      </c>
      <c r="Z81" s="141">
        <f t="shared" si="13"/>
        <v>-904653.78062006121</v>
      </c>
    </row>
    <row r="82" spans="1:26" ht="19.5" thickBot="1" x14ac:dyDescent="0.35">
      <c r="A82" s="142">
        <v>262</v>
      </c>
      <c r="B82" s="143" t="s">
        <v>475</v>
      </c>
      <c r="C82" s="142">
        <v>5006</v>
      </c>
      <c r="D82" s="143" t="s">
        <v>118</v>
      </c>
      <c r="E82" s="142">
        <v>4012</v>
      </c>
      <c r="F82" s="143" t="s">
        <v>511</v>
      </c>
      <c r="G82" s="144">
        <v>2.8572871572871579</v>
      </c>
      <c r="H82" s="145">
        <v>96.074699842432167</v>
      </c>
      <c r="I82" s="146">
        <v>0.76453443344982552</v>
      </c>
      <c r="J82" s="147">
        <v>0.93979737229948124</v>
      </c>
      <c r="K82" s="148">
        <v>184</v>
      </c>
      <c r="M82" s="138">
        <f t="shared" si="7"/>
        <v>0.76453443344982552</v>
      </c>
      <c r="N82" s="149"/>
      <c r="U82" s="141">
        <f t="shared" si="9"/>
        <v>12917122.886380855</v>
      </c>
      <c r="V82" s="141">
        <f t="shared" si="10"/>
        <v>1995451.4347691331</v>
      </c>
      <c r="W82" s="141">
        <f t="shared" si="11"/>
        <v>1245129.1154142956</v>
      </c>
      <c r="X82" s="141">
        <f t="shared" si="12"/>
        <v>971661.4727752544</v>
      </c>
      <c r="Y82" s="141">
        <f t="shared" si="8"/>
        <v>538923.5437275013</v>
      </c>
      <c r="Z82" s="141">
        <f t="shared" si="13"/>
        <v>189341.65284763608</v>
      </c>
    </row>
    <row r="83" spans="1:26" ht="19.5" thickBot="1" x14ac:dyDescent="0.35">
      <c r="A83" s="142">
        <v>262</v>
      </c>
      <c r="B83" s="143" t="s">
        <v>475</v>
      </c>
      <c r="C83" s="142">
        <v>5006</v>
      </c>
      <c r="D83" s="143" t="s">
        <v>118</v>
      </c>
      <c r="E83" s="142">
        <v>4023</v>
      </c>
      <c r="F83" s="143" t="s">
        <v>138</v>
      </c>
      <c r="G83" s="144">
        <v>3.2583336914296166</v>
      </c>
      <c r="H83" s="145">
        <v>174.34388817639947</v>
      </c>
      <c r="I83" s="146">
        <v>2.0099413793762033</v>
      </c>
      <c r="J83" s="147">
        <v>0.84172883879612204</v>
      </c>
      <c r="K83" s="148">
        <v>27</v>
      </c>
      <c r="M83" s="138">
        <f t="shared" si="7"/>
        <v>2.0099413793762033</v>
      </c>
      <c r="N83" s="149"/>
      <c r="U83" s="141">
        <f t="shared" si="9"/>
        <v>13193057.089123111</v>
      </c>
      <c r="V83" s="141">
        <f t="shared" si="10"/>
        <v>738428.59063543438</v>
      </c>
      <c r="W83" s="141">
        <f t="shared" si="11"/>
        <v>-117208.36778168472</v>
      </c>
      <c r="X83" s="141">
        <f t="shared" si="12"/>
        <v>-429059.70944824151</v>
      </c>
      <c r="Y83" s="141">
        <f t="shared" si="8"/>
        <v>-922536.38720522879</v>
      </c>
      <c r="Z83" s="141">
        <f t="shared" si="13"/>
        <v>-1321185.311959788</v>
      </c>
    </row>
    <row r="84" spans="1:26" ht="19.5" thickBot="1" x14ac:dyDescent="0.35">
      <c r="A84" s="142">
        <v>264</v>
      </c>
      <c r="B84" s="143" t="s">
        <v>512</v>
      </c>
      <c r="C84" s="142">
        <v>5130</v>
      </c>
      <c r="D84" s="143" t="s">
        <v>140</v>
      </c>
      <c r="E84" s="142">
        <v>4132</v>
      </c>
      <c r="F84" s="143" t="s">
        <v>141</v>
      </c>
      <c r="G84" s="144">
        <v>3.7189131555400916</v>
      </c>
      <c r="H84" s="145">
        <v>247.1173389679582</v>
      </c>
      <c r="I84" s="146">
        <v>1.5443383989874093</v>
      </c>
      <c r="J84" s="147">
        <v>0.87839235800233451</v>
      </c>
      <c r="K84" s="148">
        <v>62</v>
      </c>
      <c r="M84" s="138">
        <f t="shared" si="7"/>
        <v>1.5443383989874093</v>
      </c>
      <c r="N84" s="149"/>
      <c r="U84" s="141">
        <f t="shared" si="9"/>
        <v>15713837.627940979</v>
      </c>
      <c r="V84" s="141">
        <f t="shared" si="10"/>
        <v>1498693.8898334925</v>
      </c>
      <c r="W84" s="141">
        <f t="shared" si="11"/>
        <v>522108.9717836802</v>
      </c>
      <c r="X84" s="141">
        <f t="shared" si="12"/>
        <v>166176.10335247344</v>
      </c>
      <c r="Y84" s="141">
        <f t="shared" si="8"/>
        <v>-397055.6226336619</v>
      </c>
      <c r="Z84" s="141">
        <f t="shared" si="13"/>
        <v>-852055.28537881409</v>
      </c>
    </row>
    <row r="85" spans="1:26" ht="19.5" thickBot="1" x14ac:dyDescent="0.35">
      <c r="A85" s="142">
        <v>264</v>
      </c>
      <c r="B85" s="143" t="s">
        <v>512</v>
      </c>
      <c r="C85" s="142">
        <v>5130</v>
      </c>
      <c r="D85" s="143" t="s">
        <v>140</v>
      </c>
      <c r="E85" s="142">
        <v>4130</v>
      </c>
      <c r="F85" s="143" t="s">
        <v>142</v>
      </c>
      <c r="G85" s="144">
        <v>8.0608712013089097</v>
      </c>
      <c r="H85" s="145">
        <v>553.73487447302364</v>
      </c>
      <c r="I85" s="146">
        <v>5.8345509281382766</v>
      </c>
      <c r="J85" s="147">
        <v>0.54056314279862017</v>
      </c>
      <c r="K85" s="148">
        <v>2</v>
      </c>
      <c r="M85" s="138">
        <f t="shared" si="7"/>
        <v>5.8345509281382766</v>
      </c>
      <c r="N85" s="149"/>
      <c r="U85" s="141">
        <f t="shared" si="9"/>
        <v>20960714.784611888</v>
      </c>
      <c r="V85" s="141">
        <f t="shared" si="10"/>
        <v>-9851094.4694646839</v>
      </c>
      <c r="W85" s="141">
        <f t="shared" si="11"/>
        <v>-11967875.612851482</v>
      </c>
      <c r="X85" s="141">
        <f t="shared" si="12"/>
        <v>-12739372.254138257</v>
      </c>
      <c r="Y85" s="141">
        <f t="shared" si="8"/>
        <v>-13960196.244852234</v>
      </c>
      <c r="Z85" s="141">
        <f t="shared" si="13"/>
        <v>-14946423.544235084</v>
      </c>
    </row>
    <row r="86" spans="1:26" ht="19.5" thickBot="1" x14ac:dyDescent="0.35">
      <c r="A86" s="142">
        <v>264</v>
      </c>
      <c r="B86" s="143" t="s">
        <v>512</v>
      </c>
      <c r="C86" s="142">
        <v>5130</v>
      </c>
      <c r="D86" s="143" t="s">
        <v>140</v>
      </c>
      <c r="E86" s="142">
        <v>4134</v>
      </c>
      <c r="F86" s="143" t="s">
        <v>513</v>
      </c>
      <c r="G86" s="144">
        <v>1.0089105472865201</v>
      </c>
      <c r="H86" s="145">
        <v>148.92933620737415</v>
      </c>
      <c r="I86" s="146">
        <v>0.70626487771035373</v>
      </c>
      <c r="J86" s="147">
        <v>0.9443857599730473</v>
      </c>
      <c r="K86" s="148">
        <v>198</v>
      </c>
      <c r="M86" s="138">
        <f t="shared" si="7"/>
        <v>0.70626487771035373</v>
      </c>
      <c r="N86" s="149"/>
      <c r="U86" s="141">
        <f t="shared" si="9"/>
        <v>4583315.6495616995</v>
      </c>
      <c r="V86" s="141">
        <f t="shared" si="10"/>
        <v>726864.08730742207</v>
      </c>
      <c r="W86" s="141">
        <f t="shared" si="11"/>
        <v>461924.63243641809</v>
      </c>
      <c r="X86" s="141">
        <f t="shared" si="12"/>
        <v>365362.97313785943</v>
      </c>
      <c r="Y86" s="141">
        <f t="shared" si="8"/>
        <v>212562.83902682853</v>
      </c>
      <c r="Z86" s="141">
        <f t="shared" si="13"/>
        <v>89125.173355196093</v>
      </c>
    </row>
    <row r="87" spans="1:26" ht="19.5" thickBot="1" x14ac:dyDescent="0.35">
      <c r="A87" s="142">
        <v>264</v>
      </c>
      <c r="B87" s="143" t="s">
        <v>512</v>
      </c>
      <c r="C87" s="142">
        <v>5130</v>
      </c>
      <c r="D87" s="143" t="s">
        <v>140</v>
      </c>
      <c r="E87" s="142">
        <v>4135</v>
      </c>
      <c r="F87" s="143" t="s">
        <v>514</v>
      </c>
      <c r="G87" s="144">
        <v>6.5973797197457635</v>
      </c>
      <c r="H87" s="145">
        <v>173.61174682304602</v>
      </c>
      <c r="I87" s="146">
        <v>1.160759399656794</v>
      </c>
      <c r="J87" s="147">
        <v>0.90859696708218729</v>
      </c>
      <c r="K87" s="148">
        <v>110</v>
      </c>
      <c r="M87" s="138">
        <f t="shared" si="7"/>
        <v>1.160759399656794</v>
      </c>
      <c r="N87" s="149"/>
      <c r="U87" s="141">
        <f t="shared" si="9"/>
        <v>28835032.125335284</v>
      </c>
      <c r="V87" s="141">
        <f t="shared" si="10"/>
        <v>3617260.9409362748</v>
      </c>
      <c r="W87" s="141">
        <f t="shared" si="11"/>
        <v>1884792.0008231204</v>
      </c>
      <c r="X87" s="141">
        <f t="shared" si="12"/>
        <v>1253364.4332605884</v>
      </c>
      <c r="Y87" s="141">
        <f t="shared" si="8"/>
        <v>254187.14378750717</v>
      </c>
      <c r="Z87" s="141">
        <f t="shared" si="13"/>
        <v>-552985.65695784427</v>
      </c>
    </row>
    <row r="88" spans="1:26" ht="19.5" thickBot="1" x14ac:dyDescent="0.35">
      <c r="A88" s="142">
        <v>264</v>
      </c>
      <c r="B88" s="143" t="s">
        <v>512</v>
      </c>
      <c r="C88" s="142">
        <v>5130</v>
      </c>
      <c r="D88" s="143" t="s">
        <v>140</v>
      </c>
      <c r="E88" s="142">
        <v>4133</v>
      </c>
      <c r="F88" s="143" t="s">
        <v>515</v>
      </c>
      <c r="G88" s="144">
        <v>1.6302270011947426</v>
      </c>
      <c r="H88" s="145">
        <v>69.578382284719694</v>
      </c>
      <c r="I88" s="146">
        <v>0.23645943308354714</v>
      </c>
      <c r="J88" s="147">
        <v>0.98138019872830384</v>
      </c>
      <c r="K88" s="148">
        <v>280</v>
      </c>
      <c r="M88" s="138">
        <f t="shared" si="7"/>
        <v>0.23645943308354714</v>
      </c>
      <c r="N88" s="149"/>
      <c r="U88" s="141">
        <f t="shared" si="9"/>
        <v>7695964.3754362343</v>
      </c>
      <c r="V88" s="141">
        <f t="shared" si="10"/>
        <v>1464597.7964117031</v>
      </c>
      <c r="W88" s="141">
        <f t="shared" si="11"/>
        <v>1036500.9208520619</v>
      </c>
      <c r="X88" s="141">
        <f t="shared" si="12"/>
        <v>880473.78376636666</v>
      </c>
      <c r="Y88" s="141">
        <f t="shared" si="8"/>
        <v>633574.88367662579</v>
      </c>
      <c r="Z88" s="141">
        <f t="shared" si="13"/>
        <v>434120.71394516702</v>
      </c>
    </row>
    <row r="89" spans="1:26" ht="19.5" thickBot="1" x14ac:dyDescent="0.35">
      <c r="A89" s="142">
        <v>264</v>
      </c>
      <c r="B89" s="143" t="s">
        <v>512</v>
      </c>
      <c r="C89" s="142">
        <v>5130</v>
      </c>
      <c r="D89" s="143" t="s">
        <v>140</v>
      </c>
      <c r="E89" s="142">
        <v>4162</v>
      </c>
      <c r="F89" s="143" t="s">
        <v>516</v>
      </c>
      <c r="G89" s="144">
        <v>4.5991464216095785</v>
      </c>
      <c r="H89" s="145">
        <v>103.4332071848924</v>
      </c>
      <c r="I89" s="146">
        <v>0.80157100604111842</v>
      </c>
      <c r="J89" s="147">
        <v>0.93688095821338724</v>
      </c>
      <c r="K89" s="148">
        <v>173</v>
      </c>
      <c r="M89" s="138">
        <f t="shared" si="7"/>
        <v>0.80157100604111842</v>
      </c>
      <c r="N89" s="149"/>
      <c r="U89" s="141">
        <f t="shared" si="9"/>
        <v>20727137.294277512</v>
      </c>
      <c r="V89" s="141">
        <f t="shared" si="10"/>
        <v>3147396.9988125637</v>
      </c>
      <c r="W89" s="141">
        <f t="shared" si="11"/>
        <v>1939663.2219278514</v>
      </c>
      <c r="X89" s="141">
        <f t="shared" si="12"/>
        <v>1499484.247664904</v>
      </c>
      <c r="Y89" s="141">
        <f t="shared" si="8"/>
        <v>802940.64237871836</v>
      </c>
      <c r="Z89" s="141">
        <f t="shared" si="13"/>
        <v>240246.65539207542</v>
      </c>
    </row>
    <row r="90" spans="1:26" ht="19.5" thickBot="1" x14ac:dyDescent="0.35">
      <c r="A90" s="142">
        <v>264</v>
      </c>
      <c r="B90" s="143" t="s">
        <v>512</v>
      </c>
      <c r="C90" s="142">
        <v>5130</v>
      </c>
      <c r="D90" s="143" t="s">
        <v>140</v>
      </c>
      <c r="E90" s="142">
        <v>4147</v>
      </c>
      <c r="F90" s="143" t="s">
        <v>517</v>
      </c>
      <c r="G90" s="144">
        <v>5.8587699797465023</v>
      </c>
      <c r="H90" s="145">
        <v>158.19943783491962</v>
      </c>
      <c r="I90" s="146">
        <v>1.2767893955146645</v>
      </c>
      <c r="J90" s="147">
        <v>0.89946028162093983</v>
      </c>
      <c r="K90" s="148">
        <v>97</v>
      </c>
      <c r="M90" s="138">
        <f t="shared" si="7"/>
        <v>1.2767893955146645</v>
      </c>
      <c r="N90" s="149"/>
      <c r="U90" s="141">
        <f t="shared" si="9"/>
        <v>25349308.325313941</v>
      </c>
      <c r="V90" s="141">
        <f t="shared" si="10"/>
        <v>2954793.0711628878</v>
      </c>
      <c r="W90" s="141">
        <f t="shared" si="11"/>
        <v>1416282.7157866275</v>
      </c>
      <c r="X90" s="141">
        <f t="shared" si="12"/>
        <v>855546.63049695455</v>
      </c>
      <c r="Y90" s="141">
        <f t="shared" si="8"/>
        <v>-31767.751376301829</v>
      </c>
      <c r="Z90" s="141">
        <f t="shared" si="13"/>
        <v>-748573.50977776141</v>
      </c>
    </row>
    <row r="91" spans="1:26" ht="19.5" thickBot="1" x14ac:dyDescent="0.35">
      <c r="A91" s="142">
        <v>264</v>
      </c>
      <c r="B91" s="143" t="s">
        <v>512</v>
      </c>
      <c r="C91" s="142">
        <v>5130</v>
      </c>
      <c r="D91" s="143" t="s">
        <v>140</v>
      </c>
      <c r="E91" s="142">
        <v>4141</v>
      </c>
      <c r="F91" s="143" t="s">
        <v>518</v>
      </c>
      <c r="G91" s="144">
        <v>3.2458373859052978</v>
      </c>
      <c r="H91" s="145">
        <v>205.42621661991487</v>
      </c>
      <c r="I91" s="146">
        <v>1.0844257720780031</v>
      </c>
      <c r="J91" s="147">
        <v>0.91460779505944356</v>
      </c>
      <c r="K91" s="148">
        <v>124</v>
      </c>
      <c r="M91" s="138">
        <f t="shared" si="7"/>
        <v>1.0844257720780031</v>
      </c>
      <c r="N91" s="149"/>
      <c r="U91" s="141">
        <f t="shared" si="9"/>
        <v>14280365.802484322</v>
      </c>
      <c r="V91" s="141">
        <f t="shared" si="10"/>
        <v>1873503.0817370797</v>
      </c>
      <c r="W91" s="141">
        <f t="shared" si="11"/>
        <v>1021147.6475169458</v>
      </c>
      <c r="X91" s="141">
        <f t="shared" si="12"/>
        <v>710492.31277070055</v>
      </c>
      <c r="Y91" s="141">
        <f t="shared" si="8"/>
        <v>218908.20830987289</v>
      </c>
      <c r="Z91" s="141">
        <f t="shared" si="13"/>
        <v>-178211.82492145849</v>
      </c>
    </row>
    <row r="92" spans="1:26" ht="19.5" thickBot="1" x14ac:dyDescent="0.35">
      <c r="A92" s="142">
        <v>264</v>
      </c>
      <c r="B92" s="143" t="s">
        <v>512</v>
      </c>
      <c r="C92" s="142">
        <v>5130</v>
      </c>
      <c r="D92" s="143" t="s">
        <v>140</v>
      </c>
      <c r="E92" s="142">
        <v>4139</v>
      </c>
      <c r="F92" s="143" t="s">
        <v>519</v>
      </c>
      <c r="G92" s="144">
        <v>5.9735728475228482</v>
      </c>
      <c r="H92" s="145">
        <v>208.7787818402812</v>
      </c>
      <c r="I92" s="146">
        <v>1.6161854527351309</v>
      </c>
      <c r="J92" s="147">
        <v>0.87273482154758564</v>
      </c>
      <c r="K92" s="148">
        <v>56</v>
      </c>
      <c r="M92" s="138">
        <f t="shared" si="7"/>
        <v>1.6161854527351309</v>
      </c>
      <c r="N92" s="149"/>
      <c r="U92" s="141">
        <f t="shared" si="9"/>
        <v>25078071.966035172</v>
      </c>
      <c r="V92" s="141">
        <f t="shared" si="10"/>
        <v>2244735.1533444696</v>
      </c>
      <c r="W92" s="141">
        <f t="shared" si="11"/>
        <v>676077.61664663674</v>
      </c>
      <c r="X92" s="141">
        <f t="shared" si="12"/>
        <v>104353.88192210383</v>
      </c>
      <c r="Y92" s="141">
        <f t="shared" si="8"/>
        <v>-800347.46615914372</v>
      </c>
      <c r="Z92" s="141">
        <f t="shared" si="13"/>
        <v>-1531199.0664331403</v>
      </c>
    </row>
    <row r="93" spans="1:26" ht="19.5" thickBot="1" x14ac:dyDescent="0.35">
      <c r="A93" s="142">
        <v>264</v>
      </c>
      <c r="B93" s="143" t="s">
        <v>512</v>
      </c>
      <c r="C93" s="142">
        <v>5130</v>
      </c>
      <c r="D93" s="143" t="s">
        <v>140</v>
      </c>
      <c r="E93" s="142">
        <v>4143</v>
      </c>
      <c r="F93" s="143" t="s">
        <v>520</v>
      </c>
      <c r="G93" s="144">
        <v>5.3472902686824586</v>
      </c>
      <c r="H93" s="145">
        <v>222.41362674763477</v>
      </c>
      <c r="I93" s="146">
        <v>1.9060695052208798</v>
      </c>
      <c r="J93" s="147">
        <v>0.8499081430821448</v>
      </c>
      <c r="K93" s="148">
        <v>31</v>
      </c>
      <c r="M93" s="138">
        <f t="shared" si="7"/>
        <v>1.9060695052208798</v>
      </c>
      <c r="N93" s="149"/>
      <c r="U93" s="141">
        <f t="shared" si="9"/>
        <v>21861674.595278926</v>
      </c>
      <c r="V93" s="141">
        <f t="shared" si="10"/>
        <v>1422235.2753614439</v>
      </c>
      <c r="W93" s="141">
        <f t="shared" si="11"/>
        <v>18039.261520560227</v>
      </c>
      <c r="X93" s="141">
        <f t="shared" si="12"/>
        <v>-493743.69335460296</v>
      </c>
      <c r="Y93" s="141">
        <f t="shared" si="8"/>
        <v>-1303594.1527266484</v>
      </c>
      <c r="Z93" s="141">
        <f t="shared" si="13"/>
        <v>-1957821.6560568816</v>
      </c>
    </row>
    <row r="94" spans="1:26" ht="19.5" thickBot="1" x14ac:dyDescent="0.35">
      <c r="A94" s="142">
        <v>264</v>
      </c>
      <c r="B94" s="143" t="s">
        <v>512</v>
      </c>
      <c r="C94" s="142">
        <v>5130</v>
      </c>
      <c r="D94" s="143" t="s">
        <v>140</v>
      </c>
      <c r="E94" s="142">
        <v>4159</v>
      </c>
      <c r="F94" s="143" t="s">
        <v>152</v>
      </c>
      <c r="G94" s="144">
        <v>1.8576732234626969</v>
      </c>
      <c r="H94" s="145">
        <v>64.343810133192804</v>
      </c>
      <c r="I94" s="146">
        <v>0.22718062800805322</v>
      </c>
      <c r="J94" s="147">
        <v>0.98211085051195868</v>
      </c>
      <c r="K94" s="148">
        <v>281</v>
      </c>
      <c r="M94" s="138">
        <f t="shared" si="7"/>
        <v>0.22718062800805322</v>
      </c>
      <c r="N94" s="149"/>
      <c r="U94" s="141">
        <f t="shared" si="9"/>
        <v>8776220.0937087927</v>
      </c>
      <c r="V94" s="141">
        <f t="shared" si="10"/>
        <v>1675464.9038176618</v>
      </c>
      <c r="W94" s="141">
        <f t="shared" si="11"/>
        <v>1187640.752829877</v>
      </c>
      <c r="X94" s="141">
        <f t="shared" si="12"/>
        <v>1009845.0013883789</v>
      </c>
      <c r="Y94" s="141">
        <f t="shared" si="8"/>
        <v>728499.22852179792</v>
      </c>
      <c r="Z94" s="141">
        <f t="shared" si="13"/>
        <v>501217.5860593851</v>
      </c>
    </row>
    <row r="95" spans="1:26" ht="19.5" thickBot="1" x14ac:dyDescent="0.35">
      <c r="A95" s="142">
        <v>264</v>
      </c>
      <c r="B95" s="143" t="s">
        <v>512</v>
      </c>
      <c r="C95" s="142">
        <v>5130</v>
      </c>
      <c r="D95" s="143" t="s">
        <v>140</v>
      </c>
      <c r="E95" s="142">
        <v>4157</v>
      </c>
      <c r="F95" s="143" t="s">
        <v>521</v>
      </c>
      <c r="G95" s="144">
        <v>3.3075077187919297</v>
      </c>
      <c r="H95" s="145">
        <v>146.41497996772009</v>
      </c>
      <c r="I95" s="146">
        <v>1.2336097829758919</v>
      </c>
      <c r="J95" s="147">
        <v>0.90286042427533197</v>
      </c>
      <c r="K95" s="148">
        <v>102</v>
      </c>
      <c r="M95" s="138">
        <f t="shared" si="7"/>
        <v>1.2336097829758919</v>
      </c>
      <c r="N95" s="149"/>
      <c r="U95" s="141">
        <f t="shared" si="9"/>
        <v>14364785.944188539</v>
      </c>
      <c r="V95" s="141">
        <f t="shared" si="10"/>
        <v>1722195.0389703943</v>
      </c>
      <c r="W95" s="141">
        <f t="shared" si="11"/>
        <v>853645.00313702412</v>
      </c>
      <c r="X95" s="141">
        <f t="shared" si="12"/>
        <v>537087.27229724638</v>
      </c>
      <c r="Y95" s="141">
        <f t="shared" si="8"/>
        <v>36163.157306155961</v>
      </c>
      <c r="Z95" s="141">
        <f t="shared" si="13"/>
        <v>-368502.08590755903</v>
      </c>
    </row>
    <row r="96" spans="1:26" ht="19.5" thickBot="1" x14ac:dyDescent="0.35">
      <c r="A96" s="142">
        <v>264</v>
      </c>
      <c r="B96" s="143" t="s">
        <v>512</v>
      </c>
      <c r="C96" s="142">
        <v>5130</v>
      </c>
      <c r="D96" s="143" t="s">
        <v>140</v>
      </c>
      <c r="E96" s="142">
        <v>4148</v>
      </c>
      <c r="F96" s="143" t="s">
        <v>154</v>
      </c>
      <c r="G96" s="144">
        <v>3.0547893160973465</v>
      </c>
      <c r="H96" s="145">
        <v>227.00046297985099</v>
      </c>
      <c r="I96" s="146">
        <v>1.8089153212829649</v>
      </c>
      <c r="J96" s="147">
        <v>0.85755846844259931</v>
      </c>
      <c r="K96" s="148">
        <v>42</v>
      </c>
      <c r="M96" s="138">
        <f t="shared" si="7"/>
        <v>1.8089153212829649</v>
      </c>
      <c r="N96" s="149"/>
      <c r="U96" s="141">
        <f t="shared" si="9"/>
        <v>12601512.619582221</v>
      </c>
      <c r="V96" s="141">
        <f t="shared" si="10"/>
        <v>924910.50445366837</v>
      </c>
      <c r="W96" s="141">
        <f t="shared" si="11"/>
        <v>122724.20723503512</v>
      </c>
      <c r="X96" s="141">
        <f t="shared" si="12"/>
        <v>-169646.13814712962</v>
      </c>
      <c r="Y96" s="141">
        <f t="shared" si="8"/>
        <v>-632295.89281171281</v>
      </c>
      <c r="Z96" s="141">
        <f t="shared" si="13"/>
        <v>-1006041.6756383973</v>
      </c>
    </row>
    <row r="97" spans="1:26" ht="19.5" thickBot="1" x14ac:dyDescent="0.35">
      <c r="A97" s="142">
        <v>264</v>
      </c>
      <c r="B97" s="143" t="s">
        <v>512</v>
      </c>
      <c r="C97" s="142">
        <v>5130</v>
      </c>
      <c r="D97" s="143" t="s">
        <v>140</v>
      </c>
      <c r="E97" s="142">
        <v>4144</v>
      </c>
      <c r="F97" s="143" t="s">
        <v>155</v>
      </c>
      <c r="G97" s="144">
        <v>2.7451908808211134</v>
      </c>
      <c r="H97" s="145">
        <v>130.62610188794636</v>
      </c>
      <c r="I97" s="146">
        <v>0.79546541785350555</v>
      </c>
      <c r="J97" s="147">
        <v>0.9373617376740232</v>
      </c>
      <c r="K97" s="148">
        <v>178</v>
      </c>
      <c r="M97" s="138">
        <f t="shared" si="7"/>
        <v>0.79546541785350555</v>
      </c>
      <c r="N97" s="149"/>
      <c r="U97" s="141">
        <f t="shared" si="9"/>
        <v>12378198.567564784</v>
      </c>
      <c r="V97" s="141">
        <f t="shared" si="10"/>
        <v>1885003.0216347151</v>
      </c>
      <c r="W97" s="141">
        <f t="shared" si="11"/>
        <v>1164117.133943575</v>
      </c>
      <c r="X97" s="141">
        <f t="shared" si="12"/>
        <v>901378.09602163488</v>
      </c>
      <c r="Y97" s="141">
        <f t="shared" si="8"/>
        <v>485617.21823320852</v>
      </c>
      <c r="Z97" s="141">
        <f t="shared" si="13"/>
        <v>149750.0245925239</v>
      </c>
    </row>
    <row r="98" spans="1:26" ht="19.5" thickBot="1" x14ac:dyDescent="0.35">
      <c r="A98" s="142">
        <v>264</v>
      </c>
      <c r="B98" s="143" t="s">
        <v>512</v>
      </c>
      <c r="C98" s="142">
        <v>5130</v>
      </c>
      <c r="D98" s="143" t="s">
        <v>140</v>
      </c>
      <c r="E98" s="142">
        <v>4153</v>
      </c>
      <c r="F98" s="143" t="s">
        <v>156</v>
      </c>
      <c r="G98" s="144">
        <v>3.7565036017871338</v>
      </c>
      <c r="H98" s="145">
        <v>79.018689655663607</v>
      </c>
      <c r="I98" s="146">
        <v>0.31603840505708475</v>
      </c>
      <c r="J98" s="147">
        <v>0.97511381880752646</v>
      </c>
      <c r="K98" s="148">
        <v>268</v>
      </c>
      <c r="M98" s="138">
        <f t="shared" si="7"/>
        <v>0.31603840505708475</v>
      </c>
      <c r="N98" s="149"/>
      <c r="U98" s="141">
        <f t="shared" si="9"/>
        <v>17620441.92187351</v>
      </c>
      <c r="V98" s="141">
        <f t="shared" si="10"/>
        <v>3261612.7643350111</v>
      </c>
      <c r="W98" s="141">
        <f t="shared" si="11"/>
        <v>2275156.6120475996</v>
      </c>
      <c r="X98" s="141">
        <f t="shared" si="12"/>
        <v>1915626.0055680096</v>
      </c>
      <c r="Y98" s="141">
        <f t="shared" si="8"/>
        <v>1346701.1829606825</v>
      </c>
      <c r="Z98" s="141">
        <f t="shared" si="13"/>
        <v>887102.42374580936</v>
      </c>
    </row>
    <row r="99" spans="1:26" ht="19.5" thickBot="1" x14ac:dyDescent="0.35">
      <c r="A99" s="142">
        <v>264</v>
      </c>
      <c r="B99" s="143" t="s">
        <v>512</v>
      </c>
      <c r="C99" s="142">
        <v>5130</v>
      </c>
      <c r="D99" s="143" t="s">
        <v>140</v>
      </c>
      <c r="E99" s="142">
        <v>4164</v>
      </c>
      <c r="F99" s="143" t="s">
        <v>522</v>
      </c>
      <c r="G99" s="144">
        <v>2.8448773448773443</v>
      </c>
      <c r="H99" s="145">
        <v>56.558021926578753</v>
      </c>
      <c r="I99" s="146">
        <v>0.37696158243203154</v>
      </c>
      <c r="J99" s="147">
        <v>0.97031647390667408</v>
      </c>
      <c r="K99" s="148">
        <v>260</v>
      </c>
      <c r="M99" s="138">
        <f t="shared" si="7"/>
        <v>0.37696158243203154</v>
      </c>
      <c r="N99" s="149"/>
      <c r="U99" s="141">
        <f t="shared" si="9"/>
        <v>13278671.5080343</v>
      </c>
      <c r="V99" s="141">
        <f t="shared" si="10"/>
        <v>2404435.2235777071</v>
      </c>
      <c r="W99" s="141">
        <f t="shared" si="11"/>
        <v>1657371.7153669791</v>
      </c>
      <c r="X99" s="141">
        <f t="shared" si="12"/>
        <v>1385091.8014924931</v>
      </c>
      <c r="Y99" s="141">
        <f t="shared" si="8"/>
        <v>954233.34630455053</v>
      </c>
      <c r="Z99" s="141">
        <f t="shared" si="13"/>
        <v>606169.7647330875</v>
      </c>
    </row>
    <row r="100" spans="1:26" ht="19.5" thickBot="1" x14ac:dyDescent="0.35">
      <c r="A100" s="142">
        <v>264</v>
      </c>
      <c r="B100" s="143" t="s">
        <v>512</v>
      </c>
      <c r="C100" s="142">
        <v>5130</v>
      </c>
      <c r="D100" s="143" t="s">
        <v>140</v>
      </c>
      <c r="E100" s="142">
        <v>4140</v>
      </c>
      <c r="F100" s="143" t="s">
        <v>158</v>
      </c>
      <c r="G100" s="144">
        <v>2.4566604814326558</v>
      </c>
      <c r="H100" s="145">
        <v>259.28750619561816</v>
      </c>
      <c r="I100" s="146">
        <v>3.9478514115813383</v>
      </c>
      <c r="J100" s="147">
        <v>0.68912972607924161</v>
      </c>
      <c r="K100" s="148">
        <v>3</v>
      </c>
      <c r="M100" s="138">
        <f t="shared" si="7"/>
        <v>3.9478514115813383</v>
      </c>
      <c r="N100" s="149"/>
      <c r="U100" s="141">
        <f t="shared" si="9"/>
        <v>8143738.1158649912</v>
      </c>
      <c r="V100" s="141">
        <f t="shared" si="10"/>
        <v>-1246581.1518141443</v>
      </c>
      <c r="W100" s="141">
        <f t="shared" si="11"/>
        <v>-1891699.0867038337</v>
      </c>
      <c r="X100" s="141">
        <f t="shared" si="12"/>
        <v>-2126823.2144655446</v>
      </c>
      <c r="Y100" s="141">
        <f t="shared" si="8"/>
        <v>-2498885.9826046666</v>
      </c>
      <c r="Z100" s="141">
        <f t="shared" si="13"/>
        <v>-2799452.2082144353</v>
      </c>
    </row>
    <row r="101" spans="1:26" ht="19.5" thickBot="1" x14ac:dyDescent="0.35">
      <c r="A101" s="142">
        <v>264</v>
      </c>
      <c r="B101" s="143" t="s">
        <v>512</v>
      </c>
      <c r="C101" s="142">
        <v>5169</v>
      </c>
      <c r="D101" s="143" t="s">
        <v>159</v>
      </c>
      <c r="E101" s="142">
        <v>4189</v>
      </c>
      <c r="F101" s="143" t="s">
        <v>160</v>
      </c>
      <c r="G101" s="144">
        <v>3.9968760643589416</v>
      </c>
      <c r="H101" s="145">
        <v>105.83778263033236</v>
      </c>
      <c r="I101" s="146">
        <v>0.52071647626477235</v>
      </c>
      <c r="J101" s="147">
        <v>0.95899661442763329</v>
      </c>
      <c r="K101" s="148">
        <v>232</v>
      </c>
      <c r="M101" s="138">
        <f t="shared" si="7"/>
        <v>0.52071647626477235</v>
      </c>
      <c r="N101" s="149"/>
      <c r="U101" s="141">
        <f t="shared" si="9"/>
        <v>18438068.812479313</v>
      </c>
      <c r="V101" s="141">
        <f t="shared" si="10"/>
        <v>3160441.8870900385</v>
      </c>
      <c r="W101" s="141">
        <f t="shared" si="11"/>
        <v>2110864.0344982198</v>
      </c>
      <c r="X101" s="141">
        <f t="shared" si="12"/>
        <v>1728327.6581829987</v>
      </c>
      <c r="Y101" s="141">
        <f t="shared" si="8"/>
        <v>1122998.2756111098</v>
      </c>
      <c r="Z101" s="141">
        <f t="shared" si="13"/>
        <v>633990.55070407828</v>
      </c>
    </row>
    <row r="102" spans="1:26" ht="19.5" thickBot="1" x14ac:dyDescent="0.35">
      <c r="A102" s="142">
        <v>264</v>
      </c>
      <c r="B102" s="143" t="s">
        <v>512</v>
      </c>
      <c r="C102" s="142">
        <v>5169</v>
      </c>
      <c r="D102" s="143" t="s">
        <v>159</v>
      </c>
      <c r="E102" s="142">
        <v>4195</v>
      </c>
      <c r="F102" s="143" t="s">
        <v>523</v>
      </c>
      <c r="G102" s="144">
        <v>3.1170158207509644</v>
      </c>
      <c r="H102" s="145">
        <v>149.95817038470688</v>
      </c>
      <c r="I102" s="146">
        <v>1.107397151121416</v>
      </c>
      <c r="J102" s="147">
        <v>0.91279893293393033</v>
      </c>
      <c r="K102" s="148">
        <v>119</v>
      </c>
      <c r="M102" s="138">
        <f t="shared" si="7"/>
        <v>1.107397151121416</v>
      </c>
      <c r="N102" s="149"/>
      <c r="U102" s="141">
        <f t="shared" si="9"/>
        <v>13686481.225269545</v>
      </c>
      <c r="V102" s="141">
        <f t="shared" si="10"/>
        <v>1772025.0191807181</v>
      </c>
      <c r="W102" s="141">
        <f t="shared" si="11"/>
        <v>953498.0698935762</v>
      </c>
      <c r="X102" s="141">
        <f t="shared" si="12"/>
        <v>655172.0978625837</v>
      </c>
      <c r="Y102" s="141">
        <f t="shared" si="8"/>
        <v>183098.1001053834</v>
      </c>
      <c r="Z102" s="141">
        <f t="shared" si="13"/>
        <v>-198260.93891929198</v>
      </c>
    </row>
    <row r="103" spans="1:26" ht="19.5" thickBot="1" x14ac:dyDescent="0.35">
      <c r="A103" s="142">
        <v>264</v>
      </c>
      <c r="B103" s="143" t="s">
        <v>512</v>
      </c>
      <c r="C103" s="142">
        <v>5169</v>
      </c>
      <c r="D103" s="143" t="s">
        <v>159</v>
      </c>
      <c r="E103" s="142">
        <v>4193</v>
      </c>
      <c r="F103" s="143" t="s">
        <v>524</v>
      </c>
      <c r="G103" s="144">
        <v>3.5189073531009014</v>
      </c>
      <c r="H103" s="145">
        <v>131.46274169234573</v>
      </c>
      <c r="I103" s="146">
        <v>0.49405959314841563</v>
      </c>
      <c r="J103" s="147">
        <v>0.96109568850421712</v>
      </c>
      <c r="K103" s="148">
        <v>236</v>
      </c>
      <c r="M103" s="138">
        <f t="shared" si="7"/>
        <v>0.49405959314841563</v>
      </c>
      <c r="N103" s="149"/>
      <c r="U103" s="141">
        <f t="shared" si="9"/>
        <v>16268673.280898219</v>
      </c>
      <c r="V103" s="141">
        <f t="shared" si="10"/>
        <v>2818030.1135806753</v>
      </c>
      <c r="W103" s="141">
        <f t="shared" si="11"/>
        <v>1893966.6290829184</v>
      </c>
      <c r="X103" s="141">
        <f t="shared" si="12"/>
        <v>1557176.0842252041</v>
      </c>
      <c r="Y103" s="141">
        <f t="shared" si="8"/>
        <v>1024235.3622511554</v>
      </c>
      <c r="Z103" s="141">
        <f t="shared" si="13"/>
        <v>593705.90594826406</v>
      </c>
    </row>
    <row r="104" spans="1:26" ht="19.5" thickBot="1" x14ac:dyDescent="0.35">
      <c r="A104" s="142">
        <v>264</v>
      </c>
      <c r="B104" s="143" t="s">
        <v>512</v>
      </c>
      <c r="C104" s="142">
        <v>5169</v>
      </c>
      <c r="D104" s="143" t="s">
        <v>159</v>
      </c>
      <c r="E104" s="142">
        <v>4184</v>
      </c>
      <c r="F104" s="143" t="s">
        <v>525</v>
      </c>
      <c r="G104" s="144">
        <v>3.2768242683852011</v>
      </c>
      <c r="H104" s="145">
        <v>150.11771291672287</v>
      </c>
      <c r="I104" s="146">
        <v>0.7356903809760883</v>
      </c>
      <c r="J104" s="147">
        <v>0.94206867320690402</v>
      </c>
      <c r="K104" s="148">
        <v>191</v>
      </c>
      <c r="M104" s="138">
        <f t="shared" si="7"/>
        <v>0.7356903809760883</v>
      </c>
      <c r="N104" s="149"/>
      <c r="U104" s="141">
        <f t="shared" si="9"/>
        <v>14849553.296573751</v>
      </c>
      <c r="V104" s="141">
        <f t="shared" si="10"/>
        <v>2324246.5654329103</v>
      </c>
      <c r="W104" s="141">
        <f t="shared" si="11"/>
        <v>1463753.9898433483</v>
      </c>
      <c r="X104" s="141">
        <f t="shared" si="12"/>
        <v>1150132.9364842924</v>
      </c>
      <c r="Y104" s="141">
        <f t="shared" si="8"/>
        <v>653855.84926959581</v>
      </c>
      <c r="Z104" s="141">
        <f t="shared" si="13"/>
        <v>252944.64897191973</v>
      </c>
    </row>
    <row r="105" spans="1:26" ht="19.5" thickBot="1" x14ac:dyDescent="0.35">
      <c r="A105" s="142">
        <v>264</v>
      </c>
      <c r="B105" s="143" t="s">
        <v>512</v>
      </c>
      <c r="C105" s="142">
        <v>5169</v>
      </c>
      <c r="D105" s="143" t="s">
        <v>159</v>
      </c>
      <c r="E105" s="142">
        <v>4196</v>
      </c>
      <c r="F105" s="143" t="s">
        <v>164</v>
      </c>
      <c r="G105" s="144">
        <v>2.5224867724867721</v>
      </c>
      <c r="H105" s="145">
        <v>40.969566495731513</v>
      </c>
      <c r="I105" s="146">
        <v>0.51993508782884124</v>
      </c>
      <c r="J105" s="147">
        <v>0.9590581442097329</v>
      </c>
      <c r="K105" s="148">
        <v>233</v>
      </c>
      <c r="M105" s="138">
        <f t="shared" si="7"/>
        <v>0.51993508782884124</v>
      </c>
      <c r="N105" s="149"/>
      <c r="U105" s="141">
        <f t="shared" si="9"/>
        <v>11637280.725153493</v>
      </c>
      <c r="V105" s="141">
        <f t="shared" si="10"/>
        <v>1995347.5719264252</v>
      </c>
      <c r="W105" s="141">
        <f t="shared" si="11"/>
        <v>1332943.6826823454</v>
      </c>
      <c r="X105" s="141">
        <f t="shared" si="12"/>
        <v>1091519.3968870507</v>
      </c>
      <c r="Y105" s="141">
        <f t="shared" si="8"/>
        <v>709487.19575096678</v>
      </c>
      <c r="Z105" s="141">
        <f t="shared" si="13"/>
        <v>400867.28913905623</v>
      </c>
    </row>
    <row r="106" spans="1:26" ht="19.5" thickBot="1" x14ac:dyDescent="0.35">
      <c r="A106" s="142">
        <v>264</v>
      </c>
      <c r="B106" s="143" t="s">
        <v>512</v>
      </c>
      <c r="C106" s="142">
        <v>5169</v>
      </c>
      <c r="D106" s="143" t="s">
        <v>159</v>
      </c>
      <c r="E106" s="142">
        <v>4174</v>
      </c>
      <c r="F106" s="143" t="s">
        <v>526</v>
      </c>
      <c r="G106" s="144">
        <v>5.5385385716069759</v>
      </c>
      <c r="H106" s="145">
        <v>52.879033371979325</v>
      </c>
      <c r="I106" s="146">
        <v>0.35849078998179013</v>
      </c>
      <c r="J106" s="147">
        <v>0.97177094108638995</v>
      </c>
      <c r="K106" s="148">
        <v>262</v>
      </c>
      <c r="M106" s="138">
        <f t="shared" si="7"/>
        <v>0.35849078998179013</v>
      </c>
      <c r="N106" s="149"/>
      <c r="U106" s="141">
        <f t="shared" si="9"/>
        <v>25890281.261499956</v>
      </c>
      <c r="V106" s="141">
        <f t="shared" si="10"/>
        <v>4719815.9665093049</v>
      </c>
      <c r="W106" s="141">
        <f t="shared" si="11"/>
        <v>3265398.2345407824</v>
      </c>
      <c r="X106" s="141">
        <f t="shared" si="12"/>
        <v>2735311.126221993</v>
      </c>
      <c r="Y106" s="141">
        <f t="shared" si="8"/>
        <v>1896495.9916228249</v>
      </c>
      <c r="Z106" s="141">
        <f t="shared" si="13"/>
        <v>1218869.7398701911</v>
      </c>
    </row>
    <row r="107" spans="1:26" ht="19.5" thickBot="1" x14ac:dyDescent="0.35">
      <c r="A107" s="142">
        <v>264</v>
      </c>
      <c r="B107" s="143" t="s">
        <v>512</v>
      </c>
      <c r="C107" s="142">
        <v>5169</v>
      </c>
      <c r="D107" s="143" t="s">
        <v>159</v>
      </c>
      <c r="E107" s="142">
        <v>4170</v>
      </c>
      <c r="F107" s="143" t="s">
        <v>527</v>
      </c>
      <c r="G107" s="144">
        <v>4.7470153232994274</v>
      </c>
      <c r="H107" s="145">
        <v>86.205848081309767</v>
      </c>
      <c r="I107" s="146">
        <v>0.46641886419298195</v>
      </c>
      <c r="J107" s="147">
        <v>0.96327223470262224</v>
      </c>
      <c r="K107" s="148">
        <v>244</v>
      </c>
      <c r="M107" s="138">
        <f t="shared" si="7"/>
        <v>0.46641886419298195</v>
      </c>
      <c r="N107" s="149"/>
      <c r="U107" s="141">
        <f t="shared" si="9"/>
        <v>21996184.392878387</v>
      </c>
      <c r="V107" s="141">
        <f t="shared" si="10"/>
        <v>3851231.1967610144</v>
      </c>
      <c r="W107" s="141">
        <f t="shared" si="11"/>
        <v>2604667.1129561807</v>
      </c>
      <c r="X107" s="141">
        <f t="shared" si="12"/>
        <v>2150335.7774712914</v>
      </c>
      <c r="Y107" s="141">
        <f t="shared" si="8"/>
        <v>1431397.3344367757</v>
      </c>
      <c r="Z107" s="141">
        <f t="shared" si="13"/>
        <v>850611.95956731855</v>
      </c>
    </row>
    <row r="108" spans="1:26" ht="19.5" thickBot="1" x14ac:dyDescent="0.35">
      <c r="A108" s="142">
        <v>264</v>
      </c>
      <c r="B108" s="143" t="s">
        <v>512</v>
      </c>
      <c r="C108" s="142">
        <v>5169</v>
      </c>
      <c r="D108" s="143" t="s">
        <v>159</v>
      </c>
      <c r="E108" s="142">
        <v>4169</v>
      </c>
      <c r="F108" s="143" t="s">
        <v>167</v>
      </c>
      <c r="G108" s="144">
        <v>5.825472477958602</v>
      </c>
      <c r="H108" s="145">
        <v>92.000712084354404</v>
      </c>
      <c r="I108" s="146">
        <v>0.46743713559766492</v>
      </c>
      <c r="J108" s="147">
        <v>0.96319205176828704</v>
      </c>
      <c r="K108" s="148">
        <v>243</v>
      </c>
      <c r="M108" s="138">
        <f t="shared" si="7"/>
        <v>0.46743713559766492</v>
      </c>
      <c r="N108" s="149"/>
      <c r="U108" s="141">
        <f t="shared" si="9"/>
        <v>26991170.626838017</v>
      </c>
      <c r="V108" s="141">
        <f t="shared" si="10"/>
        <v>4723931.4757413678</v>
      </c>
      <c r="W108" s="141">
        <f t="shared" si="11"/>
        <v>3194165.0293231192</v>
      </c>
      <c r="X108" s="141">
        <f t="shared" si="12"/>
        <v>2636615.8093425501</v>
      </c>
      <c r="Y108" s="141">
        <f t="shared" si="8"/>
        <v>1754344.3549641422</v>
      </c>
      <c r="Z108" s="141">
        <f t="shared" si="13"/>
        <v>1041612.462084705</v>
      </c>
    </row>
    <row r="109" spans="1:26" ht="19.5" thickBot="1" x14ac:dyDescent="0.35">
      <c r="A109" s="142">
        <v>264</v>
      </c>
      <c r="B109" s="143" t="s">
        <v>512</v>
      </c>
      <c r="C109" s="142">
        <v>5169</v>
      </c>
      <c r="D109" s="143" t="s">
        <v>159</v>
      </c>
      <c r="E109" s="142">
        <v>4188</v>
      </c>
      <c r="F109" s="143" t="s">
        <v>168</v>
      </c>
      <c r="G109" s="144">
        <v>2.9978898043414177</v>
      </c>
      <c r="H109" s="145">
        <v>55.116137187803844</v>
      </c>
      <c r="I109" s="146">
        <v>0.31106730001867544</v>
      </c>
      <c r="J109" s="147">
        <v>0.9755052643367188</v>
      </c>
      <c r="K109" s="148">
        <v>269</v>
      </c>
      <c r="M109" s="138">
        <f t="shared" si="7"/>
        <v>0.31106730001867544</v>
      </c>
      <c r="N109" s="149"/>
      <c r="U109" s="141">
        <f t="shared" si="9"/>
        <v>14067695.465271685</v>
      </c>
      <c r="V109" s="141">
        <f t="shared" si="10"/>
        <v>2608585.5862911427</v>
      </c>
      <c r="W109" s="141">
        <f t="shared" si="11"/>
        <v>1821341.0752076488</v>
      </c>
      <c r="X109" s="141">
        <f t="shared" si="12"/>
        <v>1534416.5161572923</v>
      </c>
      <c r="Y109" s="141">
        <f t="shared" si="8"/>
        <v>1080384.2281755004</v>
      </c>
      <c r="Z109" s="141">
        <f t="shared" si="13"/>
        <v>713599.95737572189</v>
      </c>
    </row>
    <row r="110" spans="1:26" ht="19.5" thickBot="1" x14ac:dyDescent="0.35">
      <c r="A110" s="142">
        <v>264</v>
      </c>
      <c r="B110" s="143" t="s">
        <v>512</v>
      </c>
      <c r="C110" s="142">
        <v>5169</v>
      </c>
      <c r="D110" s="143" t="s">
        <v>159</v>
      </c>
      <c r="E110" s="142">
        <v>4180</v>
      </c>
      <c r="F110" s="143" t="s">
        <v>528</v>
      </c>
      <c r="G110" s="144">
        <v>3.5180638414217369</v>
      </c>
      <c r="H110" s="145">
        <v>196.60994984118096</v>
      </c>
      <c r="I110" s="146">
        <v>1.3001838972744397</v>
      </c>
      <c r="J110" s="147">
        <v>0.8976181010492581</v>
      </c>
      <c r="K110" s="148">
        <v>95</v>
      </c>
      <c r="M110" s="138">
        <f t="shared" si="7"/>
        <v>1.3001838972744397</v>
      </c>
      <c r="N110" s="149"/>
      <c r="U110" s="141">
        <f t="shared" si="9"/>
        <v>15190532.343870938</v>
      </c>
      <c r="V110" s="141">
        <f t="shared" si="10"/>
        <v>1743113.4088122817</v>
      </c>
      <c r="W110" s="141">
        <f t="shared" si="11"/>
        <v>819271.43010119372</v>
      </c>
      <c r="X110" s="141">
        <f t="shared" si="12"/>
        <v>482561.61676878354</v>
      </c>
      <c r="Y110" s="141">
        <f t="shared" si="8"/>
        <v>-50251.354833294841</v>
      </c>
      <c r="Z110" s="141">
        <f t="shared" si="13"/>
        <v>-480677.6096056613</v>
      </c>
    </row>
    <row r="111" spans="1:26" ht="19.5" thickBot="1" x14ac:dyDescent="0.35">
      <c r="A111" s="142">
        <v>264</v>
      </c>
      <c r="B111" s="143" t="s">
        <v>512</v>
      </c>
      <c r="C111" s="142">
        <v>5169</v>
      </c>
      <c r="D111" s="143" t="s">
        <v>159</v>
      </c>
      <c r="E111" s="142">
        <v>4185</v>
      </c>
      <c r="F111" s="143" t="s">
        <v>529</v>
      </c>
      <c r="G111" s="144">
        <v>3.3305764510330889</v>
      </c>
      <c r="H111" s="145">
        <v>92.500846574003248</v>
      </c>
      <c r="I111" s="146">
        <v>0.6934221741655664</v>
      </c>
      <c r="J111" s="147">
        <v>0.945397047975716</v>
      </c>
      <c r="K111" s="148">
        <v>201</v>
      </c>
      <c r="M111" s="138">
        <f t="shared" si="7"/>
        <v>0.6934221741655664</v>
      </c>
      <c r="N111" s="149"/>
      <c r="U111" s="141">
        <f t="shared" si="9"/>
        <v>15146466.358639238</v>
      </c>
      <c r="V111" s="141">
        <f t="shared" si="10"/>
        <v>2415697.7168220365</v>
      </c>
      <c r="W111" s="141">
        <f t="shared" si="11"/>
        <v>1541089.8423021985</v>
      </c>
      <c r="X111" s="141">
        <f t="shared" si="12"/>
        <v>1222324.2298329626</v>
      </c>
      <c r="Y111" s="141">
        <f t="shared" si="8"/>
        <v>717906.34089957294</v>
      </c>
      <c r="Z111" s="141">
        <f t="shared" si="13"/>
        <v>310418.696368406</v>
      </c>
    </row>
    <row r="112" spans="1:26" ht="19.5" thickBot="1" x14ac:dyDescent="0.35">
      <c r="A112" s="142">
        <v>264</v>
      </c>
      <c r="B112" s="143" t="s">
        <v>512</v>
      </c>
      <c r="C112" s="142">
        <v>5169</v>
      </c>
      <c r="D112" s="143" t="s">
        <v>159</v>
      </c>
      <c r="E112" s="142">
        <v>4178</v>
      </c>
      <c r="F112" s="143" t="s">
        <v>171</v>
      </c>
      <c r="G112" s="144">
        <v>7.6444229507542065</v>
      </c>
      <c r="H112" s="145">
        <v>169.9233284039893</v>
      </c>
      <c r="I112" s="146">
        <v>0.98563959544083357</v>
      </c>
      <c r="J112" s="147">
        <v>0.92238663032682267</v>
      </c>
      <c r="K112" s="148">
        <v>137</v>
      </c>
      <c r="M112" s="138">
        <f t="shared" si="7"/>
        <v>0.98563959544083357</v>
      </c>
      <c r="N112" s="149"/>
      <c r="U112" s="141">
        <f t="shared" si="9"/>
        <v>33918401.972639441</v>
      </c>
      <c r="V112" s="141">
        <f t="shared" si="10"/>
        <v>4698421.1623918517</v>
      </c>
      <c r="W112" s="141">
        <f t="shared" si="11"/>
        <v>2690999.1418536473</v>
      </c>
      <c r="X112" s="141">
        <f t="shared" si="12"/>
        <v>1959360.2800238275</v>
      </c>
      <c r="Y112" s="141">
        <f t="shared" si="8"/>
        <v>801607.63761343365</v>
      </c>
      <c r="Z112" s="141">
        <f t="shared" si="13"/>
        <v>-133668.26666331739</v>
      </c>
    </row>
    <row r="113" spans="1:26" ht="19.5" thickBot="1" x14ac:dyDescent="0.35">
      <c r="A113" s="142">
        <v>264</v>
      </c>
      <c r="B113" s="143" t="s">
        <v>512</v>
      </c>
      <c r="C113" s="142">
        <v>5169</v>
      </c>
      <c r="D113" s="143" t="s">
        <v>159</v>
      </c>
      <c r="E113" s="142">
        <v>4194</v>
      </c>
      <c r="F113" s="143" t="s">
        <v>172</v>
      </c>
      <c r="G113" s="144">
        <v>6.044791431609327</v>
      </c>
      <c r="H113" s="145">
        <v>113.00767937631447</v>
      </c>
      <c r="I113" s="146">
        <v>0.54356422436981033</v>
      </c>
      <c r="J113" s="147">
        <v>0.95719748751747424</v>
      </c>
      <c r="K113" s="148">
        <v>227</v>
      </c>
      <c r="M113" s="138">
        <f t="shared" si="7"/>
        <v>0.54356422436981033</v>
      </c>
      <c r="N113" s="149"/>
      <c r="U113" s="141">
        <f t="shared" si="9"/>
        <v>27833033.756028112</v>
      </c>
      <c r="V113" s="141">
        <f t="shared" si="10"/>
        <v>4727471.6002675835</v>
      </c>
      <c r="W113" s="141">
        <f t="shared" si="11"/>
        <v>3140112.0954960659</v>
      </c>
      <c r="X113" s="141">
        <f t="shared" si="12"/>
        <v>2561572.1126207132</v>
      </c>
      <c r="Y113" s="141">
        <f t="shared" si="8"/>
        <v>1646084.6653863944</v>
      </c>
      <c r="Z113" s="141">
        <f t="shared" si="13"/>
        <v>906519.65063207818</v>
      </c>
    </row>
    <row r="114" spans="1:26" ht="19.5" thickBot="1" x14ac:dyDescent="0.35">
      <c r="A114" s="142">
        <v>264</v>
      </c>
      <c r="B114" s="143" t="s">
        <v>512</v>
      </c>
      <c r="C114" s="142">
        <v>5169</v>
      </c>
      <c r="D114" s="143" t="s">
        <v>159</v>
      </c>
      <c r="E114" s="142">
        <v>4181</v>
      </c>
      <c r="F114" s="143" t="s">
        <v>173</v>
      </c>
      <c r="G114" s="144">
        <v>4.0103442189703635</v>
      </c>
      <c r="H114" s="145">
        <v>85.333779474885759</v>
      </c>
      <c r="I114" s="146">
        <v>0.59835275641652674</v>
      </c>
      <c r="J114" s="147">
        <v>0.95288321015761368</v>
      </c>
      <c r="K114" s="148">
        <v>218</v>
      </c>
      <c r="M114" s="138">
        <f t="shared" si="7"/>
        <v>0.59835275641652674</v>
      </c>
      <c r="N114" s="149"/>
      <c r="U114" s="141">
        <f t="shared" si="9"/>
        <v>18382264.098548301</v>
      </c>
      <c r="V114" s="141">
        <f t="shared" si="10"/>
        <v>3053156.6072836942</v>
      </c>
      <c r="W114" s="141">
        <f t="shared" si="11"/>
        <v>2000042.0233627546</v>
      </c>
      <c r="X114" s="141">
        <f t="shared" si="12"/>
        <v>1616216.6255773287</v>
      </c>
      <c r="Y114" s="141">
        <f t="shared" si="8"/>
        <v>1008847.4825565199</v>
      </c>
      <c r="Z114" s="141">
        <f t="shared" si="13"/>
        <v>518191.96283694555</v>
      </c>
    </row>
    <row r="115" spans="1:26" ht="19.5" thickBot="1" x14ac:dyDescent="0.35">
      <c r="A115" s="142">
        <v>264</v>
      </c>
      <c r="B115" s="143" t="s">
        <v>512</v>
      </c>
      <c r="C115" s="142">
        <v>5169</v>
      </c>
      <c r="D115" s="143" t="s">
        <v>159</v>
      </c>
      <c r="E115" s="142">
        <v>4183</v>
      </c>
      <c r="F115" s="143" t="s">
        <v>530</v>
      </c>
      <c r="G115" s="144">
        <v>2.3561526821289123</v>
      </c>
      <c r="H115" s="145">
        <v>93.021265201695627</v>
      </c>
      <c r="I115" s="146">
        <v>0.79915014200127288</v>
      </c>
      <c r="J115" s="147">
        <v>0.93707158713751149</v>
      </c>
      <c r="K115" s="148">
        <v>175</v>
      </c>
      <c r="M115" s="138">
        <f t="shared" si="7"/>
        <v>0.79915014200127288</v>
      </c>
      <c r="N115" s="149"/>
      <c r="U115" s="141">
        <f t="shared" si="9"/>
        <v>10620717.947303241</v>
      </c>
      <c r="V115" s="141">
        <f t="shared" si="10"/>
        <v>1614578.8833955161</v>
      </c>
      <c r="W115" s="141">
        <f t="shared" si="11"/>
        <v>995854.25129112881</v>
      </c>
      <c r="X115" s="141">
        <f t="shared" si="12"/>
        <v>770349.60852669412</v>
      </c>
      <c r="Y115" s="141">
        <f t="shared" si="8"/>
        <v>413508.80952459882</v>
      </c>
      <c r="Z115" s="141">
        <f t="shared" si="13"/>
        <v>125239.46014554649</v>
      </c>
    </row>
    <row r="116" spans="1:26" ht="19.5" thickBot="1" x14ac:dyDescent="0.35">
      <c r="A116" s="142">
        <v>30</v>
      </c>
      <c r="B116" s="143" t="s">
        <v>531</v>
      </c>
      <c r="C116" s="142">
        <v>6</v>
      </c>
      <c r="D116" s="143" t="s">
        <v>176</v>
      </c>
      <c r="E116" s="142">
        <v>551110</v>
      </c>
      <c r="F116" s="143" t="s">
        <v>177</v>
      </c>
      <c r="G116" s="144">
        <v>5.3611493955112479</v>
      </c>
      <c r="H116" s="145">
        <v>124.73581602853821</v>
      </c>
      <c r="I116" s="146">
        <v>1.0028171216048178</v>
      </c>
      <c r="J116" s="147">
        <v>0.92103400032453497</v>
      </c>
      <c r="K116" s="148">
        <v>135</v>
      </c>
      <c r="M116" s="138">
        <f t="shared" si="7"/>
        <v>1.0028171216048178</v>
      </c>
      <c r="N116" s="149"/>
      <c r="U116" s="141">
        <f t="shared" si="9"/>
        <v>23752605.07187229</v>
      </c>
      <c r="V116" s="141">
        <f t="shared" si="10"/>
        <v>3260190.7370200274</v>
      </c>
      <c r="W116" s="141">
        <f t="shared" si="11"/>
        <v>1852355.3227220045</v>
      </c>
      <c r="X116" s="141">
        <f t="shared" si="12"/>
        <v>1339245.9268787927</v>
      </c>
      <c r="Y116" s="141">
        <f t="shared" si="8"/>
        <v>527296.49407070153</v>
      </c>
      <c r="Z116" s="141">
        <f t="shared" si="13"/>
        <v>-128626.63853865238</v>
      </c>
    </row>
    <row r="117" spans="1:26" ht="19.5" thickBot="1" x14ac:dyDescent="0.35">
      <c r="A117" s="142">
        <v>30</v>
      </c>
      <c r="B117" s="143" t="s">
        <v>531</v>
      </c>
      <c r="C117" s="142">
        <v>6</v>
      </c>
      <c r="D117" s="143" t="s">
        <v>176</v>
      </c>
      <c r="E117" s="142">
        <v>451101</v>
      </c>
      <c r="F117" s="143" t="s">
        <v>178</v>
      </c>
      <c r="G117" s="144">
        <v>9.7145609440858518</v>
      </c>
      <c r="H117" s="145">
        <v>359.62309156409833</v>
      </c>
      <c r="I117" s="146">
        <v>2.2884412520191333</v>
      </c>
      <c r="J117" s="147">
        <v>0.81979859809825217</v>
      </c>
      <c r="K117" s="148">
        <v>16</v>
      </c>
      <c r="M117" s="138">
        <f t="shared" si="7"/>
        <v>2.2884412520191333</v>
      </c>
      <c r="N117" s="149"/>
      <c r="U117" s="141">
        <f t="shared" si="9"/>
        <v>38309635.877726339</v>
      </c>
      <c r="V117" s="141">
        <f t="shared" si="10"/>
        <v>1176776.2498896189</v>
      </c>
      <c r="W117" s="141">
        <f t="shared" si="11"/>
        <v>-1374263.0744186128</v>
      </c>
      <c r="X117" s="141">
        <f t="shared" si="12"/>
        <v>-2304032.4445979735</v>
      </c>
      <c r="Y117" s="141">
        <f t="shared" si="8"/>
        <v>-3775308.7823053943</v>
      </c>
      <c r="Z117" s="141">
        <f t="shared" si="13"/>
        <v>-4963860.8587881709</v>
      </c>
    </row>
    <row r="118" spans="1:26" ht="19.5" thickBot="1" x14ac:dyDescent="0.35">
      <c r="A118" s="142">
        <v>30</v>
      </c>
      <c r="B118" s="143" t="s">
        <v>531</v>
      </c>
      <c r="C118" s="142">
        <v>6</v>
      </c>
      <c r="D118" s="143" t="s">
        <v>176</v>
      </c>
      <c r="E118" s="142">
        <v>551103</v>
      </c>
      <c r="F118" s="143" t="s">
        <v>179</v>
      </c>
      <c r="G118" s="144">
        <v>2.7303992303992302</v>
      </c>
      <c r="H118" s="145">
        <v>193.13404847132745</v>
      </c>
      <c r="I118" s="146">
        <v>0.98234210662952004</v>
      </c>
      <c r="J118" s="147">
        <v>0.92264628833903062</v>
      </c>
      <c r="K118" s="148">
        <v>138</v>
      </c>
      <c r="M118" s="138">
        <f t="shared" si="7"/>
        <v>0.98234210662952004</v>
      </c>
      <c r="N118" s="149"/>
      <c r="U118" s="141">
        <f t="shared" si="9"/>
        <v>12118226.554639189</v>
      </c>
      <c r="V118" s="141">
        <f t="shared" si="10"/>
        <v>1681570.4943267617</v>
      </c>
      <c r="W118" s="141">
        <f t="shared" si="11"/>
        <v>964568.88736789813</v>
      </c>
      <c r="X118" s="141">
        <f t="shared" si="12"/>
        <v>703245.54116644105</v>
      </c>
      <c r="Y118" s="141">
        <f t="shared" si="8"/>
        <v>289724.86809612968</v>
      </c>
      <c r="Z118" s="141">
        <f t="shared" si="13"/>
        <v>-44332.60435131476</v>
      </c>
    </row>
    <row r="119" spans="1:26" ht="19.5" thickBot="1" x14ac:dyDescent="0.35">
      <c r="A119" s="142">
        <v>30</v>
      </c>
      <c r="B119" s="143" t="s">
        <v>531</v>
      </c>
      <c r="C119" s="142">
        <v>6</v>
      </c>
      <c r="D119" s="143" t="s">
        <v>176</v>
      </c>
      <c r="E119" s="142">
        <v>551330</v>
      </c>
      <c r="F119" s="143" t="s">
        <v>180</v>
      </c>
      <c r="G119" s="144">
        <v>3.1380264341599156</v>
      </c>
      <c r="H119" s="145">
        <v>77.203232816251685</v>
      </c>
      <c r="I119" s="146">
        <v>0.58828424644364363</v>
      </c>
      <c r="J119" s="147">
        <v>0.95367604659620442</v>
      </c>
      <c r="K119" s="148">
        <v>220</v>
      </c>
      <c r="M119" s="138">
        <f t="shared" si="7"/>
        <v>0.58828424644364363</v>
      </c>
      <c r="N119" s="149"/>
      <c r="U119" s="141">
        <f t="shared" si="9"/>
        <v>14395778.242177768</v>
      </c>
      <c r="V119" s="141">
        <f t="shared" si="10"/>
        <v>2401011.2363626487</v>
      </c>
      <c r="W119" s="141">
        <f t="shared" si="11"/>
        <v>1576966.9094665162</v>
      </c>
      <c r="X119" s="141">
        <f t="shared" si="12"/>
        <v>1276630.0359744322</v>
      </c>
      <c r="Y119" s="141">
        <f t="shared" si="8"/>
        <v>801373.96766075189</v>
      </c>
      <c r="Z119" s="141">
        <f t="shared" si="13"/>
        <v>417444.33297672373</v>
      </c>
    </row>
    <row r="120" spans="1:26" ht="19.5" thickBot="1" x14ac:dyDescent="0.35">
      <c r="A120" s="142">
        <v>30</v>
      </c>
      <c r="B120" s="143" t="s">
        <v>531</v>
      </c>
      <c r="C120" s="142">
        <v>6</v>
      </c>
      <c r="D120" s="143" t="s">
        <v>176</v>
      </c>
      <c r="E120" s="142">
        <v>451115</v>
      </c>
      <c r="F120" s="143" t="s">
        <v>532</v>
      </c>
      <c r="G120" s="144">
        <v>2.9645688839237225</v>
      </c>
      <c r="H120" s="145">
        <v>83.536409325131388</v>
      </c>
      <c r="I120" s="146">
        <v>0.3802707116685119</v>
      </c>
      <c r="J120" s="147">
        <v>0.9700558992788737</v>
      </c>
      <c r="K120" s="148">
        <v>259</v>
      </c>
      <c r="M120" s="138">
        <f t="shared" si="7"/>
        <v>0.3802707116685119</v>
      </c>
      <c r="N120" s="149"/>
      <c r="U120" s="141">
        <f t="shared" si="9"/>
        <v>13833624.4918558</v>
      </c>
      <c r="V120" s="141">
        <f t="shared" si="10"/>
        <v>2501880.2311118525</v>
      </c>
      <c r="W120" s="141">
        <f t="shared" si="11"/>
        <v>1723385.7787079986</v>
      </c>
      <c r="X120" s="141">
        <f t="shared" si="12"/>
        <v>1439650.3263366648</v>
      </c>
      <c r="Y120" s="141">
        <f t="shared" si="8"/>
        <v>990664.51261586673</v>
      </c>
      <c r="Z120" s="141">
        <f t="shared" si="13"/>
        <v>627956.97254851321</v>
      </c>
    </row>
    <row r="121" spans="1:26" ht="19.5" thickBot="1" x14ac:dyDescent="0.35">
      <c r="A121" s="142">
        <v>30</v>
      </c>
      <c r="B121" s="143" t="s">
        <v>531</v>
      </c>
      <c r="C121" s="142">
        <v>6</v>
      </c>
      <c r="D121" s="143" t="s">
        <v>176</v>
      </c>
      <c r="E121" s="142">
        <v>551128</v>
      </c>
      <c r="F121" s="143" t="s">
        <v>182</v>
      </c>
      <c r="G121" s="144">
        <v>3.2593973529457401</v>
      </c>
      <c r="H121" s="145">
        <v>300.71793158148176</v>
      </c>
      <c r="I121" s="146">
        <v>2.2005517811621669</v>
      </c>
      <c r="J121" s="147">
        <v>0.82671938133743483</v>
      </c>
      <c r="K121" s="148">
        <v>21</v>
      </c>
      <c r="M121" s="138">
        <f t="shared" si="7"/>
        <v>2.2005517811621669</v>
      </c>
      <c r="N121" s="149"/>
      <c r="U121" s="141">
        <f t="shared" si="9"/>
        <v>12962032.421309132</v>
      </c>
      <c r="V121" s="141">
        <f t="shared" si="10"/>
        <v>503338.19159622729</v>
      </c>
      <c r="W121" s="141">
        <f t="shared" si="11"/>
        <v>-352578.08385549608</v>
      </c>
      <c r="X121" s="141">
        <f t="shared" si="12"/>
        <v>-664531.22733313031</v>
      </c>
      <c r="Y121" s="141">
        <f t="shared" si="8"/>
        <v>-1158168.997292741</v>
      </c>
      <c r="Z121" s="141">
        <f t="shared" si="13"/>
        <v>-1556948.0583561813</v>
      </c>
    </row>
    <row r="122" spans="1:26" ht="19.5" thickBot="1" x14ac:dyDescent="0.35">
      <c r="A122" s="142">
        <v>30</v>
      </c>
      <c r="B122" s="143" t="s">
        <v>531</v>
      </c>
      <c r="C122" s="142">
        <v>6</v>
      </c>
      <c r="D122" s="143" t="s">
        <v>176</v>
      </c>
      <c r="E122" s="142">
        <v>451120</v>
      </c>
      <c r="F122" s="143" t="s">
        <v>183</v>
      </c>
      <c r="G122" s="144">
        <v>2.4762819978250414</v>
      </c>
      <c r="H122" s="145">
        <v>212.1741646797376</v>
      </c>
      <c r="I122" s="146">
        <v>1.5307870050864152</v>
      </c>
      <c r="J122" s="147">
        <v>0.87945945123731595</v>
      </c>
      <c r="K122" s="148">
        <v>65</v>
      </c>
      <c r="M122" s="138">
        <f t="shared" si="7"/>
        <v>1.5307870050864152</v>
      </c>
      <c r="N122" s="149"/>
      <c r="U122" s="141">
        <f t="shared" si="9"/>
        <v>10475954.333069094</v>
      </c>
      <c r="V122" s="141">
        <f t="shared" si="10"/>
        <v>1010633.9389286186</v>
      </c>
      <c r="W122" s="141">
        <f t="shared" si="11"/>
        <v>360363.40268024313</v>
      </c>
      <c r="X122" s="141">
        <f t="shared" si="12"/>
        <v>123361.32232313315</v>
      </c>
      <c r="Y122" s="141">
        <f t="shared" si="8"/>
        <v>-251673.13675953416</v>
      </c>
      <c r="Z122" s="141">
        <f t="shared" si="13"/>
        <v>-554640.00550553354</v>
      </c>
    </row>
    <row r="123" spans="1:26" ht="19.5" thickBot="1" x14ac:dyDescent="0.35">
      <c r="A123" s="142">
        <v>30</v>
      </c>
      <c r="B123" s="143" t="s">
        <v>531</v>
      </c>
      <c r="C123" s="142">
        <v>6</v>
      </c>
      <c r="D123" s="143" t="s">
        <v>176</v>
      </c>
      <c r="E123" s="142">
        <v>451381</v>
      </c>
      <c r="F123" s="143" t="s">
        <v>533</v>
      </c>
      <c r="G123" s="144">
        <v>6.4918796420425462</v>
      </c>
      <c r="H123" s="145">
        <v>177.11117036948676</v>
      </c>
      <c r="I123" s="146">
        <v>1.0599127207070462</v>
      </c>
      <c r="J123" s="147">
        <v>0.91653805488937734</v>
      </c>
      <c r="K123" s="148">
        <v>127</v>
      </c>
      <c r="M123" s="138">
        <f t="shared" si="7"/>
        <v>1.0599127207070462</v>
      </c>
      <c r="N123" s="149"/>
      <c r="U123" s="141">
        <f t="shared" si="9"/>
        <v>28621911.654983088</v>
      </c>
      <c r="V123" s="141">
        <f t="shared" si="10"/>
        <v>3807403.1191615686</v>
      </c>
      <c r="W123" s="141">
        <f t="shared" si="11"/>
        <v>2102638.4518907522</v>
      </c>
      <c r="X123" s="141">
        <f t="shared" si="12"/>
        <v>1481308.174505777</v>
      </c>
      <c r="Y123" s="141">
        <f t="shared" si="8"/>
        <v>498108.93785921403</v>
      </c>
      <c r="Z123" s="141">
        <f t="shared" si="13"/>
        <v>-296156.19396059623</v>
      </c>
    </row>
    <row r="124" spans="1:26" ht="19.5" thickBot="1" x14ac:dyDescent="0.35">
      <c r="A124" s="142">
        <v>30</v>
      </c>
      <c r="B124" s="143" t="s">
        <v>531</v>
      </c>
      <c r="C124" s="142">
        <v>6</v>
      </c>
      <c r="D124" s="143" t="s">
        <v>176</v>
      </c>
      <c r="E124" s="142">
        <v>551354</v>
      </c>
      <c r="F124" s="143" t="s">
        <v>185</v>
      </c>
      <c r="G124" s="144">
        <v>2.7823128830548205</v>
      </c>
      <c r="H124" s="145">
        <v>215.01709593608373</v>
      </c>
      <c r="I124" s="146">
        <v>1.0775683772158011</v>
      </c>
      <c r="J124" s="147">
        <v>0.91514777491100074</v>
      </c>
      <c r="K124" s="148">
        <v>126</v>
      </c>
      <c r="M124" s="138">
        <f t="shared" si="7"/>
        <v>1.0775683772158011</v>
      </c>
      <c r="N124" s="149"/>
      <c r="U124" s="141">
        <f t="shared" si="9"/>
        <v>12248273.35964682</v>
      </c>
      <c r="V124" s="141">
        <f t="shared" si="10"/>
        <v>1613182.9709150647</v>
      </c>
      <c r="W124" s="141">
        <f t="shared" si="11"/>
        <v>882548.86217303923</v>
      </c>
      <c r="X124" s="141">
        <f t="shared" si="12"/>
        <v>616256.92043637298</v>
      </c>
      <c r="Y124" s="141">
        <f t="shared" si="8"/>
        <v>194873.89216588871</v>
      </c>
      <c r="Z124" s="141">
        <f t="shared" si="13"/>
        <v>-145535.08499872684</v>
      </c>
    </row>
    <row r="125" spans="1:26" ht="19.5" thickBot="1" x14ac:dyDescent="0.35">
      <c r="A125" s="142">
        <v>30</v>
      </c>
      <c r="B125" s="143" t="s">
        <v>531</v>
      </c>
      <c r="C125" s="142">
        <v>6</v>
      </c>
      <c r="D125" s="143" t="s">
        <v>176</v>
      </c>
      <c r="E125" s="142">
        <v>451166</v>
      </c>
      <c r="F125" s="143" t="s">
        <v>186</v>
      </c>
      <c r="G125" s="144">
        <v>6.3293904736944011</v>
      </c>
      <c r="H125" s="145">
        <v>167.78281029486604</v>
      </c>
      <c r="I125" s="146">
        <v>0.94189431601306539</v>
      </c>
      <c r="J125" s="147">
        <v>0.92583131594962909</v>
      </c>
      <c r="K125" s="148">
        <v>148</v>
      </c>
      <c r="M125" s="138">
        <f t="shared" si="7"/>
        <v>0.94189431601306539</v>
      </c>
      <c r="N125" s="149"/>
      <c r="U125" s="141">
        <f t="shared" si="9"/>
        <v>28188465.276554562</v>
      </c>
      <c r="V125" s="141">
        <f t="shared" si="10"/>
        <v>3995054.0310834446</v>
      </c>
      <c r="W125" s="141">
        <f t="shared" si="11"/>
        <v>2332958.9461659733</v>
      </c>
      <c r="X125" s="141">
        <f t="shared" si="12"/>
        <v>1727180.3187820201</v>
      </c>
      <c r="Y125" s="141">
        <f t="shared" si="8"/>
        <v>768590.16842359537</v>
      </c>
      <c r="Z125" s="141">
        <f t="shared" si="13"/>
        <v>-5794.8226922007589</v>
      </c>
    </row>
    <row r="126" spans="1:26" ht="19.5" thickBot="1" x14ac:dyDescent="0.35">
      <c r="A126" s="142">
        <v>30</v>
      </c>
      <c r="B126" s="143" t="s">
        <v>531</v>
      </c>
      <c r="C126" s="142">
        <v>2</v>
      </c>
      <c r="D126" s="143" t="s">
        <v>187</v>
      </c>
      <c r="E126" s="142">
        <v>508815</v>
      </c>
      <c r="F126" s="143" t="s">
        <v>188</v>
      </c>
      <c r="G126" s="144">
        <v>2.9213564213564207</v>
      </c>
      <c r="H126" s="145">
        <v>155.19846359229444</v>
      </c>
      <c r="I126" s="146">
        <v>0.74518031373563864</v>
      </c>
      <c r="J126" s="147">
        <v>0.94132139634947309</v>
      </c>
      <c r="K126" s="148">
        <v>188</v>
      </c>
      <c r="M126" s="138">
        <f t="shared" si="7"/>
        <v>0.74518031373563864</v>
      </c>
      <c r="N126" s="149"/>
      <c r="U126" s="141">
        <f t="shared" si="9"/>
        <v>13228181.726471102</v>
      </c>
      <c r="V126" s="141">
        <f t="shared" si="10"/>
        <v>2061612.4351282811</v>
      </c>
      <c r="W126" s="141">
        <f t="shared" si="11"/>
        <v>1294465.5559131564</v>
      </c>
      <c r="X126" s="141">
        <f t="shared" si="12"/>
        <v>1014865.9182571094</v>
      </c>
      <c r="Y126" s="141">
        <f t="shared" si="8"/>
        <v>572424.65904940479</v>
      </c>
      <c r="Z126" s="141">
        <f t="shared" si="13"/>
        <v>215004.05499592933</v>
      </c>
    </row>
    <row r="127" spans="1:26" ht="19.5" thickBot="1" x14ac:dyDescent="0.35">
      <c r="A127" s="142">
        <v>30</v>
      </c>
      <c r="B127" s="143" t="s">
        <v>531</v>
      </c>
      <c r="C127" s="142">
        <v>2</v>
      </c>
      <c r="D127" s="143" t="s">
        <v>187</v>
      </c>
      <c r="E127" s="142">
        <v>408801</v>
      </c>
      <c r="F127" s="143" t="s">
        <v>189</v>
      </c>
      <c r="G127" s="144">
        <v>8.5281722426518165</v>
      </c>
      <c r="H127" s="145">
        <v>267.44765448015596</v>
      </c>
      <c r="I127" s="146">
        <v>1.8006835552637617</v>
      </c>
      <c r="J127" s="147">
        <v>0.8582066720071343</v>
      </c>
      <c r="K127" s="148">
        <v>43</v>
      </c>
      <c r="M127" s="138">
        <f t="shared" si="7"/>
        <v>1.8006835552637617</v>
      </c>
      <c r="N127" s="149"/>
      <c r="U127" s="141">
        <f t="shared" si="9"/>
        <v>35206716.684488587</v>
      </c>
      <c r="V127" s="141">
        <f t="shared" si="10"/>
        <v>2608699.6880341158</v>
      </c>
      <c r="W127" s="141">
        <f t="shared" si="11"/>
        <v>369205.50186367374</v>
      </c>
      <c r="X127" s="141">
        <f t="shared" si="12"/>
        <v>-447015.98055532726</v>
      </c>
      <c r="Y127" s="141">
        <f t="shared" si="8"/>
        <v>-1738613.0065789835</v>
      </c>
      <c r="Z127" s="141">
        <f t="shared" si="13"/>
        <v>-2782013.4120062012</v>
      </c>
    </row>
    <row r="128" spans="1:26" ht="19.5" thickBot="1" x14ac:dyDescent="0.35">
      <c r="A128" s="142">
        <v>30</v>
      </c>
      <c r="B128" s="143" t="s">
        <v>531</v>
      </c>
      <c r="C128" s="142">
        <v>2</v>
      </c>
      <c r="D128" s="143" t="s">
        <v>187</v>
      </c>
      <c r="E128" s="142">
        <v>408822</v>
      </c>
      <c r="F128" s="143" t="s">
        <v>187</v>
      </c>
      <c r="G128" s="144">
        <v>4.154172973979426</v>
      </c>
      <c r="H128" s="145">
        <v>204.11469318229678</v>
      </c>
      <c r="I128" s="146">
        <v>0.90161285518452972</v>
      </c>
      <c r="J128" s="147">
        <v>0.92900324605950102</v>
      </c>
      <c r="K128" s="148">
        <v>158</v>
      </c>
      <c r="M128" s="138">
        <f t="shared" si="7"/>
        <v>0.90161285518452972</v>
      </c>
      <c r="N128" s="149"/>
      <c r="U128" s="141">
        <f t="shared" si="9"/>
        <v>18564338.690775335</v>
      </c>
      <c r="V128" s="141">
        <f t="shared" si="10"/>
        <v>2685461.3230399373</v>
      </c>
      <c r="W128" s="141">
        <f t="shared" si="11"/>
        <v>1594577.3728958354</v>
      </c>
      <c r="X128" s="141">
        <f t="shared" si="12"/>
        <v>1196986.2916453357</v>
      </c>
      <c r="Y128" s="141">
        <f t="shared" si="8"/>
        <v>567834.19362072088</v>
      </c>
      <c r="Z128" s="141">
        <f t="shared" si="13"/>
        <v>59581.587794231345</v>
      </c>
    </row>
    <row r="129" spans="1:26" ht="19.5" thickBot="1" x14ac:dyDescent="0.35">
      <c r="A129" s="142">
        <v>30</v>
      </c>
      <c r="B129" s="143" t="s">
        <v>531</v>
      </c>
      <c r="C129" s="142">
        <v>2</v>
      </c>
      <c r="D129" s="143" t="s">
        <v>187</v>
      </c>
      <c r="E129" s="142">
        <v>508817</v>
      </c>
      <c r="F129" s="143" t="s">
        <v>190</v>
      </c>
      <c r="G129" s="144">
        <v>3.1974210582415354</v>
      </c>
      <c r="H129" s="145">
        <v>30.459331531882018</v>
      </c>
      <c r="I129" s="146">
        <v>0.1465242724202416</v>
      </c>
      <c r="J129" s="147">
        <v>0.98846206810882098</v>
      </c>
      <c r="K129" s="148">
        <v>290</v>
      </c>
      <c r="M129" s="138">
        <f t="shared" si="7"/>
        <v>0.1465242724202416</v>
      </c>
      <c r="N129" s="149"/>
      <c r="U129" s="141">
        <f t="shared" si="9"/>
        <v>15203287.724017533</v>
      </c>
      <c r="V129" s="141">
        <f t="shared" si="10"/>
        <v>2981491.184766463</v>
      </c>
      <c r="W129" s="141">
        <f t="shared" si="11"/>
        <v>2141849.8563633347</v>
      </c>
      <c r="X129" s="141">
        <f t="shared" si="12"/>
        <v>1835828.3922302271</v>
      </c>
      <c r="Y129" s="141">
        <f t="shared" si="8"/>
        <v>1351576.9709097268</v>
      </c>
      <c r="Z129" s="141">
        <f t="shared" si="13"/>
        <v>960380.55348683498</v>
      </c>
    </row>
    <row r="130" spans="1:26" ht="19.5" thickBot="1" x14ac:dyDescent="0.35">
      <c r="A130" s="142">
        <v>30</v>
      </c>
      <c r="B130" s="143" t="s">
        <v>531</v>
      </c>
      <c r="C130" s="142">
        <v>2</v>
      </c>
      <c r="D130" s="143" t="s">
        <v>187</v>
      </c>
      <c r="E130" s="142">
        <v>508802</v>
      </c>
      <c r="F130" s="143" t="s">
        <v>191</v>
      </c>
      <c r="G130" s="144">
        <v>3.6646238141786531</v>
      </c>
      <c r="H130" s="145">
        <v>47.602090210478494</v>
      </c>
      <c r="I130" s="146">
        <v>0.28399350202696244</v>
      </c>
      <c r="J130" s="147">
        <v>0.97763716802819733</v>
      </c>
      <c r="K130" s="148">
        <v>270</v>
      </c>
      <c r="M130" s="138">
        <f t="shared" si="7"/>
        <v>0.28399350202696244</v>
      </c>
      <c r="N130" s="149"/>
      <c r="U130" s="141">
        <f t="shared" si="9"/>
        <v>17233948.050824653</v>
      </c>
      <c r="V130" s="141">
        <f t="shared" si="10"/>
        <v>3226319.4545403598</v>
      </c>
      <c r="W130" s="141">
        <f t="shared" si="11"/>
        <v>2263990.893056836</v>
      </c>
      <c r="X130" s="141">
        <f t="shared" si="12"/>
        <v>1913253.9945737929</v>
      </c>
      <c r="Y130" s="141">
        <f t="shared" si="8"/>
        <v>1358244.4233298574</v>
      </c>
      <c r="Z130" s="141">
        <f t="shared" si="13"/>
        <v>909886.92483457841</v>
      </c>
    </row>
    <row r="131" spans="1:26" ht="19.5" thickBot="1" x14ac:dyDescent="0.35">
      <c r="A131" s="142">
        <v>30</v>
      </c>
      <c r="B131" s="143" t="s">
        <v>531</v>
      </c>
      <c r="C131" s="142">
        <v>2</v>
      </c>
      <c r="D131" s="143" t="s">
        <v>187</v>
      </c>
      <c r="E131" s="142">
        <v>508839</v>
      </c>
      <c r="F131" s="143" t="s">
        <v>192</v>
      </c>
      <c r="G131" s="144">
        <v>2.8205915806701234</v>
      </c>
      <c r="H131" s="145">
        <v>186.29385354513474</v>
      </c>
      <c r="I131" s="146">
        <v>2.4153712998254795</v>
      </c>
      <c r="J131" s="147">
        <v>0.80980359711757233</v>
      </c>
      <c r="K131" s="148">
        <v>14</v>
      </c>
      <c r="M131" s="138">
        <f t="shared" si="7"/>
        <v>2.4153712998254795</v>
      </c>
      <c r="N131" s="149"/>
      <c r="U131" s="141">
        <f t="shared" si="9"/>
        <v>10987466.968482416</v>
      </c>
      <c r="V131" s="141">
        <f t="shared" si="10"/>
        <v>206060.39382454375</v>
      </c>
      <c r="W131" s="141">
        <f t="shared" si="11"/>
        <v>-534625.68365410191</v>
      </c>
      <c r="X131" s="141">
        <f t="shared" si="12"/>
        <v>-804581.23518002289</v>
      </c>
      <c r="Y131" s="141">
        <f t="shared" si="8"/>
        <v>-1231761.5961723675</v>
      </c>
      <c r="Z131" s="141">
        <f t="shared" si="13"/>
        <v>-1576853.875629036</v>
      </c>
    </row>
    <row r="132" spans="1:26" ht="19.5" thickBot="1" x14ac:dyDescent="0.35">
      <c r="A132" s="142">
        <v>30</v>
      </c>
      <c r="B132" s="143" t="s">
        <v>531</v>
      </c>
      <c r="C132" s="142">
        <v>2</v>
      </c>
      <c r="D132" s="143" t="s">
        <v>187</v>
      </c>
      <c r="E132" s="142">
        <v>508819</v>
      </c>
      <c r="F132" s="143" t="s">
        <v>193</v>
      </c>
      <c r="G132" s="144">
        <v>1.9545245414810632</v>
      </c>
      <c r="H132" s="145">
        <v>80.871755225045092</v>
      </c>
      <c r="I132" s="146">
        <v>0.27696118386408342</v>
      </c>
      <c r="J132" s="147">
        <v>0.97819092206949154</v>
      </c>
      <c r="K132" s="148">
        <v>274</v>
      </c>
      <c r="M132" s="138">
        <f t="shared" si="7"/>
        <v>0.27696118386408342</v>
      </c>
      <c r="N132" s="149"/>
      <c r="U132" s="141">
        <f t="shared" si="9"/>
        <v>9196920.4858252816</v>
      </c>
      <c r="V132" s="141">
        <f t="shared" si="10"/>
        <v>1725961.5968224164</v>
      </c>
      <c r="W132" s="141">
        <f t="shared" si="11"/>
        <v>1212704.3333864203</v>
      </c>
      <c r="X132" s="141">
        <f t="shared" si="12"/>
        <v>1025639.0545341342</v>
      </c>
      <c r="Y132" s="141">
        <f t="shared" si="8"/>
        <v>729625.08891068446</v>
      </c>
      <c r="Z132" s="141">
        <f t="shared" si="13"/>
        <v>490493.931498149</v>
      </c>
    </row>
    <row r="133" spans="1:26" ht="19.5" thickBot="1" x14ac:dyDescent="0.35">
      <c r="A133" s="142">
        <v>30</v>
      </c>
      <c r="B133" s="143" t="s">
        <v>531</v>
      </c>
      <c r="C133" s="142">
        <v>2</v>
      </c>
      <c r="D133" s="143" t="s">
        <v>187</v>
      </c>
      <c r="E133" s="142">
        <v>408840</v>
      </c>
      <c r="F133" s="143" t="s">
        <v>194</v>
      </c>
      <c r="G133" s="144">
        <v>5.9904369278843319</v>
      </c>
      <c r="H133" s="145">
        <v>122.44163852987026</v>
      </c>
      <c r="I133" s="146">
        <v>0.74664693831934836</v>
      </c>
      <c r="J133" s="147">
        <v>0.94120590821718442</v>
      </c>
      <c r="K133" s="148">
        <v>187</v>
      </c>
      <c r="M133" s="138">
        <f t="shared" ref="M133:M196" si="14">I133</f>
        <v>0.74664693831934836</v>
      </c>
      <c r="N133" s="149"/>
      <c r="U133" s="141">
        <f t="shared" si="9"/>
        <v>27121944.33676371</v>
      </c>
      <c r="V133" s="141">
        <f t="shared" si="10"/>
        <v>4224146.3989207949</v>
      </c>
      <c r="W133" s="141">
        <f t="shared" si="11"/>
        <v>2651060.3623228581</v>
      </c>
      <c r="X133" s="141">
        <f t="shared" si="12"/>
        <v>2077722.5860099716</v>
      </c>
      <c r="Y133" s="141">
        <f t="shared" si="8"/>
        <v>1170467.1623986147</v>
      </c>
      <c r="Z133" s="141">
        <f t="shared" si="13"/>
        <v>437552.28434531536</v>
      </c>
    </row>
    <row r="134" spans="1:26" ht="19.5" thickBot="1" x14ac:dyDescent="0.35">
      <c r="A134" s="142">
        <v>30</v>
      </c>
      <c r="B134" s="143" t="s">
        <v>531</v>
      </c>
      <c r="C134" s="142">
        <v>2</v>
      </c>
      <c r="D134" s="143" t="s">
        <v>187</v>
      </c>
      <c r="E134" s="142">
        <v>408862</v>
      </c>
      <c r="F134" s="143" t="s">
        <v>195</v>
      </c>
      <c r="G134" s="144">
        <v>3.8731675345588394</v>
      </c>
      <c r="H134" s="145">
        <v>70.199979648174278</v>
      </c>
      <c r="I134" s="146">
        <v>0.22211295757904445</v>
      </c>
      <c r="J134" s="147">
        <v>0.98250990000247007</v>
      </c>
      <c r="K134" s="148">
        <v>283</v>
      </c>
      <c r="M134" s="138">
        <f t="shared" si="14"/>
        <v>0.22211295757904445</v>
      </c>
      <c r="N134" s="149"/>
      <c r="U134" s="141">
        <f t="shared" si="9"/>
        <v>18305470.406703174</v>
      </c>
      <c r="V134" s="141">
        <f t="shared" si="10"/>
        <v>3500705.9707535119</v>
      </c>
      <c r="W134" s="141">
        <f t="shared" si="11"/>
        <v>2483613.9223157703</v>
      </c>
      <c r="X134" s="141">
        <f t="shared" si="12"/>
        <v>2112917.5460273214</v>
      </c>
      <c r="Y134" s="141">
        <f t="shared" ref="Y134:Y197" si="15">((((($R$5-$M134)))/0.003)*G134*1000)+(((((($R$5/$O$2)-($M134/$O$2))))/0.003)*G134*1000)*$O$3</f>
        <v>1526323.897753159</v>
      </c>
      <c r="Z134" s="141">
        <f t="shared" si="13"/>
        <v>1052451.6000485329</v>
      </c>
    </row>
    <row r="135" spans="1:26" ht="19.5" thickBot="1" x14ac:dyDescent="0.35">
      <c r="A135" s="142">
        <v>30</v>
      </c>
      <c r="B135" s="143" t="s">
        <v>531</v>
      </c>
      <c r="C135" s="142">
        <v>2</v>
      </c>
      <c r="D135" s="143" t="s">
        <v>187</v>
      </c>
      <c r="E135" s="142">
        <v>508860</v>
      </c>
      <c r="F135" s="143" t="s">
        <v>196</v>
      </c>
      <c r="G135" s="144">
        <v>2.780643064148463</v>
      </c>
      <c r="H135" s="145">
        <v>91.829896689094326</v>
      </c>
      <c r="I135" s="146">
        <v>0.70624231737610366</v>
      </c>
      <c r="J135" s="147">
        <v>0.94438753646779261</v>
      </c>
      <c r="K135" s="148">
        <v>199</v>
      </c>
      <c r="M135" s="138">
        <f t="shared" si="14"/>
        <v>0.70624231737610366</v>
      </c>
      <c r="N135" s="149"/>
      <c r="U135" s="141">
        <f t="shared" ref="U135:U198" si="16">((((($N$5-$M135)))/0.003)*G135*1000)+(((((($N$5/$O$2)-($M135/$O$2))))/0.003)*G135*1000)*$O$3</f>
        <v>12632030.54024847</v>
      </c>
      <c r="V135" s="141">
        <f t="shared" ref="V135:V198" si="17">((((($O$5-$M135)))/0.003)*G135*1000)+(((((($O$5/$O$2)-($M135/$O$2))))/0.003)*G135*1000)*$O$3</f>
        <v>2003322.8538756343</v>
      </c>
      <c r="W135" s="141">
        <f t="shared" ref="W135:W198" si="18">((((($P$5-$M135)))/0.003)*G135*1000)+(((((($P$5/$O$2)-($M135/$O$2))))/0.003)*G135*1000)*$O$3</f>
        <v>1273127.2388256148</v>
      </c>
      <c r="X135" s="141">
        <f t="shared" ref="X135:X198" si="19">((((($Q$5-$M135)))/0.003)*G135*1000)+(((((($Q$5/$O$2)-($M135/$O$2))))/0.003)*G135*1000)*$O$3</f>
        <v>1006995.1135213962</v>
      </c>
      <c r="Y135" s="141">
        <f t="shared" si="15"/>
        <v>585864.98036982864</v>
      </c>
      <c r="Z135" s="141">
        <f t="shared" ref="Z135:Z198" si="20">((((($S$5-$M135)))/0.003)*G135*1000)+(((((($S$5/$O$2)-($M135/$O$2))))/0.003)*G135*1000)*$O$3</f>
        <v>245660.30134487431</v>
      </c>
    </row>
    <row r="136" spans="1:26" ht="19.5" thickBot="1" x14ac:dyDescent="0.35">
      <c r="A136" s="142">
        <v>30</v>
      </c>
      <c r="B136" s="143" t="s">
        <v>531</v>
      </c>
      <c r="C136" s="142">
        <v>2</v>
      </c>
      <c r="D136" s="143" t="s">
        <v>187</v>
      </c>
      <c r="E136" s="142">
        <v>408806</v>
      </c>
      <c r="F136" s="143" t="s">
        <v>534</v>
      </c>
      <c r="G136" s="144">
        <v>8.6991771745688098</v>
      </c>
      <c r="H136" s="145">
        <v>353.66788540578239</v>
      </c>
      <c r="I136" s="146">
        <v>2.2523461594252665</v>
      </c>
      <c r="J136" s="147">
        <v>0.82264087612546788</v>
      </c>
      <c r="K136" s="148">
        <v>19</v>
      </c>
      <c r="M136" s="138">
        <f t="shared" si="14"/>
        <v>2.2523461594252665</v>
      </c>
      <c r="N136" s="149"/>
      <c r="U136" s="141">
        <f t="shared" si="16"/>
        <v>34424380.792776711</v>
      </c>
      <c r="V136" s="141">
        <f t="shared" si="17"/>
        <v>1172715.919790335</v>
      </c>
      <c r="W136" s="141">
        <f t="shared" si="18"/>
        <v>-1111684.0844074755</v>
      </c>
      <c r="X136" s="141">
        <f t="shared" si="19"/>
        <v>-1944272.2506901277</v>
      </c>
      <c r="Y136" s="141">
        <f t="shared" si="15"/>
        <v>-3261768.080726529</v>
      </c>
      <c r="Z136" s="141">
        <f t="shared" si="20"/>
        <v>-4326090.509093184</v>
      </c>
    </row>
    <row r="137" spans="1:26" ht="19.5" thickBot="1" x14ac:dyDescent="0.35">
      <c r="A137" s="142">
        <v>30</v>
      </c>
      <c r="B137" s="143" t="s">
        <v>531</v>
      </c>
      <c r="C137" s="142">
        <v>2</v>
      </c>
      <c r="D137" s="143" t="s">
        <v>187</v>
      </c>
      <c r="E137" s="142">
        <v>508833</v>
      </c>
      <c r="F137" s="143" t="s">
        <v>198</v>
      </c>
      <c r="G137" s="144">
        <v>2.9260884420239259</v>
      </c>
      <c r="H137" s="145">
        <v>73.538847906853718</v>
      </c>
      <c r="I137" s="146">
        <v>0.24844602721480416</v>
      </c>
      <c r="J137" s="147">
        <v>0.98043632434893146</v>
      </c>
      <c r="K137" s="148">
        <v>279</v>
      </c>
      <c r="M137" s="138">
        <f t="shared" si="14"/>
        <v>0.24844602721480416</v>
      </c>
      <c r="N137" s="149"/>
      <c r="U137" s="141">
        <f t="shared" si="16"/>
        <v>13800172.577896245</v>
      </c>
      <c r="V137" s="141">
        <f t="shared" si="17"/>
        <v>2615515.6488090274</v>
      </c>
      <c r="W137" s="141">
        <f t="shared" si="18"/>
        <v>1847126.1430999492</v>
      </c>
      <c r="X137" s="141">
        <f t="shared" si="19"/>
        <v>1567073.6092295467</v>
      </c>
      <c r="Y137" s="141">
        <f t="shared" si="15"/>
        <v>1123915.6825288166</v>
      </c>
      <c r="Z137" s="141">
        <f t="shared" si="20"/>
        <v>765916.12765886111</v>
      </c>
    </row>
    <row r="138" spans="1:26" ht="19.5" thickBot="1" x14ac:dyDescent="0.35">
      <c r="A138" s="142">
        <v>30</v>
      </c>
      <c r="B138" s="143" t="s">
        <v>531</v>
      </c>
      <c r="C138" s="142">
        <v>2</v>
      </c>
      <c r="D138" s="143" t="s">
        <v>187</v>
      </c>
      <c r="E138" s="142">
        <v>508820</v>
      </c>
      <c r="F138" s="143" t="s">
        <v>199</v>
      </c>
      <c r="G138" s="144">
        <v>2.846087604152121</v>
      </c>
      <c r="H138" s="145">
        <v>151.1844653348912</v>
      </c>
      <c r="I138" s="146">
        <v>0.60712425565156414</v>
      </c>
      <c r="J138" s="147">
        <v>0.952192505750175</v>
      </c>
      <c r="K138" s="148">
        <v>216</v>
      </c>
      <c r="M138" s="138">
        <f t="shared" si="14"/>
        <v>0.60712425565156414</v>
      </c>
      <c r="N138" s="149"/>
      <c r="U138" s="141">
        <f t="shared" si="16"/>
        <v>13036190.5071132</v>
      </c>
      <c r="V138" s="141">
        <f t="shared" si="17"/>
        <v>2157328.1373376474</v>
      </c>
      <c r="W138" s="141">
        <f t="shared" si="18"/>
        <v>1409946.8155869832</v>
      </c>
      <c r="X138" s="141">
        <f t="shared" si="19"/>
        <v>1137551.0691998252</v>
      </c>
      <c r="Y138" s="141">
        <f t="shared" si="15"/>
        <v>706509.31948691979</v>
      </c>
      <c r="Z138" s="141">
        <f t="shared" si="20"/>
        <v>358297.66573984333</v>
      </c>
    </row>
    <row r="139" spans="1:26" ht="19.5" thickBot="1" x14ac:dyDescent="0.35">
      <c r="A139" s="142">
        <v>30</v>
      </c>
      <c r="B139" s="143" t="s">
        <v>531</v>
      </c>
      <c r="C139" s="142">
        <v>2</v>
      </c>
      <c r="D139" s="143" t="s">
        <v>187</v>
      </c>
      <c r="E139" s="142">
        <v>408814</v>
      </c>
      <c r="F139" s="143" t="s">
        <v>200</v>
      </c>
      <c r="G139" s="144">
        <v>0.62457229747552401</v>
      </c>
      <c r="H139" s="145">
        <v>250.21821161724571</v>
      </c>
      <c r="I139" s="146">
        <v>2.6397846279190942</v>
      </c>
      <c r="J139" s="147">
        <v>0.79213235635828894</v>
      </c>
      <c r="K139" s="148">
        <v>9</v>
      </c>
      <c r="M139" s="138">
        <f t="shared" si="14"/>
        <v>2.6397846279190942</v>
      </c>
      <c r="N139" s="149"/>
      <c r="U139" s="141">
        <f t="shared" si="16"/>
        <v>2379896.9174516797</v>
      </c>
      <c r="V139" s="141">
        <f t="shared" si="17"/>
        <v>-7463.2095866208711</v>
      </c>
      <c r="W139" s="141">
        <f t="shared" si="18"/>
        <v>-171475.61332820164</v>
      </c>
      <c r="X139" s="141">
        <f t="shared" si="19"/>
        <v>-231252.70413011016</v>
      </c>
      <c r="Y139" s="141">
        <f t="shared" si="15"/>
        <v>-325844.56965571881</v>
      </c>
      <c r="Z139" s="141">
        <f t="shared" si="20"/>
        <v>-402259.41797988123</v>
      </c>
    </row>
    <row r="140" spans="1:26" ht="19.5" thickBot="1" x14ac:dyDescent="0.35">
      <c r="A140" s="142">
        <v>30</v>
      </c>
      <c r="B140" s="143" t="s">
        <v>531</v>
      </c>
      <c r="C140" s="142">
        <v>11</v>
      </c>
      <c r="D140" s="143" t="s">
        <v>201</v>
      </c>
      <c r="E140" s="142">
        <v>551367</v>
      </c>
      <c r="F140" s="143" t="s">
        <v>202</v>
      </c>
      <c r="G140" s="144">
        <v>2.7066750453847233</v>
      </c>
      <c r="H140" s="145">
        <v>201.77099110261824</v>
      </c>
      <c r="I140" s="146">
        <v>0.80256321615114123</v>
      </c>
      <c r="J140" s="147">
        <v>0.93680282745401156</v>
      </c>
      <c r="K140" s="148">
        <v>172</v>
      </c>
      <c r="M140" s="138">
        <f t="shared" si="14"/>
        <v>0.80256321615114123</v>
      </c>
      <c r="N140" s="149"/>
      <c r="U140" s="141">
        <f t="shared" si="16"/>
        <v>12197251.742998175</v>
      </c>
      <c r="V140" s="141">
        <f t="shared" si="17"/>
        <v>1851278.8166944773</v>
      </c>
      <c r="W140" s="141">
        <f t="shared" si="18"/>
        <v>1140507.1700248658</v>
      </c>
      <c r="X140" s="141">
        <f t="shared" si="19"/>
        <v>881454.43807822838</v>
      </c>
      <c r="Y140" s="141">
        <f t="shared" si="15"/>
        <v>471526.80768314848</v>
      </c>
      <c r="Z140" s="141">
        <f t="shared" si="20"/>
        <v>140371.92954996583</v>
      </c>
    </row>
    <row r="141" spans="1:26" ht="19.5" thickBot="1" x14ac:dyDescent="0.35">
      <c r="A141" s="142">
        <v>30</v>
      </c>
      <c r="B141" s="143" t="s">
        <v>531</v>
      </c>
      <c r="C141" s="142">
        <v>11</v>
      </c>
      <c r="D141" s="143" t="s">
        <v>201</v>
      </c>
      <c r="E141" s="142">
        <v>551340</v>
      </c>
      <c r="F141" s="143" t="s">
        <v>203</v>
      </c>
      <c r="G141" s="144">
        <v>2.9894179894179898</v>
      </c>
      <c r="H141" s="145">
        <v>271.36252868336277</v>
      </c>
      <c r="I141" s="146">
        <v>1.3762273557138049</v>
      </c>
      <c r="J141" s="147">
        <v>0.89163012219940108</v>
      </c>
      <c r="K141" s="148">
        <v>84</v>
      </c>
      <c r="M141" s="138">
        <f t="shared" si="14"/>
        <v>1.3762273557138049</v>
      </c>
      <c r="N141" s="149"/>
      <c r="U141" s="141">
        <f t="shared" si="16"/>
        <v>12821801.564677764</v>
      </c>
      <c r="V141" s="141">
        <f t="shared" si="17"/>
        <v>1395074.2829299013</v>
      </c>
      <c r="W141" s="141">
        <f t="shared" si="18"/>
        <v>610054.46662595763</v>
      </c>
      <c r="X141" s="141">
        <f t="shared" si="19"/>
        <v>323940.73516430758</v>
      </c>
      <c r="Y141" s="141">
        <f t="shared" si="15"/>
        <v>-128808.49114274529</v>
      </c>
      <c r="Z141" s="141">
        <f t="shared" si="20"/>
        <v>-494556.25671323203</v>
      </c>
    </row>
    <row r="142" spans="1:26" ht="19.5" thickBot="1" x14ac:dyDescent="0.35">
      <c r="A142" s="142">
        <v>30</v>
      </c>
      <c r="B142" s="143" t="s">
        <v>531</v>
      </c>
      <c r="C142" s="142">
        <v>11</v>
      </c>
      <c r="D142" s="143" t="s">
        <v>201</v>
      </c>
      <c r="E142" s="142">
        <v>551369</v>
      </c>
      <c r="F142" s="143" t="s">
        <v>204</v>
      </c>
      <c r="G142" s="144">
        <v>2.9247757073844021</v>
      </c>
      <c r="H142" s="145">
        <v>196.55223347505907</v>
      </c>
      <c r="I142" s="146">
        <v>0.93765815825670173</v>
      </c>
      <c r="J142" s="147">
        <v>0.9261648886667353</v>
      </c>
      <c r="K142" s="148">
        <v>151</v>
      </c>
      <c r="M142" s="138">
        <f t="shared" si="14"/>
        <v>0.93765815825670173</v>
      </c>
      <c r="N142" s="149"/>
      <c r="U142" s="141">
        <f t="shared" si="16"/>
        <v>13030424.231206574</v>
      </c>
      <c r="V142" s="141">
        <f t="shared" si="17"/>
        <v>1850785.0884484143</v>
      </c>
      <c r="W142" s="141">
        <f t="shared" si="18"/>
        <v>1082740.3062638561</v>
      </c>
      <c r="X142" s="141">
        <f t="shared" si="19"/>
        <v>802813.41270453192</v>
      </c>
      <c r="Y142" s="141">
        <f t="shared" si="15"/>
        <v>359854.30048691999</v>
      </c>
      <c r="Z142" s="141">
        <f t="shared" si="20"/>
        <v>2015.3553954874549</v>
      </c>
    </row>
    <row r="143" spans="1:26" ht="19.5" thickBot="1" x14ac:dyDescent="0.35">
      <c r="A143" s="142">
        <v>30</v>
      </c>
      <c r="B143" s="143" t="s">
        <v>531</v>
      </c>
      <c r="C143" s="142">
        <v>11</v>
      </c>
      <c r="D143" s="143" t="s">
        <v>201</v>
      </c>
      <c r="E143" s="142">
        <v>551365</v>
      </c>
      <c r="F143" s="143" t="s">
        <v>205</v>
      </c>
      <c r="G143" s="144">
        <v>2.668153180775902</v>
      </c>
      <c r="H143" s="145">
        <v>122.77402840744675</v>
      </c>
      <c r="I143" s="146">
        <v>0.94793406779010192</v>
      </c>
      <c r="J143" s="147">
        <v>0.92535572072235361</v>
      </c>
      <c r="K143" s="148">
        <v>146</v>
      </c>
      <c r="M143" s="138">
        <f t="shared" si="14"/>
        <v>0.94793406779010192</v>
      </c>
      <c r="N143" s="149"/>
      <c r="U143" s="141">
        <f t="shared" si="16"/>
        <v>11876737.260541311</v>
      </c>
      <c r="V143" s="141">
        <f t="shared" si="17"/>
        <v>1678009.999724196</v>
      </c>
      <c r="W143" s="141">
        <f t="shared" si="18"/>
        <v>977354.17733407591</v>
      </c>
      <c r="X143" s="141">
        <f t="shared" si="19"/>
        <v>721988.32840784732</v>
      </c>
      <c r="Y143" s="141">
        <f t="shared" si="15"/>
        <v>317894.85852805368</v>
      </c>
      <c r="Z143" s="141">
        <f t="shared" si="20"/>
        <v>-8546.9664435573377</v>
      </c>
    </row>
    <row r="144" spans="1:26" ht="19.5" thickBot="1" x14ac:dyDescent="0.35">
      <c r="A144" s="142">
        <v>30</v>
      </c>
      <c r="B144" s="143" t="s">
        <v>531</v>
      </c>
      <c r="C144" s="142">
        <v>11</v>
      </c>
      <c r="D144" s="143" t="s">
        <v>201</v>
      </c>
      <c r="E144" s="142">
        <v>451370</v>
      </c>
      <c r="F144" s="143" t="s">
        <v>535</v>
      </c>
      <c r="G144" s="144">
        <v>10.628939992255416</v>
      </c>
      <c r="H144" s="145">
        <v>265.90538092785613</v>
      </c>
      <c r="I144" s="146">
        <v>1.8322783604687045</v>
      </c>
      <c r="J144" s="147">
        <v>0.85571876536512637</v>
      </c>
      <c r="K144" s="148">
        <v>39</v>
      </c>
      <c r="M144" s="138">
        <f t="shared" si="14"/>
        <v>1.8322783604687045</v>
      </c>
      <c r="N144" s="149"/>
      <c r="U144" s="141">
        <f t="shared" si="16"/>
        <v>43752078.214613415</v>
      </c>
      <c r="V144" s="141">
        <f t="shared" si="17"/>
        <v>3124103.466521462</v>
      </c>
      <c r="W144" s="141">
        <f t="shared" si="18"/>
        <v>332948.61639276939</v>
      </c>
      <c r="X144" s="141">
        <f t="shared" si="19"/>
        <v>-684334.91285307868</v>
      </c>
      <c r="Y144" s="141">
        <f t="shared" si="15"/>
        <v>-2294094.5299398242</v>
      </c>
      <c r="Z144" s="141">
        <f t="shared" si="20"/>
        <v>-3594518.5811468838</v>
      </c>
    </row>
    <row r="145" spans="1:26" ht="19.5" thickBot="1" x14ac:dyDescent="0.35">
      <c r="A145" s="142">
        <v>30</v>
      </c>
      <c r="B145" s="143" t="s">
        <v>531</v>
      </c>
      <c r="C145" s="142">
        <v>11</v>
      </c>
      <c r="D145" s="143" t="s">
        <v>201</v>
      </c>
      <c r="E145" s="142">
        <v>551314</v>
      </c>
      <c r="F145" s="143" t="s">
        <v>207</v>
      </c>
      <c r="G145" s="144">
        <v>2.3655582742539263</v>
      </c>
      <c r="H145" s="145">
        <v>50.997228389162252</v>
      </c>
      <c r="I145" s="146">
        <v>0.18394852981469637</v>
      </c>
      <c r="J145" s="147">
        <v>0.98551512610554159</v>
      </c>
      <c r="K145" s="148">
        <v>289</v>
      </c>
      <c r="M145" s="138">
        <f t="shared" si="14"/>
        <v>0.18394852981469637</v>
      </c>
      <c r="N145" s="149"/>
      <c r="U145" s="141">
        <f t="shared" si="16"/>
        <v>11214363.295910083</v>
      </c>
      <c r="V145" s="141">
        <f t="shared" si="17"/>
        <v>2172272.3723038016</v>
      </c>
      <c r="W145" s="141">
        <f t="shared" si="18"/>
        <v>1551077.8359477026</v>
      </c>
      <c r="X145" s="141">
        <f t="shared" si="19"/>
        <v>1324672.9948607117</v>
      </c>
      <c r="Y145" s="141">
        <f t="shared" si="15"/>
        <v>966407.71304201684</v>
      </c>
      <c r="Z145" s="141">
        <f t="shared" si="20"/>
        <v>676987.61314370984</v>
      </c>
    </row>
    <row r="146" spans="1:26" ht="19.5" thickBot="1" x14ac:dyDescent="0.35">
      <c r="A146" s="142">
        <v>30</v>
      </c>
      <c r="B146" s="143" t="s">
        <v>531</v>
      </c>
      <c r="C146" s="142">
        <v>11</v>
      </c>
      <c r="D146" s="143" t="s">
        <v>201</v>
      </c>
      <c r="E146" s="142">
        <v>451361</v>
      </c>
      <c r="F146" s="143" t="s">
        <v>208</v>
      </c>
      <c r="G146" s="144">
        <v>1.8899021605893966</v>
      </c>
      <c r="H146" s="145">
        <v>128.35432577332381</v>
      </c>
      <c r="I146" s="146">
        <v>0.38542530295474731</v>
      </c>
      <c r="J146" s="147">
        <v>0.96965000527779743</v>
      </c>
      <c r="K146" s="148">
        <v>256</v>
      </c>
      <c r="M146" s="138">
        <f t="shared" si="14"/>
        <v>0.38542530295474731</v>
      </c>
      <c r="N146" s="149"/>
      <c r="U146" s="141">
        <f t="shared" si="16"/>
        <v>8815196.575888399</v>
      </c>
      <c r="V146" s="141">
        <f t="shared" si="17"/>
        <v>1591249.7559104052</v>
      </c>
      <c r="W146" s="141">
        <f t="shared" si="18"/>
        <v>1094962.3005628982</v>
      </c>
      <c r="X146" s="141">
        <f t="shared" si="19"/>
        <v>914081.95489770686</v>
      </c>
      <c r="Y146" s="141">
        <f t="shared" si="15"/>
        <v>627855.0893232933</v>
      </c>
      <c r="Z146" s="141">
        <f t="shared" si="20"/>
        <v>396630.3175351962</v>
      </c>
    </row>
    <row r="147" spans="1:26" ht="19.5" thickBot="1" x14ac:dyDescent="0.35">
      <c r="A147" s="142">
        <v>30</v>
      </c>
      <c r="B147" s="143" t="s">
        <v>531</v>
      </c>
      <c r="C147" s="142">
        <v>11</v>
      </c>
      <c r="D147" s="143" t="s">
        <v>201</v>
      </c>
      <c r="E147" s="142">
        <v>451350</v>
      </c>
      <c r="F147" s="143" t="s">
        <v>209</v>
      </c>
      <c r="G147" s="144">
        <v>8.0221390946569269</v>
      </c>
      <c r="H147" s="145">
        <v>188.37286340578288</v>
      </c>
      <c r="I147" s="146">
        <v>0.94272576135423192</v>
      </c>
      <c r="J147" s="147">
        <v>0.92576584447818511</v>
      </c>
      <c r="K147" s="148">
        <v>147</v>
      </c>
      <c r="M147" s="138">
        <f t="shared" si="14"/>
        <v>0.94272576135423192</v>
      </c>
      <c r="N147" s="149"/>
      <c r="U147" s="141">
        <f t="shared" si="16"/>
        <v>35724735.110554233</v>
      </c>
      <c r="V147" s="141">
        <f t="shared" si="17"/>
        <v>5060975.1494592503</v>
      </c>
      <c r="W147" s="141">
        <f t="shared" si="18"/>
        <v>2954365.0398176964</v>
      </c>
      <c r="X147" s="141">
        <f t="shared" si="19"/>
        <v>2186575.4035736397</v>
      </c>
      <c r="Y147" s="141">
        <f t="shared" si="15"/>
        <v>971617.41466403147</v>
      </c>
      <c r="Z147" s="141">
        <f t="shared" si="20"/>
        <v>-9871.1089725222464</v>
      </c>
    </row>
    <row r="148" spans="1:26" ht="19.5" thickBot="1" x14ac:dyDescent="0.35">
      <c r="A148" s="142">
        <v>30</v>
      </c>
      <c r="B148" s="143" t="s">
        <v>531</v>
      </c>
      <c r="C148" s="142">
        <v>11</v>
      </c>
      <c r="D148" s="143" t="s">
        <v>201</v>
      </c>
      <c r="E148" s="142">
        <v>551310</v>
      </c>
      <c r="F148" s="143" t="s">
        <v>210</v>
      </c>
      <c r="G148" s="144">
        <v>3.6958525562848132</v>
      </c>
      <c r="H148" s="145">
        <v>141.09292307488221</v>
      </c>
      <c r="I148" s="146">
        <v>0.68538442556440371</v>
      </c>
      <c r="J148" s="147">
        <v>0.94602997380013265</v>
      </c>
      <c r="K148" s="148">
        <v>204</v>
      </c>
      <c r="M148" s="138">
        <f t="shared" si="14"/>
        <v>0.68538442556440371</v>
      </c>
      <c r="N148" s="149"/>
      <c r="U148" s="141">
        <f t="shared" si="16"/>
        <v>16818885.32192602</v>
      </c>
      <c r="V148" s="141">
        <f t="shared" si="17"/>
        <v>2691888.2329577697</v>
      </c>
      <c r="W148" s="141">
        <f t="shared" si="18"/>
        <v>1721359.0178759999</v>
      </c>
      <c r="X148" s="141">
        <f t="shared" si="19"/>
        <v>1367633.2526755973</v>
      </c>
      <c r="Y148" s="141">
        <f t="shared" si="15"/>
        <v>807894.06888595724</v>
      </c>
      <c r="Z148" s="141">
        <f t="shared" si="20"/>
        <v>355715.81240790815</v>
      </c>
    </row>
    <row r="149" spans="1:26" ht="19.5" thickBot="1" x14ac:dyDescent="0.35">
      <c r="A149" s="142">
        <v>30</v>
      </c>
      <c r="B149" s="143" t="s">
        <v>531</v>
      </c>
      <c r="C149" s="142">
        <v>11</v>
      </c>
      <c r="D149" s="143" t="s">
        <v>201</v>
      </c>
      <c r="E149" s="142">
        <v>551309</v>
      </c>
      <c r="F149" s="143" t="s">
        <v>211</v>
      </c>
      <c r="G149" s="144">
        <v>2.8061909416748136</v>
      </c>
      <c r="H149" s="145">
        <v>124.36107387322632</v>
      </c>
      <c r="I149" s="146">
        <v>0.5586161453662245</v>
      </c>
      <c r="J149" s="147">
        <v>0.95601223652513379</v>
      </c>
      <c r="K149" s="148">
        <v>226</v>
      </c>
      <c r="M149" s="138">
        <f t="shared" si="14"/>
        <v>0.5586161453662245</v>
      </c>
      <c r="N149" s="149"/>
      <c r="U149" s="141">
        <f t="shared" si="16"/>
        <v>12905009.992877249</v>
      </c>
      <c r="V149" s="141">
        <f t="shared" si="17"/>
        <v>2178648.3049046081</v>
      </c>
      <c r="W149" s="141">
        <f t="shared" si="18"/>
        <v>1441743.8287339006</v>
      </c>
      <c r="X149" s="141">
        <f t="shared" si="19"/>
        <v>1173166.5456779511</v>
      </c>
      <c r="Y149" s="141">
        <f t="shared" si="15"/>
        <v>748167.17047833698</v>
      </c>
      <c r="Z149" s="141">
        <f t="shared" si="20"/>
        <v>404836.77295118337</v>
      </c>
    </row>
    <row r="150" spans="1:26" ht="19.5" thickBot="1" x14ac:dyDescent="0.35">
      <c r="A150" s="142">
        <v>30</v>
      </c>
      <c r="B150" s="143" t="s">
        <v>531</v>
      </c>
      <c r="C150" s="142">
        <v>11</v>
      </c>
      <c r="D150" s="143" t="s">
        <v>201</v>
      </c>
      <c r="E150" s="142">
        <v>551305</v>
      </c>
      <c r="F150" s="143" t="s">
        <v>212</v>
      </c>
      <c r="G150" s="144">
        <v>3.7250110427726142</v>
      </c>
      <c r="H150" s="145">
        <v>66.319152717497076</v>
      </c>
      <c r="I150" s="146">
        <v>0.20050926831724647</v>
      </c>
      <c r="J150" s="147">
        <v>0.98421106453434992</v>
      </c>
      <c r="K150" s="148">
        <v>287</v>
      </c>
      <c r="M150" s="138">
        <f t="shared" si="14"/>
        <v>0.20050926831724647</v>
      </c>
      <c r="N150" s="149"/>
      <c r="U150" s="141">
        <f t="shared" si="16"/>
        <v>17635731.70890756</v>
      </c>
      <c r="V150" s="141">
        <f t="shared" si="17"/>
        <v>3397279.4556819014</v>
      </c>
      <c r="W150" s="141">
        <f t="shared" si="18"/>
        <v>2419093.2351939352</v>
      </c>
      <c r="X150" s="141">
        <f t="shared" si="19"/>
        <v>2062576.7450422775</v>
      </c>
      <c r="Y150" s="141">
        <f t="shared" si="15"/>
        <v>1498421.490216614</v>
      </c>
      <c r="Z150" s="141">
        <f t="shared" si="20"/>
        <v>1042675.7663191269</v>
      </c>
    </row>
    <row r="151" spans="1:26" ht="19.5" thickBot="1" x14ac:dyDescent="0.35">
      <c r="A151" s="142">
        <v>30</v>
      </c>
      <c r="B151" s="143" t="s">
        <v>531</v>
      </c>
      <c r="C151" s="142">
        <v>11</v>
      </c>
      <c r="D151" s="143" t="s">
        <v>201</v>
      </c>
      <c r="E151" s="142">
        <v>451301</v>
      </c>
      <c r="F151" s="143" t="s">
        <v>213</v>
      </c>
      <c r="G151" s="144">
        <v>7.9314378250547959</v>
      </c>
      <c r="H151" s="145">
        <v>234.83588922631844</v>
      </c>
      <c r="I151" s="146">
        <v>1.4728038715879734</v>
      </c>
      <c r="J151" s="147">
        <v>0.88402528482987874</v>
      </c>
      <c r="K151" s="148">
        <v>72</v>
      </c>
      <c r="M151" s="138">
        <f t="shared" si="14"/>
        <v>1.4728038715879734</v>
      </c>
      <c r="N151" s="149"/>
      <c r="U151" s="141">
        <f t="shared" si="16"/>
        <v>33728287.152319446</v>
      </c>
      <c r="V151" s="141">
        <f t="shared" si="17"/>
        <v>3411222.9947288837</v>
      </c>
      <c r="W151" s="141">
        <f t="shared" si="18"/>
        <v>1328430.9975940592</v>
      </c>
      <c r="X151" s="141">
        <f t="shared" si="19"/>
        <v>569322.27475389466</v>
      </c>
      <c r="Y151" s="141">
        <f t="shared" si="15"/>
        <v>-631898.95008230687</v>
      </c>
      <c r="Z151" s="141">
        <f t="shared" si="20"/>
        <v>-1602290.4017105915</v>
      </c>
    </row>
    <row r="152" spans="1:26" ht="19.5" thickBot="1" x14ac:dyDescent="0.35">
      <c r="A152" s="142">
        <v>30</v>
      </c>
      <c r="B152" s="143" t="s">
        <v>531</v>
      </c>
      <c r="C152" s="142">
        <v>11</v>
      </c>
      <c r="D152" s="143" t="s">
        <v>201</v>
      </c>
      <c r="E152" s="142">
        <v>551341</v>
      </c>
      <c r="F152" s="143" t="s">
        <v>214</v>
      </c>
      <c r="G152" s="144">
        <v>4.0442520442520431</v>
      </c>
      <c r="H152" s="145">
        <v>100.01711190945532</v>
      </c>
      <c r="I152" s="146">
        <v>0.35082974363987884</v>
      </c>
      <c r="J152" s="147">
        <v>0.97237420380490125</v>
      </c>
      <c r="K152" s="148">
        <v>264</v>
      </c>
      <c r="M152" s="138">
        <f t="shared" si="14"/>
        <v>0.35082974363987884</v>
      </c>
      <c r="N152" s="149"/>
      <c r="U152" s="141">
        <f t="shared" si="16"/>
        <v>18916871.696880654</v>
      </c>
      <c r="V152" s="141">
        <f t="shared" si="17"/>
        <v>3458155.2069472708</v>
      </c>
      <c r="W152" s="141">
        <f t="shared" si="18"/>
        <v>2396136.4433940034</v>
      </c>
      <c r="X152" s="141">
        <f t="shared" si="19"/>
        <v>2009065.7669451614</v>
      </c>
      <c r="Y152" s="141">
        <f t="shared" si="15"/>
        <v>1396561.2625542204</v>
      </c>
      <c r="Z152" s="141">
        <f t="shared" si="20"/>
        <v>901757.20576956216</v>
      </c>
    </row>
    <row r="153" spans="1:26" ht="19.5" thickBot="1" x14ac:dyDescent="0.35">
      <c r="A153" s="142">
        <v>30</v>
      </c>
      <c r="B153" s="143" t="s">
        <v>531</v>
      </c>
      <c r="C153" s="142">
        <v>11</v>
      </c>
      <c r="D153" s="143" t="s">
        <v>201</v>
      </c>
      <c r="E153" s="142">
        <v>551306</v>
      </c>
      <c r="F153" s="143" t="s">
        <v>216</v>
      </c>
      <c r="G153" s="144">
        <v>4.911395056556346</v>
      </c>
      <c r="H153" s="145">
        <v>347.78426738647426</v>
      </c>
      <c r="I153" s="146">
        <v>3.1409724283952061</v>
      </c>
      <c r="J153" s="147">
        <v>0.75266674010872914</v>
      </c>
      <c r="K153" s="148">
        <v>5</v>
      </c>
      <c r="M153" s="138">
        <f t="shared" si="14"/>
        <v>3.1409724283952061</v>
      </c>
      <c r="N153" s="149"/>
      <c r="U153" s="141">
        <f t="shared" si="16"/>
        <v>17782190.957763895</v>
      </c>
      <c r="V153" s="141">
        <f t="shared" si="17"/>
        <v>-991086.00880718813</v>
      </c>
      <c r="W153" s="141">
        <f t="shared" si="18"/>
        <v>-2280816.1364580877</v>
      </c>
      <c r="X153" s="141">
        <f t="shared" si="19"/>
        <v>-2750880.0657205265</v>
      </c>
      <c r="Y153" s="141">
        <f t="shared" si="15"/>
        <v>-3494713.9222823814</v>
      </c>
      <c r="Z153" s="141">
        <f t="shared" si="20"/>
        <v>-4095610.7437132131</v>
      </c>
    </row>
    <row r="154" spans="1:26" ht="19.5" thickBot="1" x14ac:dyDescent="0.35">
      <c r="A154" s="142">
        <v>30</v>
      </c>
      <c r="B154" s="143" t="s">
        <v>531</v>
      </c>
      <c r="C154" s="142">
        <v>11</v>
      </c>
      <c r="D154" s="143" t="s">
        <v>201</v>
      </c>
      <c r="E154" s="142">
        <v>551349</v>
      </c>
      <c r="F154" s="143" t="s">
        <v>217</v>
      </c>
      <c r="G154" s="144">
        <v>2.8078154285050836</v>
      </c>
      <c r="H154" s="145">
        <v>60.484395119382576</v>
      </c>
      <c r="I154" s="146">
        <v>0.21424324308961992</v>
      </c>
      <c r="J154" s="147">
        <v>0.98312959412059941</v>
      </c>
      <c r="K154" s="148">
        <v>285</v>
      </c>
      <c r="M154" s="138">
        <f t="shared" si="14"/>
        <v>0.21424324308961992</v>
      </c>
      <c r="N154" s="149"/>
      <c r="U154" s="141">
        <f t="shared" si="16"/>
        <v>13278744.089712698</v>
      </c>
      <c r="V154" s="141">
        <f t="shared" si="17"/>
        <v>2546172.9763442115</v>
      </c>
      <c r="W154" s="141">
        <f t="shared" si="18"/>
        <v>1808841.9106642413</v>
      </c>
      <c r="X154" s="141">
        <f t="shared" si="19"/>
        <v>1540109.1498563131</v>
      </c>
      <c r="Y154" s="141">
        <f t="shared" si="15"/>
        <v>1114863.7451090901</v>
      </c>
      <c r="Z154" s="141">
        <f t="shared" si="20"/>
        <v>771334.59570766753</v>
      </c>
    </row>
    <row r="155" spans="1:26" ht="19.5" thickBot="1" x14ac:dyDescent="0.35">
      <c r="A155" s="142">
        <v>30</v>
      </c>
      <c r="B155" s="143" t="s">
        <v>531</v>
      </c>
      <c r="C155" s="142">
        <v>11</v>
      </c>
      <c r="D155" s="143" t="s">
        <v>201</v>
      </c>
      <c r="E155" s="142">
        <v>451308</v>
      </c>
      <c r="F155" s="143" t="s">
        <v>218</v>
      </c>
      <c r="G155" s="144">
        <v>8.1451756454500952</v>
      </c>
      <c r="H155" s="145">
        <v>217.57122610240185</v>
      </c>
      <c r="I155" s="146">
        <v>1.1087080879642561</v>
      </c>
      <c r="J155" s="147">
        <v>0.91269570430322988</v>
      </c>
      <c r="K155" s="148">
        <v>118</v>
      </c>
      <c r="M155" s="138">
        <f t="shared" si="14"/>
        <v>1.1087080879642561</v>
      </c>
      <c r="N155" s="149"/>
      <c r="U155" s="141">
        <f t="shared" si="16"/>
        <v>35760545.597747043</v>
      </c>
      <c r="V155" s="141">
        <f t="shared" si="17"/>
        <v>4626491.71436447</v>
      </c>
      <c r="W155" s="141">
        <f t="shared" si="18"/>
        <v>2487572.2619531122</v>
      </c>
      <c r="X155" s="141">
        <f t="shared" si="19"/>
        <v>1708006.9400143104</v>
      </c>
      <c r="Y155" s="141">
        <f t="shared" si="15"/>
        <v>474414.98844833224</v>
      </c>
      <c r="Z155" s="141">
        <f t="shared" si="20"/>
        <v>-522126.74745074031</v>
      </c>
    </row>
    <row r="156" spans="1:26" ht="19.5" thickBot="1" x14ac:dyDescent="0.35">
      <c r="A156" s="142">
        <v>30</v>
      </c>
      <c r="B156" s="143" t="s">
        <v>531</v>
      </c>
      <c r="C156" s="142">
        <v>11</v>
      </c>
      <c r="D156" s="143" t="s">
        <v>201</v>
      </c>
      <c r="E156" s="142">
        <v>551307</v>
      </c>
      <c r="F156" s="143" t="s">
        <v>215</v>
      </c>
      <c r="G156" s="144">
        <v>2.8994516251467903</v>
      </c>
      <c r="H156" s="145">
        <v>124.53991094323528</v>
      </c>
      <c r="I156" s="146">
        <v>0.50744412453010401</v>
      </c>
      <c r="J156" s="147">
        <v>0.96004173471945198</v>
      </c>
      <c r="K156" s="148">
        <v>235</v>
      </c>
      <c r="M156" s="138">
        <f t="shared" si="14"/>
        <v>0.50744412453010401</v>
      </c>
      <c r="N156" s="149"/>
      <c r="U156" s="141">
        <f t="shared" si="16"/>
        <v>13390094.930622812</v>
      </c>
      <c r="V156" s="141">
        <f t="shared" si="17"/>
        <v>2307254.3561525503</v>
      </c>
      <c r="W156" s="141">
        <f t="shared" si="18"/>
        <v>1545859.6665467506</v>
      </c>
      <c r="X156" s="141">
        <f t="shared" si="19"/>
        <v>1268356.5115514186</v>
      </c>
      <c r="Y156" s="141">
        <f t="shared" si="15"/>
        <v>829232.74744524527</v>
      </c>
      <c r="Z156" s="141">
        <f t="shared" si="20"/>
        <v>474492.14006580773</v>
      </c>
    </row>
    <row r="157" spans="1:26" ht="19.5" thickBot="1" x14ac:dyDescent="0.35">
      <c r="A157" s="142">
        <v>30</v>
      </c>
      <c r="B157" s="143" t="s">
        <v>531</v>
      </c>
      <c r="C157" s="142">
        <v>11</v>
      </c>
      <c r="D157" s="143" t="s">
        <v>201</v>
      </c>
      <c r="E157" s="142">
        <v>451336</v>
      </c>
      <c r="F157" s="143" t="s">
        <v>219</v>
      </c>
      <c r="G157" s="144">
        <v>4.9912352884692046</v>
      </c>
      <c r="H157" s="145">
        <v>208.75964415205277</v>
      </c>
      <c r="I157" s="146">
        <v>1.0076861132392259</v>
      </c>
      <c r="J157" s="147">
        <v>0.92065059563035978</v>
      </c>
      <c r="K157" s="148">
        <v>134</v>
      </c>
      <c r="M157" s="138">
        <f t="shared" si="14"/>
        <v>1.0076861132392259</v>
      </c>
      <c r="N157" s="149"/>
      <c r="U157" s="141">
        <f t="shared" si="16"/>
        <v>22104492.955898996</v>
      </c>
      <c r="V157" s="141">
        <f t="shared" si="17"/>
        <v>3026035.3289421201</v>
      </c>
      <c r="W157" s="141">
        <f t="shared" si="18"/>
        <v>1715339.192385219</v>
      </c>
      <c r="X157" s="141">
        <f t="shared" si="19"/>
        <v>1237633.8470497481</v>
      </c>
      <c r="Y157" s="141">
        <f t="shared" si="15"/>
        <v>481708.13737311348</v>
      </c>
      <c r="Z157" s="141">
        <f t="shared" si="20"/>
        <v>-128956.93544582282</v>
      </c>
    </row>
    <row r="158" spans="1:26" ht="19.5" thickBot="1" x14ac:dyDescent="0.35">
      <c r="A158" s="142">
        <v>110</v>
      </c>
      <c r="B158" s="143" t="s">
        <v>220</v>
      </c>
      <c r="C158" s="142">
        <v>26</v>
      </c>
      <c r="D158" s="143" t="s">
        <v>221</v>
      </c>
      <c r="E158" s="142">
        <v>554116</v>
      </c>
      <c r="F158" s="143" t="s">
        <v>222</v>
      </c>
      <c r="G158" s="144">
        <v>2.502116364877657</v>
      </c>
      <c r="H158" s="145">
        <v>163.37218301994818</v>
      </c>
      <c r="I158" s="146">
        <v>0.94931689886299198</v>
      </c>
      <c r="J158" s="147">
        <v>0.92524683084033976</v>
      </c>
      <c r="K158" s="148">
        <v>144</v>
      </c>
      <c r="M158" s="138">
        <f t="shared" si="14"/>
        <v>0.94931689886299198</v>
      </c>
      <c r="N158" s="149"/>
      <c r="U158" s="141">
        <f t="shared" si="16"/>
        <v>11136347.782806024</v>
      </c>
      <c r="V158" s="141">
        <f t="shared" si="17"/>
        <v>1572278.3118045118</v>
      </c>
      <c r="W158" s="141">
        <f t="shared" si="18"/>
        <v>915223.68241500901</v>
      </c>
      <c r="X158" s="141">
        <f t="shared" si="19"/>
        <v>675749.02472560946</v>
      </c>
      <c r="Y158" s="141">
        <f t="shared" si="15"/>
        <v>296801.93457675888</v>
      </c>
      <c r="Z158" s="141">
        <f t="shared" si="20"/>
        <v>-9325.7039437816584</v>
      </c>
    </row>
    <row r="159" spans="1:26" ht="19.5" thickBot="1" x14ac:dyDescent="0.35">
      <c r="A159" s="142">
        <v>110</v>
      </c>
      <c r="B159" s="143" t="s">
        <v>220</v>
      </c>
      <c r="C159" s="142">
        <v>26</v>
      </c>
      <c r="D159" s="143" t="s">
        <v>221</v>
      </c>
      <c r="E159" s="142">
        <v>454161</v>
      </c>
      <c r="F159" s="143" t="s">
        <v>223</v>
      </c>
      <c r="G159" s="144">
        <v>1.3746450681934557</v>
      </c>
      <c r="H159" s="145">
        <v>254.33505098117254</v>
      </c>
      <c r="I159" s="146">
        <v>1.4886732203457829</v>
      </c>
      <c r="J159" s="147">
        <v>0.88277566616874781</v>
      </c>
      <c r="K159" s="148">
        <v>68</v>
      </c>
      <c r="M159" s="138">
        <f t="shared" si="14"/>
        <v>1.4886732203457829</v>
      </c>
      <c r="N159" s="149"/>
      <c r="U159" s="141">
        <f t="shared" si="16"/>
        <v>5837388.6217436921</v>
      </c>
      <c r="V159" s="141">
        <f t="shared" si="17"/>
        <v>582956.36802448391</v>
      </c>
      <c r="W159" s="141">
        <f t="shared" si="18"/>
        <v>221975.19284715678</v>
      </c>
      <c r="X159" s="141">
        <f t="shared" si="19"/>
        <v>90409.506386309324</v>
      </c>
      <c r="Y159" s="141">
        <f t="shared" si="15"/>
        <v>-117781.34991898845</v>
      </c>
      <c r="Z159" s="141">
        <f t="shared" si="20"/>
        <v>-285965.7135389219</v>
      </c>
    </row>
    <row r="160" spans="1:26" ht="19.5" thickBot="1" x14ac:dyDescent="0.35">
      <c r="A160" s="142">
        <v>110</v>
      </c>
      <c r="B160" s="143" t="s">
        <v>220</v>
      </c>
      <c r="C160" s="142">
        <v>26</v>
      </c>
      <c r="D160" s="143" t="s">
        <v>221</v>
      </c>
      <c r="E160" s="142">
        <v>554166</v>
      </c>
      <c r="F160" s="143" t="s">
        <v>224</v>
      </c>
      <c r="G160" s="144">
        <v>2.7294855338704069</v>
      </c>
      <c r="H160" s="145">
        <v>115.2278279907281</v>
      </c>
      <c r="I160" s="146">
        <v>0.65452358205640582</v>
      </c>
      <c r="J160" s="147">
        <v>0.94846008523913294</v>
      </c>
      <c r="K160" s="148">
        <v>208</v>
      </c>
      <c r="M160" s="138">
        <f t="shared" si="14"/>
        <v>0.65452358205640582</v>
      </c>
      <c r="N160" s="149"/>
      <c r="U160" s="141">
        <f t="shared" si="16"/>
        <v>12453101.603192993</v>
      </c>
      <c r="V160" s="141">
        <f t="shared" si="17"/>
        <v>2019938.0491443595</v>
      </c>
      <c r="W160" s="141">
        <f t="shared" si="18"/>
        <v>1303176.3784820442</v>
      </c>
      <c r="X160" s="141">
        <f t="shared" si="19"/>
        <v>1041940.4811165178</v>
      </c>
      <c r="Y160" s="141">
        <f t="shared" si="15"/>
        <v>628558.18795760337</v>
      </c>
      <c r="Z160" s="141">
        <f t="shared" si="20"/>
        <v>294612.50398035935</v>
      </c>
    </row>
    <row r="161" spans="1:26" ht="19.5" thickBot="1" x14ac:dyDescent="0.35">
      <c r="A161" s="142">
        <v>110</v>
      </c>
      <c r="B161" s="143" t="s">
        <v>220</v>
      </c>
      <c r="C161" s="142">
        <v>26</v>
      </c>
      <c r="D161" s="143" t="s">
        <v>221</v>
      </c>
      <c r="E161" s="142">
        <v>454171</v>
      </c>
      <c r="F161" s="143" t="s">
        <v>225</v>
      </c>
      <c r="G161" s="144">
        <v>1.1783439328771577</v>
      </c>
      <c r="H161" s="145">
        <v>243.9278545765336</v>
      </c>
      <c r="I161" s="146">
        <v>1.7820169000852379</v>
      </c>
      <c r="J161" s="147">
        <v>0.85967656223438771</v>
      </c>
      <c r="K161" s="148">
        <v>44</v>
      </c>
      <c r="M161" s="138">
        <f t="shared" si="14"/>
        <v>1.7820169000852379</v>
      </c>
      <c r="N161" s="149"/>
      <c r="U161" s="141">
        <f t="shared" si="16"/>
        <v>4872870.0780819589</v>
      </c>
      <c r="V161" s="141">
        <f t="shared" si="17"/>
        <v>368777.7053352088</v>
      </c>
      <c r="W161" s="141">
        <f t="shared" si="18"/>
        <v>59345.119793637918</v>
      </c>
      <c r="X161" s="141">
        <f t="shared" si="19"/>
        <v>-53432.812490872675</v>
      </c>
      <c r="Y161" s="141">
        <f t="shared" si="15"/>
        <v>-231893.73893950527</v>
      </c>
      <c r="Z161" s="141">
        <f t="shared" si="20"/>
        <v>-376061.15281369106</v>
      </c>
    </row>
    <row r="162" spans="1:26" ht="19.5" thickBot="1" x14ac:dyDescent="0.35">
      <c r="A162" s="142">
        <v>110</v>
      </c>
      <c r="B162" s="143" t="s">
        <v>220</v>
      </c>
      <c r="C162" s="142">
        <v>26</v>
      </c>
      <c r="D162" s="143" t="s">
        <v>221</v>
      </c>
      <c r="E162" s="142">
        <v>554266</v>
      </c>
      <c r="F162" s="143" t="s">
        <v>226</v>
      </c>
      <c r="G162" s="144">
        <v>3.1786816063864465</v>
      </c>
      <c r="H162" s="145">
        <v>220.99304469143419</v>
      </c>
      <c r="I162" s="146">
        <v>1.5669022870655123</v>
      </c>
      <c r="J162" s="147">
        <v>0.87661558341376233</v>
      </c>
      <c r="K162" s="148">
        <v>59</v>
      </c>
      <c r="M162" s="138">
        <f t="shared" si="14"/>
        <v>1.5669022870655123</v>
      </c>
      <c r="N162" s="149"/>
      <c r="U162" s="141">
        <f t="shared" si="16"/>
        <v>13403983.707796302</v>
      </c>
      <c r="V162" s="141">
        <f t="shared" si="17"/>
        <v>1253816.6986127989</v>
      </c>
      <c r="W162" s="141">
        <f t="shared" si="18"/>
        <v>419096.34181852237</v>
      </c>
      <c r="X162" s="141">
        <f t="shared" si="19"/>
        <v>114868.40890613555</v>
      </c>
      <c r="Y162" s="141">
        <f t="shared" si="15"/>
        <v>-366544.91069729364</v>
      </c>
      <c r="Z162" s="141">
        <f t="shared" si="20"/>
        <v>-755448.6033596216</v>
      </c>
    </row>
    <row r="163" spans="1:26" ht="19.5" thickBot="1" x14ac:dyDescent="0.35">
      <c r="A163" s="142">
        <v>110</v>
      </c>
      <c r="B163" s="143" t="s">
        <v>220</v>
      </c>
      <c r="C163" s="142">
        <v>26</v>
      </c>
      <c r="D163" s="143" t="s">
        <v>221</v>
      </c>
      <c r="E163" s="142">
        <v>554296</v>
      </c>
      <c r="F163" s="143" t="s">
        <v>227</v>
      </c>
      <c r="G163" s="144">
        <v>3.7074923414334346</v>
      </c>
      <c r="H163" s="145">
        <v>134.92529994184514</v>
      </c>
      <c r="I163" s="146">
        <v>0.8348270376745619</v>
      </c>
      <c r="J163" s="147">
        <v>0.93426223967877431</v>
      </c>
      <c r="K163" s="148">
        <v>168</v>
      </c>
      <c r="M163" s="138">
        <f t="shared" si="14"/>
        <v>0.8348270376745619</v>
      </c>
      <c r="N163" s="149"/>
      <c r="U163" s="141">
        <f t="shared" si="16"/>
        <v>16661984.820248852</v>
      </c>
      <c r="V163" s="141">
        <f t="shared" si="17"/>
        <v>2490495.9101360692</v>
      </c>
      <c r="W163" s="141">
        <f t="shared" si="18"/>
        <v>1516910.0927218273</v>
      </c>
      <c r="X163" s="141">
        <f t="shared" si="19"/>
        <v>1162070.2971736877</v>
      </c>
      <c r="Y163" s="141">
        <f t="shared" si="15"/>
        <v>600568.26063509355</v>
      </c>
      <c r="Z163" s="141">
        <f t="shared" si="20"/>
        <v>146965.9057456149</v>
      </c>
    </row>
    <row r="164" spans="1:26" ht="19.5" thickBot="1" x14ac:dyDescent="0.35">
      <c r="A164" s="142">
        <v>110</v>
      </c>
      <c r="B164" s="143" t="s">
        <v>220</v>
      </c>
      <c r="C164" s="142">
        <v>26</v>
      </c>
      <c r="D164" s="143" t="s">
        <v>221</v>
      </c>
      <c r="E164" s="142">
        <v>554356</v>
      </c>
      <c r="F164" s="143" t="s">
        <v>228</v>
      </c>
      <c r="G164" s="144">
        <v>3.5906872100420477</v>
      </c>
      <c r="H164" s="145">
        <v>257.04928335130359</v>
      </c>
      <c r="I164" s="146">
        <v>1.9596281103409179</v>
      </c>
      <c r="J164" s="147">
        <v>0.84569071529455464</v>
      </c>
      <c r="K164" s="148">
        <v>28</v>
      </c>
      <c r="M164" s="138">
        <f t="shared" si="14"/>
        <v>1.9596281103409179</v>
      </c>
      <c r="N164" s="149"/>
      <c r="U164" s="141">
        <f t="shared" si="16"/>
        <v>14607194.530803902</v>
      </c>
      <c r="V164" s="141">
        <f t="shared" si="17"/>
        <v>882180.61557062645</v>
      </c>
      <c r="W164" s="141">
        <f t="shared" si="18"/>
        <v>-60732.226999412727</v>
      </c>
      <c r="X164" s="141">
        <f t="shared" si="19"/>
        <v>-404392.73878243251</v>
      </c>
      <c r="Y164" s="141">
        <f t="shared" si="15"/>
        <v>-948204.56503483001</v>
      </c>
      <c r="Z164" s="141">
        <f t="shared" si="20"/>
        <v>-1387516.1061388853</v>
      </c>
    </row>
    <row r="165" spans="1:26" ht="19.5" thickBot="1" x14ac:dyDescent="0.35">
      <c r="A165" s="142">
        <v>110</v>
      </c>
      <c r="B165" s="143" t="s">
        <v>220</v>
      </c>
      <c r="C165" s="142">
        <v>26</v>
      </c>
      <c r="D165" s="143" t="s">
        <v>221</v>
      </c>
      <c r="E165" s="142">
        <v>454426</v>
      </c>
      <c r="F165" s="143" t="s">
        <v>229</v>
      </c>
      <c r="G165" s="144">
        <v>8.270629616811938</v>
      </c>
      <c r="H165" s="145">
        <v>305.72119849862867</v>
      </c>
      <c r="I165" s="146">
        <v>2.80098968413601</v>
      </c>
      <c r="J165" s="147">
        <v>0.77943839836469497</v>
      </c>
      <c r="K165" s="148">
        <v>8</v>
      </c>
      <c r="M165" s="138">
        <f t="shared" si="14"/>
        <v>2.80098968413601</v>
      </c>
      <c r="N165" s="149"/>
      <c r="U165" s="141">
        <f t="shared" si="16"/>
        <v>31009734.299319834</v>
      </c>
      <c r="V165" s="141">
        <f t="shared" si="17"/>
        <v>-603853.83529104292</v>
      </c>
      <c r="W165" s="141">
        <f t="shared" si="18"/>
        <v>-2775717.4440236948</v>
      </c>
      <c r="X165" s="141">
        <f t="shared" si="19"/>
        <v>-3567289.8201784277</v>
      </c>
      <c r="Y165" s="141">
        <f t="shared" si="15"/>
        <v>-4819881.8542595571</v>
      </c>
      <c r="Z165" s="141">
        <f t="shared" si="20"/>
        <v>-5831772.5677422136</v>
      </c>
    </row>
    <row r="166" spans="1:26" ht="19.5" thickBot="1" x14ac:dyDescent="0.35">
      <c r="A166" s="142">
        <v>110</v>
      </c>
      <c r="B166" s="143" t="s">
        <v>220</v>
      </c>
      <c r="C166" s="142">
        <v>26</v>
      </c>
      <c r="D166" s="143" t="s">
        <v>221</v>
      </c>
      <c r="E166" s="142">
        <v>554431</v>
      </c>
      <c r="F166" s="143" t="s">
        <v>230</v>
      </c>
      <c r="G166" s="144">
        <v>2.0619326909649489</v>
      </c>
      <c r="H166" s="145">
        <v>308.96261225766148</v>
      </c>
      <c r="I166" s="146">
        <v>1.5527541153642952</v>
      </c>
      <c r="J166" s="147">
        <v>0.87772966941997121</v>
      </c>
      <c r="K166" s="148">
        <v>61</v>
      </c>
      <c r="M166" s="138">
        <f t="shared" si="14"/>
        <v>1.5527541153642952</v>
      </c>
      <c r="N166" s="149"/>
      <c r="U166" s="141">
        <f t="shared" si="16"/>
        <v>8705885.2538275663</v>
      </c>
      <c r="V166" s="141">
        <f t="shared" si="17"/>
        <v>824370.31801757205</v>
      </c>
      <c r="W166" s="141">
        <f t="shared" si="18"/>
        <v>282907.7229498488</v>
      </c>
      <c r="X166" s="141">
        <f t="shared" si="19"/>
        <v>85562.53458105863</v>
      </c>
      <c r="Y166" s="141">
        <f t="shared" si="15"/>
        <v>-226718.46253482174</v>
      </c>
      <c r="Z166" s="141">
        <f t="shared" si="20"/>
        <v>-478990.73665196379</v>
      </c>
    </row>
    <row r="167" spans="1:26" ht="19.5" thickBot="1" x14ac:dyDescent="0.35">
      <c r="A167" s="142">
        <v>110</v>
      </c>
      <c r="B167" s="143" t="s">
        <v>220</v>
      </c>
      <c r="C167" s="142">
        <v>26</v>
      </c>
      <c r="D167" s="143" t="s">
        <v>221</v>
      </c>
      <c r="E167" s="142">
        <v>554476</v>
      </c>
      <c r="F167" s="143" t="s">
        <v>231</v>
      </c>
      <c r="G167" s="144">
        <v>2.0199468106564877</v>
      </c>
      <c r="H167" s="145">
        <v>206.15158760772718</v>
      </c>
      <c r="I167" s="146">
        <v>0.78527392767558923</v>
      </c>
      <c r="J167" s="147">
        <v>0.9381642580865126</v>
      </c>
      <c r="K167" s="148">
        <v>180</v>
      </c>
      <c r="M167" s="138">
        <f t="shared" si="14"/>
        <v>0.78527392767558923</v>
      </c>
      <c r="N167" s="149"/>
      <c r="U167" s="141">
        <f t="shared" si="16"/>
        <v>9115835.7772566527</v>
      </c>
      <c r="V167" s="141">
        <f t="shared" si="17"/>
        <v>1394807.3326858114</v>
      </c>
      <c r="W167" s="141">
        <f t="shared" si="18"/>
        <v>864370.21085862489</v>
      </c>
      <c r="X167" s="141">
        <f t="shared" si="19"/>
        <v>671043.44243856031</v>
      </c>
      <c r="Y167" s="141">
        <f t="shared" si="15"/>
        <v>365121.23318465333</v>
      </c>
      <c r="Z167" s="141">
        <f t="shared" si="20"/>
        <v>117985.82582976666</v>
      </c>
    </row>
    <row r="168" spans="1:26" ht="19.5" thickBot="1" x14ac:dyDescent="0.35">
      <c r="A168" s="142">
        <v>110</v>
      </c>
      <c r="B168" s="143" t="s">
        <v>220</v>
      </c>
      <c r="C168" s="142">
        <v>26</v>
      </c>
      <c r="D168" s="143" t="s">
        <v>221</v>
      </c>
      <c r="E168" s="142">
        <v>554471</v>
      </c>
      <c r="F168" s="143" t="s">
        <v>232</v>
      </c>
      <c r="G168" s="144">
        <v>1.8614832399778634</v>
      </c>
      <c r="H168" s="145">
        <v>131.54729867614176</v>
      </c>
      <c r="I168" s="146">
        <v>0.9395262539515522</v>
      </c>
      <c r="J168" s="147">
        <v>0.92601778702591242</v>
      </c>
      <c r="K168" s="148">
        <v>149</v>
      </c>
      <c r="M168" s="138">
        <f t="shared" si="14"/>
        <v>0.9395262539515522</v>
      </c>
      <c r="N168" s="149"/>
      <c r="U168" s="141">
        <f t="shared" si="16"/>
        <v>8291939.6921023689</v>
      </c>
      <c r="V168" s="141">
        <f t="shared" si="17"/>
        <v>1176621.1257239524</v>
      </c>
      <c r="W168" s="141">
        <f t="shared" si="18"/>
        <v>687796.46611695201</v>
      </c>
      <c r="X168" s="141">
        <f t="shared" si="19"/>
        <v>509636.0624100485</v>
      </c>
      <c r="Y168" s="141">
        <f t="shared" si="15"/>
        <v>227713.26015662204</v>
      </c>
      <c r="Z168" s="141">
        <f t="shared" si="20"/>
        <v>-34.528235246481188</v>
      </c>
    </row>
    <row r="169" spans="1:26" ht="19.5" thickBot="1" x14ac:dyDescent="0.35">
      <c r="A169" s="142">
        <v>110</v>
      </c>
      <c r="B169" s="143" t="s">
        <v>220</v>
      </c>
      <c r="C169" s="142">
        <v>26</v>
      </c>
      <c r="D169" s="143" t="s">
        <v>221</v>
      </c>
      <c r="E169" s="142">
        <v>454481</v>
      </c>
      <c r="F169" s="143" t="s">
        <v>233</v>
      </c>
      <c r="G169" s="144">
        <v>10.399239442446538</v>
      </c>
      <c r="H169" s="145">
        <v>336.35952131102039</v>
      </c>
      <c r="I169" s="146">
        <v>2.6082384428123953</v>
      </c>
      <c r="J169" s="147">
        <v>0.79461643445112318</v>
      </c>
      <c r="K169" s="148">
        <v>10</v>
      </c>
      <c r="M169" s="138">
        <f t="shared" si="14"/>
        <v>2.6082384428123953</v>
      </c>
      <c r="N169" s="149"/>
      <c r="U169" s="141">
        <f t="shared" si="16"/>
        <v>39749969.213762306</v>
      </c>
      <c r="V169" s="141">
        <f t="shared" si="17"/>
        <v>0</v>
      </c>
      <c r="W169" s="141">
        <f t="shared" si="18"/>
        <v>-2730835.5893046195</v>
      </c>
      <c r="X169" s="141">
        <f t="shared" si="19"/>
        <v>-3726134.7451181645</v>
      </c>
      <c r="Y169" s="141">
        <f t="shared" si="15"/>
        <v>-5301106.0701104607</v>
      </c>
      <c r="Z169" s="141">
        <f t="shared" si="20"/>
        <v>-6573426.837286883</v>
      </c>
    </row>
    <row r="170" spans="1:26" ht="19.5" thickBot="1" x14ac:dyDescent="0.35">
      <c r="A170" s="142">
        <v>110</v>
      </c>
      <c r="B170" s="143" t="s">
        <v>220</v>
      </c>
      <c r="C170" s="142">
        <v>26</v>
      </c>
      <c r="D170" s="143" t="s">
        <v>221</v>
      </c>
      <c r="E170" s="142">
        <v>554486</v>
      </c>
      <c r="F170" s="143" t="s">
        <v>234</v>
      </c>
      <c r="G170" s="144">
        <v>4.7502856913022802</v>
      </c>
      <c r="H170" s="145">
        <v>125.55175832729682</v>
      </c>
      <c r="I170" s="146">
        <v>0.64625200941512195</v>
      </c>
      <c r="J170" s="147">
        <v>0.9491114233429957</v>
      </c>
      <c r="K170" s="148">
        <v>210</v>
      </c>
      <c r="M170" s="138">
        <f t="shared" si="14"/>
        <v>0.64625200941512195</v>
      </c>
      <c r="N170" s="149"/>
      <c r="U170" s="141">
        <f t="shared" si="16"/>
        <v>21687755.370340865</v>
      </c>
      <c r="V170" s="141">
        <f t="shared" si="17"/>
        <v>3530301.5458697961</v>
      </c>
      <c r="W170" s="141">
        <f t="shared" si="18"/>
        <v>2282878.6649017911</v>
      </c>
      <c r="X170" s="141">
        <f t="shared" si="19"/>
        <v>1828234.3262852347</v>
      </c>
      <c r="Y170" s="141">
        <f t="shared" si="15"/>
        <v>1108800.5839689621</v>
      </c>
      <c r="Z170" s="141">
        <f t="shared" si="20"/>
        <v>527615.08780704229</v>
      </c>
    </row>
    <row r="171" spans="1:26" ht="19.5" thickBot="1" x14ac:dyDescent="0.35">
      <c r="A171" s="142">
        <v>110</v>
      </c>
      <c r="B171" s="143" t="s">
        <v>220</v>
      </c>
      <c r="C171" s="142">
        <v>26</v>
      </c>
      <c r="D171" s="143" t="s">
        <v>221</v>
      </c>
      <c r="E171" s="142">
        <v>554491</v>
      </c>
      <c r="F171" s="143" t="s">
        <v>235</v>
      </c>
      <c r="G171" s="144">
        <v>3.3012442740771761</v>
      </c>
      <c r="H171" s="145">
        <v>219.11282931106413</v>
      </c>
      <c r="I171" s="146">
        <v>1.3319966861007881</v>
      </c>
      <c r="J171" s="147">
        <v>0.89511302946839311</v>
      </c>
      <c r="K171" s="148">
        <v>91</v>
      </c>
      <c r="M171" s="138">
        <f t="shared" si="14"/>
        <v>1.3319966861007881</v>
      </c>
      <c r="N171" s="149"/>
      <c r="U171" s="141">
        <f t="shared" si="16"/>
        <v>14214553.273481909</v>
      </c>
      <c r="V171" s="141">
        <f t="shared" si="17"/>
        <v>1595903.7089706021</v>
      </c>
      <c r="W171" s="141">
        <f t="shared" si="18"/>
        <v>728998.45089558186</v>
      </c>
      <c r="X171" s="141">
        <f t="shared" si="19"/>
        <v>413040.18709102145</v>
      </c>
      <c r="Y171" s="141">
        <f t="shared" si="15"/>
        <v>-86935.325276193747</v>
      </c>
      <c r="Z171" s="141">
        <f t="shared" si="20"/>
        <v>-490834.25179639028</v>
      </c>
    </row>
    <row r="172" spans="1:26" ht="19.5" thickBot="1" x14ac:dyDescent="0.35">
      <c r="A172" s="142">
        <v>110</v>
      </c>
      <c r="B172" s="143" t="s">
        <v>220</v>
      </c>
      <c r="C172" s="142">
        <v>26</v>
      </c>
      <c r="D172" s="143" t="s">
        <v>221</v>
      </c>
      <c r="E172" s="142">
        <v>554601</v>
      </c>
      <c r="F172" s="143" t="s">
        <v>236</v>
      </c>
      <c r="G172" s="144">
        <v>3.9852030364082958</v>
      </c>
      <c r="H172" s="145">
        <v>103.09644749500444</v>
      </c>
      <c r="I172" s="146">
        <v>0.57590776826981716</v>
      </c>
      <c r="J172" s="147">
        <v>0.95465062207003937</v>
      </c>
      <c r="K172" s="148">
        <v>225</v>
      </c>
      <c r="M172" s="138">
        <f t="shared" si="14"/>
        <v>0.57590776826981716</v>
      </c>
      <c r="N172" s="149"/>
      <c r="U172" s="141">
        <f t="shared" si="16"/>
        <v>18300905.90660926</v>
      </c>
      <c r="V172" s="141">
        <f t="shared" si="17"/>
        <v>3067897.8693836373</v>
      </c>
      <c r="W172" s="141">
        <f t="shared" si="18"/>
        <v>2021385.3486691152</v>
      </c>
      <c r="X172" s="141">
        <f t="shared" si="19"/>
        <v>1639966.1843316897</v>
      </c>
      <c r="Y172" s="141">
        <f t="shared" si="15"/>
        <v>1036404.6891519364</v>
      </c>
      <c r="Z172" s="141">
        <f t="shared" si="20"/>
        <v>548825.1298294781</v>
      </c>
    </row>
    <row r="173" spans="1:26" ht="19.5" thickBot="1" x14ac:dyDescent="0.35">
      <c r="A173" s="142">
        <v>110</v>
      </c>
      <c r="B173" s="143" t="s">
        <v>220</v>
      </c>
      <c r="C173" s="142">
        <v>26</v>
      </c>
      <c r="D173" s="143" t="s">
        <v>221</v>
      </c>
      <c r="E173" s="142">
        <v>554611</v>
      </c>
      <c r="F173" s="143" t="s">
        <v>237</v>
      </c>
      <c r="G173" s="144">
        <v>3.0016649497715413</v>
      </c>
      <c r="H173" s="145">
        <v>194.22506786920781</v>
      </c>
      <c r="I173" s="146">
        <v>2.1999019620769418</v>
      </c>
      <c r="J173" s="147">
        <v>0.82677055080050788</v>
      </c>
      <c r="K173" s="148">
        <v>22</v>
      </c>
      <c r="M173" s="138">
        <f t="shared" si="14"/>
        <v>2.1999019620769418</v>
      </c>
      <c r="N173" s="149"/>
      <c r="U173" s="141">
        <f t="shared" si="16"/>
        <v>11937816.215246387</v>
      </c>
      <c r="V173" s="141">
        <f t="shared" si="17"/>
        <v>464276.25073358824</v>
      </c>
      <c r="W173" s="141">
        <f t="shared" si="18"/>
        <v>-323959.6118379095</v>
      </c>
      <c r="X173" s="141">
        <f t="shared" si="19"/>
        <v>-611245.48568253219</v>
      </c>
      <c r="Y173" s="141">
        <f t="shared" si="15"/>
        <v>-1065849.5218035057</v>
      </c>
      <c r="Z173" s="141">
        <f t="shared" si="20"/>
        <v>-1433095.6721432679</v>
      </c>
    </row>
    <row r="174" spans="1:26" ht="19.5" thickBot="1" x14ac:dyDescent="0.35">
      <c r="A174" s="142">
        <v>110</v>
      </c>
      <c r="B174" s="143" t="s">
        <v>220</v>
      </c>
      <c r="C174" s="142">
        <v>26</v>
      </c>
      <c r="D174" s="143" t="s">
        <v>221</v>
      </c>
      <c r="E174" s="142">
        <v>554636</v>
      </c>
      <c r="F174" s="143" t="s">
        <v>238</v>
      </c>
      <c r="G174" s="144">
        <v>2.7065897065897064</v>
      </c>
      <c r="H174" s="145">
        <v>177.95739872479123</v>
      </c>
      <c r="I174" s="146">
        <v>1.4729317491653102</v>
      </c>
      <c r="J174" s="147">
        <v>0.88401521521647375</v>
      </c>
      <c r="K174" s="148">
        <v>71</v>
      </c>
      <c r="M174" s="138">
        <f t="shared" si="14"/>
        <v>1.4729317491653102</v>
      </c>
      <c r="N174" s="149"/>
      <c r="U174" s="141">
        <f t="shared" si="16"/>
        <v>11509589.686634315</v>
      </c>
      <c r="V174" s="141">
        <f t="shared" si="17"/>
        <v>1163942.9586543916</v>
      </c>
      <c r="W174" s="141">
        <f t="shared" si="18"/>
        <v>453193.72191387817</v>
      </c>
      <c r="X174" s="141">
        <f t="shared" si="19"/>
        <v>194149.15764441635</v>
      </c>
      <c r="Y174" s="141">
        <f t="shared" si="15"/>
        <v>-215765.54813672381</v>
      </c>
      <c r="Z174" s="141">
        <f t="shared" si="20"/>
        <v>-546909.98528316431</v>
      </c>
    </row>
    <row r="175" spans="1:26" ht="19.5" thickBot="1" x14ac:dyDescent="0.35">
      <c r="A175" s="142">
        <v>110</v>
      </c>
      <c r="B175" s="143" t="s">
        <v>220</v>
      </c>
      <c r="C175" s="142">
        <v>26</v>
      </c>
      <c r="D175" s="143" t="s">
        <v>221</v>
      </c>
      <c r="E175" s="142">
        <v>454671</v>
      </c>
      <c r="F175" s="143" t="s">
        <v>239</v>
      </c>
      <c r="G175" s="144">
        <v>4.3740007442467412</v>
      </c>
      <c r="H175" s="145">
        <v>231.04477209549191</v>
      </c>
      <c r="I175" s="146">
        <v>1.5397067328253962</v>
      </c>
      <c r="J175" s="147">
        <v>0.87875707469969322</v>
      </c>
      <c r="K175" s="148">
        <v>64</v>
      </c>
      <c r="M175" s="138">
        <f t="shared" si="14"/>
        <v>1.5397067328253962</v>
      </c>
      <c r="N175" s="149"/>
      <c r="U175" s="141">
        <f t="shared" si="16"/>
        <v>18489508.335129868</v>
      </c>
      <c r="V175" s="141">
        <f t="shared" si="17"/>
        <v>1770363.0661872639</v>
      </c>
      <c r="W175" s="141">
        <f t="shared" si="18"/>
        <v>621752.44267576479</v>
      </c>
      <c r="X175" s="141">
        <f t="shared" si="19"/>
        <v>203121.90028175269</v>
      </c>
      <c r="Y175" s="141">
        <f t="shared" si="15"/>
        <v>-459323.25119394821</v>
      </c>
      <c r="Z175" s="141">
        <f t="shared" si="20"/>
        <v>-994471.23132748343</v>
      </c>
    </row>
    <row r="176" spans="1:26" ht="19.5" thickBot="1" x14ac:dyDescent="0.35">
      <c r="A176" s="142">
        <v>110</v>
      </c>
      <c r="B176" s="143" t="s">
        <v>220</v>
      </c>
      <c r="C176" s="142">
        <v>27</v>
      </c>
      <c r="D176" s="143" t="s">
        <v>240</v>
      </c>
      <c r="E176" s="142">
        <v>554184</v>
      </c>
      <c r="F176" s="143" t="s">
        <v>536</v>
      </c>
      <c r="G176" s="144">
        <v>3.9752389572564639</v>
      </c>
      <c r="H176" s="145">
        <v>338.94661395397276</v>
      </c>
      <c r="I176" s="146">
        <v>1.6526151366744526</v>
      </c>
      <c r="J176" s="147">
        <v>0.86986619640332585</v>
      </c>
      <c r="K176" s="148">
        <v>52</v>
      </c>
      <c r="M176" s="138">
        <f t="shared" si="14"/>
        <v>1.6526151366744526</v>
      </c>
      <c r="N176" s="149"/>
      <c r="U176" s="141">
        <f t="shared" si="16"/>
        <v>16633872.555685075</v>
      </c>
      <c r="V176" s="141">
        <f t="shared" si="17"/>
        <v>1438951.1344779432</v>
      </c>
      <c r="W176" s="141">
        <f t="shared" si="18"/>
        <v>395055.17645659327</v>
      </c>
      <c r="X176" s="141">
        <f t="shared" si="19"/>
        <v>14589.662587854855</v>
      </c>
      <c r="Y176" s="141">
        <f t="shared" si="15"/>
        <v>-587462.76656539319</v>
      </c>
      <c r="Z176" s="141">
        <f t="shared" si="20"/>
        <v>-1073823.2458867778</v>
      </c>
    </row>
    <row r="177" spans="1:26" ht="19.5" thickBot="1" x14ac:dyDescent="0.35">
      <c r="A177" s="142">
        <v>110</v>
      </c>
      <c r="B177" s="143" t="s">
        <v>220</v>
      </c>
      <c r="C177" s="142">
        <v>27</v>
      </c>
      <c r="D177" s="143" t="s">
        <v>240</v>
      </c>
      <c r="E177" s="142">
        <v>554506</v>
      </c>
      <c r="F177" s="143" t="s">
        <v>242</v>
      </c>
      <c r="G177" s="144">
        <v>2.6208074601622977</v>
      </c>
      <c r="H177" s="145">
        <v>291.48578696150861</v>
      </c>
      <c r="I177" s="146">
        <v>1.914975633001748</v>
      </c>
      <c r="J177" s="147">
        <v>0.84920683746190539</v>
      </c>
      <c r="K177" s="148">
        <v>30</v>
      </c>
      <c r="M177" s="138">
        <f t="shared" si="14"/>
        <v>1.914975633001748</v>
      </c>
      <c r="N177" s="149"/>
      <c r="U177" s="141">
        <f t="shared" si="16"/>
        <v>10705976.216601433</v>
      </c>
      <c r="V177" s="141">
        <f t="shared" si="17"/>
        <v>688222.85750182578</v>
      </c>
      <c r="W177" s="141">
        <f t="shared" si="18"/>
        <v>0</v>
      </c>
      <c r="X177" s="141">
        <f t="shared" si="19"/>
        <v>-250834.44487318193</v>
      </c>
      <c r="Y177" s="141">
        <f t="shared" si="15"/>
        <v>-647757.37572074996</v>
      </c>
      <c r="Z177" s="141">
        <f t="shared" si="20"/>
        <v>-968406.5709614075</v>
      </c>
    </row>
    <row r="178" spans="1:26" ht="19.5" thickBot="1" x14ac:dyDescent="0.35">
      <c r="A178" s="142">
        <v>110</v>
      </c>
      <c r="B178" s="143" t="s">
        <v>220</v>
      </c>
      <c r="C178" s="142">
        <v>27</v>
      </c>
      <c r="D178" s="143" t="s">
        <v>240</v>
      </c>
      <c r="E178" s="142">
        <v>554196</v>
      </c>
      <c r="F178" s="143" t="s">
        <v>243</v>
      </c>
      <c r="G178" s="144">
        <v>3.1714420394420397</v>
      </c>
      <c r="H178" s="145">
        <v>102.11988998448756</v>
      </c>
      <c r="I178" s="146">
        <v>0.47127651329959463</v>
      </c>
      <c r="J178" s="147">
        <v>0.96288972316635879</v>
      </c>
      <c r="K178" s="148">
        <v>242</v>
      </c>
      <c r="M178" s="138">
        <f t="shared" si="14"/>
        <v>0.47127651329959463</v>
      </c>
      <c r="N178" s="149"/>
      <c r="U178" s="141">
        <f t="shared" si="16"/>
        <v>14689635.039119108</v>
      </c>
      <c r="V178" s="141">
        <f t="shared" si="17"/>
        <v>2567140.4924030574</v>
      </c>
      <c r="W178" s="141">
        <f t="shared" si="18"/>
        <v>1734321.2426245736</v>
      </c>
      <c r="X178" s="141">
        <f t="shared" si="19"/>
        <v>1430786.200274819</v>
      </c>
      <c r="Y178" s="141">
        <f t="shared" si="15"/>
        <v>950469.31761814025</v>
      </c>
      <c r="Z178" s="141">
        <f t="shared" si="20"/>
        <v>562451.36774688005</v>
      </c>
    </row>
    <row r="179" spans="1:26" ht="19.5" thickBot="1" x14ac:dyDescent="0.35">
      <c r="A179" s="142">
        <v>110</v>
      </c>
      <c r="B179" s="143" t="s">
        <v>220</v>
      </c>
      <c r="C179" s="142">
        <v>27</v>
      </c>
      <c r="D179" s="143" t="s">
        <v>240</v>
      </c>
      <c r="E179" s="142">
        <v>554257</v>
      </c>
      <c r="F179" s="143" t="s">
        <v>244</v>
      </c>
      <c r="G179" s="144">
        <v>3.4906875203649386</v>
      </c>
      <c r="H179" s="145">
        <v>99.0192627422188</v>
      </c>
      <c r="I179" s="146">
        <v>0.53707890301048755</v>
      </c>
      <c r="J179" s="147">
        <v>0.95770816875069453</v>
      </c>
      <c r="K179" s="148">
        <v>228</v>
      </c>
      <c r="M179" s="138">
        <f t="shared" si="14"/>
        <v>0.53707890301048755</v>
      </c>
      <c r="N179" s="149"/>
      <c r="U179" s="141">
        <f t="shared" si="16"/>
        <v>16081325.4352607</v>
      </c>
      <c r="V179" s="141">
        <f t="shared" si="17"/>
        <v>2738549.529648223</v>
      </c>
      <c r="W179" s="141">
        <f t="shared" si="18"/>
        <v>1821896.5605046025</v>
      </c>
      <c r="X179" s="141">
        <f t="shared" si="19"/>
        <v>1487806.903135319</v>
      </c>
      <c r="Y179" s="141">
        <f t="shared" si="15"/>
        <v>959140.09249884472</v>
      </c>
      <c r="Z179" s="141">
        <f t="shared" si="20"/>
        <v>532063.26169178111</v>
      </c>
    </row>
    <row r="180" spans="1:26" ht="19.5" thickBot="1" x14ac:dyDescent="0.35">
      <c r="A180" s="142">
        <v>110</v>
      </c>
      <c r="B180" s="143" t="s">
        <v>220</v>
      </c>
      <c r="C180" s="142">
        <v>27</v>
      </c>
      <c r="D180" s="143" t="s">
        <v>240</v>
      </c>
      <c r="E180" s="142">
        <v>554321</v>
      </c>
      <c r="F180" s="143" t="s">
        <v>245</v>
      </c>
      <c r="G180" s="144">
        <v>2.5343313424514755</v>
      </c>
      <c r="H180" s="145">
        <v>81.783508946983119</v>
      </c>
      <c r="I180" s="146">
        <v>0.40488882131230125</v>
      </c>
      <c r="J180" s="147">
        <v>0.96811736672267745</v>
      </c>
      <c r="K180" s="148">
        <v>253</v>
      </c>
      <c r="M180" s="138">
        <f t="shared" si="14"/>
        <v>0.40488882131230125</v>
      </c>
      <c r="N180" s="149"/>
      <c r="U180" s="141">
        <f t="shared" si="16"/>
        <v>11802366.077109599</v>
      </c>
      <c r="V180" s="141">
        <f t="shared" si="17"/>
        <v>2115158.3349038949</v>
      </c>
      <c r="W180" s="141">
        <f t="shared" si="18"/>
        <v>1449644.0669269634</v>
      </c>
      <c r="X180" s="141">
        <f t="shared" si="19"/>
        <v>1207086.1510665002</v>
      </c>
      <c r="Y180" s="141">
        <f t="shared" si="15"/>
        <v>823260.08239284146</v>
      </c>
      <c r="Z180" s="141">
        <f t="shared" si="20"/>
        <v>513191.0224627704</v>
      </c>
    </row>
    <row r="181" spans="1:26" ht="19.5" thickBot="1" x14ac:dyDescent="0.35">
      <c r="A181" s="142">
        <v>110</v>
      </c>
      <c r="B181" s="143" t="s">
        <v>220</v>
      </c>
      <c r="C181" s="142">
        <v>27</v>
      </c>
      <c r="D181" s="143" t="s">
        <v>240</v>
      </c>
      <c r="E181" s="142">
        <v>454355</v>
      </c>
      <c r="F181" s="143" t="s">
        <v>246</v>
      </c>
      <c r="G181" s="144">
        <v>3.729047579312796</v>
      </c>
      <c r="H181" s="145">
        <v>118.34012026237652</v>
      </c>
      <c r="I181" s="146">
        <v>0.40836950041829023</v>
      </c>
      <c r="J181" s="147">
        <v>0.96784328354316995</v>
      </c>
      <c r="K181" s="148">
        <v>251</v>
      </c>
      <c r="M181" s="138">
        <f t="shared" si="14"/>
        <v>0.40836950041829023</v>
      </c>
      <c r="N181" s="149"/>
      <c r="U181" s="141">
        <f t="shared" si="16"/>
        <v>17361236.006231904</v>
      </c>
      <c r="V181" s="141">
        <f t="shared" si="17"/>
        <v>3107354.5281970217</v>
      </c>
      <c r="W181" s="141">
        <f t="shared" si="18"/>
        <v>2128108.3150333925</v>
      </c>
      <c r="X181" s="141">
        <f t="shared" si="19"/>
        <v>1771205.4926472399</v>
      </c>
      <c r="Y181" s="141">
        <f t="shared" si="15"/>
        <v>1206438.9018351079</v>
      </c>
      <c r="Z181" s="141">
        <f t="shared" si="20"/>
        <v>750199.31785333646</v>
      </c>
    </row>
    <row r="182" spans="1:26" ht="19.5" thickBot="1" x14ac:dyDescent="0.35">
      <c r="A182" s="142">
        <v>110</v>
      </c>
      <c r="B182" s="143" t="s">
        <v>220</v>
      </c>
      <c r="C182" s="142">
        <v>27</v>
      </c>
      <c r="D182" s="143" t="s">
        <v>240</v>
      </c>
      <c r="E182" s="142">
        <v>554357</v>
      </c>
      <c r="F182" s="143" t="s">
        <v>537</v>
      </c>
      <c r="G182" s="144">
        <v>4.4497067785987827</v>
      </c>
      <c r="H182" s="145">
        <v>42.614838789380343</v>
      </c>
      <c r="I182" s="146">
        <v>0.1318664443738411</v>
      </c>
      <c r="J182" s="147">
        <v>0.98961628657978484</v>
      </c>
      <c r="K182" s="148">
        <v>292</v>
      </c>
      <c r="M182" s="138">
        <f t="shared" si="14"/>
        <v>0.1318664443738411</v>
      </c>
      <c r="N182" s="149"/>
      <c r="U182" s="141">
        <f t="shared" si="16"/>
        <v>21182436.007252716</v>
      </c>
      <c r="V182" s="141">
        <f t="shared" si="17"/>
        <v>4173912.6014334275</v>
      </c>
      <c r="W182" s="141">
        <f t="shared" si="18"/>
        <v>3005421.6074315803</v>
      </c>
      <c r="X182" s="141">
        <f t="shared" si="19"/>
        <v>2579545.3282221416</v>
      </c>
      <c r="Y182" s="141">
        <f t="shared" si="15"/>
        <v>1905634.4504408543</v>
      </c>
      <c r="Z182" s="141">
        <f t="shared" si="20"/>
        <v>1361224.0275835255</v>
      </c>
    </row>
    <row r="183" spans="1:26" ht="19.5" thickBot="1" x14ac:dyDescent="0.35">
      <c r="A183" s="142">
        <v>110</v>
      </c>
      <c r="B183" s="143" t="s">
        <v>220</v>
      </c>
      <c r="C183" s="142">
        <v>27</v>
      </c>
      <c r="D183" s="143" t="s">
        <v>240</v>
      </c>
      <c r="E183" s="142">
        <v>554381</v>
      </c>
      <c r="F183" s="143" t="s">
        <v>248</v>
      </c>
      <c r="G183" s="144">
        <v>4.5199524895653918</v>
      </c>
      <c r="H183" s="145">
        <v>229.91098672807539</v>
      </c>
      <c r="I183" s="146">
        <v>1.5270576256795287</v>
      </c>
      <c r="J183" s="147">
        <v>0.87975311811504397</v>
      </c>
      <c r="K183" s="148">
        <v>66</v>
      </c>
      <c r="M183" s="138">
        <f t="shared" si="14"/>
        <v>1.5270576256795287</v>
      </c>
      <c r="N183" s="149"/>
      <c r="U183" s="141">
        <f t="shared" si="16"/>
        <v>19128123.200314015</v>
      </c>
      <c r="V183" s="141">
        <f t="shared" si="17"/>
        <v>1851093.1538144108</v>
      </c>
      <c r="W183" s="141">
        <f t="shared" si="18"/>
        <v>664155.66778155707</v>
      </c>
      <c r="X183" s="141">
        <f t="shared" si="19"/>
        <v>231556.2529801807</v>
      </c>
      <c r="Y183" s="141">
        <f t="shared" si="15"/>
        <v>-452993.38171101327</v>
      </c>
      <c r="Z183" s="141">
        <f t="shared" si="20"/>
        <v>-1005998.1904715154</v>
      </c>
    </row>
    <row r="184" spans="1:26" ht="19.5" thickBot="1" x14ac:dyDescent="0.35">
      <c r="A184" s="142">
        <v>110</v>
      </c>
      <c r="B184" s="143" t="s">
        <v>220</v>
      </c>
      <c r="C184" s="142">
        <v>27</v>
      </c>
      <c r="D184" s="143" t="s">
        <v>240</v>
      </c>
      <c r="E184" s="142">
        <v>554376</v>
      </c>
      <c r="F184" s="143" t="s">
        <v>538</v>
      </c>
      <c r="G184" s="144">
        <v>3.0343497082627509</v>
      </c>
      <c r="H184" s="145">
        <v>115.50695744316972</v>
      </c>
      <c r="I184" s="146">
        <v>0.43059360768540045</v>
      </c>
      <c r="J184" s="147">
        <v>0.96609326471178658</v>
      </c>
      <c r="K184" s="148">
        <v>247</v>
      </c>
      <c r="M184" s="138">
        <f t="shared" si="14"/>
        <v>0.43059360768540045</v>
      </c>
      <c r="N184" s="149"/>
      <c r="U184" s="141">
        <f t="shared" si="16"/>
        <v>14101404.214247741</v>
      </c>
      <c r="V184" s="141">
        <f t="shared" si="17"/>
        <v>2502930.2917301073</v>
      </c>
      <c r="W184" s="141">
        <f t="shared" si="18"/>
        <v>1706111.4263140648</v>
      </c>
      <c r="X184" s="141">
        <f t="shared" si="19"/>
        <v>1415697.3321111829</v>
      </c>
      <c r="Y184" s="141">
        <f t="shared" si="15"/>
        <v>956143.1688513112</v>
      </c>
      <c r="Z184" s="141">
        <f t="shared" si="20"/>
        <v>584898.12058938271</v>
      </c>
    </row>
    <row r="185" spans="1:26" ht="19.5" thickBot="1" x14ac:dyDescent="0.35">
      <c r="A185" s="142">
        <v>110</v>
      </c>
      <c r="B185" s="143" t="s">
        <v>220</v>
      </c>
      <c r="C185" s="142">
        <v>27</v>
      </c>
      <c r="D185" s="143" t="s">
        <v>240</v>
      </c>
      <c r="E185" s="142">
        <v>554416</v>
      </c>
      <c r="F185" s="143" t="s">
        <v>250</v>
      </c>
      <c r="G185" s="144">
        <v>3.9243355211097128</v>
      </c>
      <c r="H185" s="145">
        <v>239.45952741427902</v>
      </c>
      <c r="I185" s="146">
        <v>1.8138421166106502</v>
      </c>
      <c r="J185" s="147">
        <v>0.85717051204470252</v>
      </c>
      <c r="K185" s="148">
        <v>41</v>
      </c>
      <c r="M185" s="138">
        <f t="shared" si="14"/>
        <v>1.8138421166106502</v>
      </c>
      <c r="N185" s="149"/>
      <c r="U185" s="141">
        <f t="shared" si="16"/>
        <v>16181211.309259333</v>
      </c>
      <c r="V185" s="141">
        <f t="shared" si="17"/>
        <v>1180862.7730123361</v>
      </c>
      <c r="W185" s="141">
        <f t="shared" si="18"/>
        <v>150334.03437436232</v>
      </c>
      <c r="X185" s="141">
        <f t="shared" si="19"/>
        <v>-225259.57061053265</v>
      </c>
      <c r="Y185" s="141">
        <f t="shared" si="15"/>
        <v>-819602.64248641359</v>
      </c>
      <c r="Z185" s="141">
        <f t="shared" si="20"/>
        <v>-1299735.2145374068</v>
      </c>
    </row>
    <row r="186" spans="1:26" ht="19.5" thickBot="1" x14ac:dyDescent="0.35">
      <c r="A186" s="142">
        <v>110</v>
      </c>
      <c r="B186" s="143" t="s">
        <v>220</v>
      </c>
      <c r="C186" s="142">
        <v>27</v>
      </c>
      <c r="D186" s="143" t="s">
        <v>240</v>
      </c>
      <c r="E186" s="142">
        <v>454466</v>
      </c>
      <c r="F186" s="143" t="s">
        <v>251</v>
      </c>
      <c r="G186" s="144">
        <v>1.8288818863853922</v>
      </c>
      <c r="H186" s="145">
        <v>72.616443351888606</v>
      </c>
      <c r="I186" s="146">
        <v>0.22032727028446691</v>
      </c>
      <c r="J186" s="147">
        <v>0.98265051246239543</v>
      </c>
      <c r="K186" s="148">
        <v>284</v>
      </c>
      <c r="M186" s="138">
        <f t="shared" si="14"/>
        <v>0.22032727028446691</v>
      </c>
      <c r="N186" s="149"/>
      <c r="U186" s="141">
        <f t="shared" si="16"/>
        <v>8644948.6758505125</v>
      </c>
      <c r="V186" s="141">
        <f t="shared" si="17"/>
        <v>1654245.2612627388</v>
      </c>
      <c r="W186" s="141">
        <f t="shared" si="18"/>
        <v>1173981.7024114761</v>
      </c>
      <c r="X186" s="141">
        <f t="shared" si="19"/>
        <v>998941.53647662769</v>
      </c>
      <c r="Y186" s="141">
        <f t="shared" si="15"/>
        <v>721956.22963796172</v>
      </c>
      <c r="Z186" s="141">
        <f t="shared" si="20"/>
        <v>498197.13478885911</v>
      </c>
    </row>
    <row r="187" spans="1:26" ht="19.5" thickBot="1" x14ac:dyDescent="0.35">
      <c r="A187" s="142">
        <v>110</v>
      </c>
      <c r="B187" s="143" t="s">
        <v>220</v>
      </c>
      <c r="C187" s="142">
        <v>27</v>
      </c>
      <c r="D187" s="143" t="s">
        <v>240</v>
      </c>
      <c r="E187" s="142">
        <v>554496</v>
      </c>
      <c r="F187" s="143" t="s">
        <v>252</v>
      </c>
      <c r="G187" s="144">
        <v>3.0121534750010834</v>
      </c>
      <c r="H187" s="145">
        <v>155.31974835705597</v>
      </c>
      <c r="I187" s="146">
        <v>0.93947728518347895</v>
      </c>
      <c r="J187" s="147">
        <v>0.92602164303080148</v>
      </c>
      <c r="K187" s="148">
        <v>150</v>
      </c>
      <c r="M187" s="138">
        <f t="shared" si="14"/>
        <v>0.93947728518347895</v>
      </c>
      <c r="N187" s="149"/>
      <c r="U187" s="141">
        <f t="shared" si="16"/>
        <v>13417633.006841559</v>
      </c>
      <c r="V187" s="141">
        <f t="shared" si="17"/>
        <v>1904001.7878404437</v>
      </c>
      <c r="W187" s="141">
        <f t="shared" si="18"/>
        <v>1113011.6432722025</v>
      </c>
      <c r="X187" s="141">
        <f t="shared" si="19"/>
        <v>824721.92483255267</v>
      </c>
      <c r="Y187" s="141">
        <f t="shared" si="15"/>
        <v>368529.39499822533</v>
      </c>
      <c r="Z187" s="141">
        <f t="shared" si="20"/>
        <v>0</v>
      </c>
    </row>
    <row r="188" spans="1:26" ht="19.5" thickBot="1" x14ac:dyDescent="0.35">
      <c r="A188" s="142">
        <v>110</v>
      </c>
      <c r="B188" s="143" t="s">
        <v>220</v>
      </c>
      <c r="C188" s="142">
        <v>27</v>
      </c>
      <c r="D188" s="143" t="s">
        <v>240</v>
      </c>
      <c r="E188" s="142">
        <v>554516</v>
      </c>
      <c r="F188" s="143" t="s">
        <v>253</v>
      </c>
      <c r="G188" s="144">
        <v>2.6973816843382079</v>
      </c>
      <c r="H188" s="145">
        <v>103.27629465918442</v>
      </c>
      <c r="I188" s="146">
        <v>0.34252602895784873</v>
      </c>
      <c r="J188" s="147">
        <v>0.97302807290701343</v>
      </c>
      <c r="K188" s="148">
        <v>265</v>
      </c>
      <c r="M188" s="138">
        <f t="shared" si="14"/>
        <v>0.34252602895784873</v>
      </c>
      <c r="N188" s="149"/>
      <c r="U188" s="141">
        <f t="shared" si="16"/>
        <v>12625408.833197095</v>
      </c>
      <c r="V188" s="141">
        <f t="shared" si="17"/>
        <v>2314958.7754200618</v>
      </c>
      <c r="W188" s="141">
        <f t="shared" si="18"/>
        <v>1606627.5611715456</v>
      </c>
      <c r="X188" s="141">
        <f t="shared" si="19"/>
        <v>1348464.2860410016</v>
      </c>
      <c r="Y188" s="141">
        <f t="shared" si="15"/>
        <v>939944.14099540957</v>
      </c>
      <c r="Z188" s="141">
        <f t="shared" si="20"/>
        <v>609926.2821915528</v>
      </c>
    </row>
    <row r="189" spans="1:26" ht="19.5" thickBot="1" x14ac:dyDescent="0.35">
      <c r="A189" s="142">
        <v>110</v>
      </c>
      <c r="B189" s="143" t="s">
        <v>220</v>
      </c>
      <c r="C189" s="142">
        <v>27</v>
      </c>
      <c r="D189" s="143" t="s">
        <v>240</v>
      </c>
      <c r="E189" s="142">
        <v>554531</v>
      </c>
      <c r="F189" s="143" t="s">
        <v>254</v>
      </c>
      <c r="G189" s="144">
        <v>2.5112282917332012</v>
      </c>
      <c r="H189" s="145">
        <v>182.86577879506797</v>
      </c>
      <c r="I189" s="146">
        <v>0.65591708938702808</v>
      </c>
      <c r="J189" s="147">
        <v>0.9483503546640889</v>
      </c>
      <c r="K189" s="148">
        <v>207</v>
      </c>
      <c r="M189" s="138">
        <f t="shared" si="14"/>
        <v>0.65591708938702808</v>
      </c>
      <c r="N189" s="149"/>
      <c r="U189" s="141">
        <f t="shared" si="16"/>
        <v>11455991.484995043</v>
      </c>
      <c r="V189" s="141">
        <f t="shared" si="17"/>
        <v>1857092.6580593318</v>
      </c>
      <c r="W189" s="141">
        <f t="shared" si="18"/>
        <v>1197645.2407854868</v>
      </c>
      <c r="X189" s="141">
        <f t="shared" si="19"/>
        <v>957298.49113615591</v>
      </c>
      <c r="Y189" s="141">
        <f t="shared" si="15"/>
        <v>576971.39395964402</v>
      </c>
      <c r="Z189" s="141">
        <f t="shared" si="20"/>
        <v>269728.93412630807</v>
      </c>
    </row>
    <row r="190" spans="1:26" ht="19.5" thickBot="1" x14ac:dyDescent="0.35">
      <c r="A190" s="142">
        <v>110</v>
      </c>
      <c r="B190" s="143" t="s">
        <v>220</v>
      </c>
      <c r="C190" s="142">
        <v>27</v>
      </c>
      <c r="D190" s="143" t="s">
        <v>240</v>
      </c>
      <c r="E190" s="142">
        <v>554533</v>
      </c>
      <c r="F190" s="143" t="s">
        <v>255</v>
      </c>
      <c r="G190" s="144">
        <v>3.5167137566137558</v>
      </c>
      <c r="H190" s="145">
        <v>167.42028116241281</v>
      </c>
      <c r="I190" s="146">
        <v>1.5679034659361368</v>
      </c>
      <c r="J190" s="147">
        <v>0.8765367464167968</v>
      </c>
      <c r="K190" s="148">
        <v>58</v>
      </c>
      <c r="M190" s="138">
        <f t="shared" si="14"/>
        <v>1.5679034659361368</v>
      </c>
      <c r="N190" s="149"/>
      <c r="U190" s="141">
        <f t="shared" si="16"/>
        <v>14828076.686544238</v>
      </c>
      <c r="V190" s="141">
        <f t="shared" si="17"/>
        <v>1385818.3047981786</v>
      </c>
      <c r="W190" s="141">
        <f t="shared" si="18"/>
        <v>462330.85774900846</v>
      </c>
      <c r="X190" s="141">
        <f t="shared" si="19"/>
        <v>125750.25946901603</v>
      </c>
      <c r="Y190" s="141">
        <f t="shared" si="15"/>
        <v>-406858.24094354454</v>
      </c>
      <c r="Z190" s="141">
        <f t="shared" si="20"/>
        <v>-837119.31623830087</v>
      </c>
    </row>
    <row r="191" spans="1:26" ht="19.5" thickBot="1" x14ac:dyDescent="0.35">
      <c r="A191" s="142">
        <v>110</v>
      </c>
      <c r="B191" s="143" t="s">
        <v>220</v>
      </c>
      <c r="C191" s="142">
        <v>27</v>
      </c>
      <c r="D191" s="143" t="s">
        <v>240</v>
      </c>
      <c r="E191" s="142">
        <v>454535</v>
      </c>
      <c r="F191" s="143" t="s">
        <v>256</v>
      </c>
      <c r="G191" s="144">
        <v>7.4460326411109019</v>
      </c>
      <c r="H191" s="145">
        <v>178.93010199069258</v>
      </c>
      <c r="I191" s="146">
        <v>0.71429302100218695</v>
      </c>
      <c r="J191" s="147">
        <v>0.94375359051072005</v>
      </c>
      <c r="K191" s="148">
        <v>197</v>
      </c>
      <c r="M191" s="138">
        <f t="shared" si="14"/>
        <v>0.71429302100218695</v>
      </c>
      <c r="N191" s="149"/>
      <c r="U191" s="141">
        <f t="shared" si="16"/>
        <v>33803465.67676568</v>
      </c>
      <c r="V191" s="141">
        <f t="shared" si="17"/>
        <v>5341810.3906368809</v>
      </c>
      <c r="W191" s="141">
        <f t="shared" si="18"/>
        <v>3386485.5759708439</v>
      </c>
      <c r="X191" s="141">
        <f t="shared" si="19"/>
        <v>2673834.4207711471</v>
      </c>
      <c r="Y191" s="141">
        <f t="shared" si="15"/>
        <v>1546128.1149773696</v>
      </c>
      <c r="Z191" s="141">
        <f t="shared" si="20"/>
        <v>635124.76566607598</v>
      </c>
    </row>
    <row r="192" spans="1:26" ht="19.5" thickBot="1" x14ac:dyDescent="0.35">
      <c r="A192" s="142">
        <v>110</v>
      </c>
      <c r="B192" s="143" t="s">
        <v>220</v>
      </c>
      <c r="C192" s="142">
        <v>27</v>
      </c>
      <c r="D192" s="143" t="s">
        <v>240</v>
      </c>
      <c r="E192" s="142">
        <v>454651</v>
      </c>
      <c r="F192" s="143" t="s">
        <v>539</v>
      </c>
      <c r="G192" s="144">
        <v>10.895669109990308</v>
      </c>
      <c r="H192" s="145">
        <v>210.7150718531725</v>
      </c>
      <c r="I192" s="146">
        <v>1.4013966241136688</v>
      </c>
      <c r="J192" s="147">
        <v>0.88964818910564347</v>
      </c>
      <c r="K192" s="148">
        <v>80</v>
      </c>
      <c r="M192" s="138">
        <f t="shared" si="14"/>
        <v>1.4013966241136688</v>
      </c>
      <c r="N192" s="149"/>
      <c r="U192" s="141">
        <f t="shared" si="16"/>
        <v>46628332.045040682</v>
      </c>
      <c r="V192" s="141">
        <f t="shared" si="17"/>
        <v>4980814.0623637261</v>
      </c>
      <c r="W192" s="141">
        <f t="shared" si="18"/>
        <v>2119616.2661671522</v>
      </c>
      <c r="X192" s="141">
        <f t="shared" si="19"/>
        <v>1076804.402163587</v>
      </c>
      <c r="Y192" s="141">
        <f t="shared" si="15"/>
        <v>-573351.50681526226</v>
      </c>
      <c r="Z192" s="141">
        <f t="shared" si="20"/>
        <v>-1906409.1941245506</v>
      </c>
    </row>
    <row r="193" spans="1:26" ht="19.5" thickBot="1" x14ac:dyDescent="0.35">
      <c r="A193" s="142">
        <v>110</v>
      </c>
      <c r="B193" s="143" t="s">
        <v>220</v>
      </c>
      <c r="C193" s="142">
        <v>27</v>
      </c>
      <c r="D193" s="143" t="s">
        <v>240</v>
      </c>
      <c r="E193" s="142">
        <v>554686</v>
      </c>
      <c r="F193" s="143" t="s">
        <v>258</v>
      </c>
      <c r="G193" s="144">
        <v>1.7385762385762389</v>
      </c>
      <c r="H193" s="145">
        <v>59.768571946603942</v>
      </c>
      <c r="I193" s="146">
        <v>0.47249020133434771</v>
      </c>
      <c r="J193" s="147">
        <v>0.96279415231211862</v>
      </c>
      <c r="K193" s="148">
        <v>241</v>
      </c>
      <c r="M193" s="138">
        <f t="shared" si="14"/>
        <v>0.47249020133434771</v>
      </c>
      <c r="N193" s="149"/>
      <c r="U193" s="141">
        <f t="shared" si="16"/>
        <v>8052020.2660578946</v>
      </c>
      <c r="V193" s="141">
        <f t="shared" si="17"/>
        <v>1406500.4334146669</v>
      </c>
      <c r="W193" s="141">
        <f t="shared" si="18"/>
        <v>949951.09696565568</v>
      </c>
      <c r="X193" s="141">
        <f t="shared" si="19"/>
        <v>783553.97993136209</v>
      </c>
      <c r="Y193" s="141">
        <f t="shared" si="15"/>
        <v>520245.51999783952</v>
      </c>
      <c r="Z193" s="141">
        <f t="shared" si="20"/>
        <v>307535.09382655652</v>
      </c>
    </row>
    <row r="194" spans="1:26" ht="19.5" thickBot="1" x14ac:dyDescent="0.35">
      <c r="A194" s="142">
        <v>110</v>
      </c>
      <c r="B194" s="143" t="s">
        <v>220</v>
      </c>
      <c r="C194" s="142">
        <v>27</v>
      </c>
      <c r="D194" s="143" t="s">
        <v>240</v>
      </c>
      <c r="E194" s="142">
        <v>454696</v>
      </c>
      <c r="F194" s="143" t="s">
        <v>259</v>
      </c>
      <c r="G194" s="144">
        <v>4.5380946795140344</v>
      </c>
      <c r="H194" s="145">
        <v>277.35691625869435</v>
      </c>
      <c r="I194" s="146">
        <v>1.342445316423496</v>
      </c>
      <c r="J194" s="147">
        <v>0.89429026076919949</v>
      </c>
      <c r="K194" s="148">
        <v>89</v>
      </c>
      <c r="M194" s="138">
        <f t="shared" si="14"/>
        <v>1.342445316423496</v>
      </c>
      <c r="N194" s="149"/>
      <c r="U194" s="141">
        <f t="shared" si="16"/>
        <v>19522243.672698148</v>
      </c>
      <c r="V194" s="141">
        <f t="shared" si="17"/>
        <v>2175867.0652389773</v>
      </c>
      <c r="W194" s="141">
        <f t="shared" si="18"/>
        <v>984165.44830464059</v>
      </c>
      <c r="X194" s="141">
        <f t="shared" si="19"/>
        <v>549829.66552746878</v>
      </c>
      <c r="Y194" s="141">
        <f t="shared" si="15"/>
        <v>-137467.6151910921</v>
      </c>
      <c r="Z194" s="141">
        <f t="shared" si="20"/>
        <v>-692692.07522142655</v>
      </c>
    </row>
    <row r="195" spans="1:26" ht="19.5" thickBot="1" x14ac:dyDescent="0.35">
      <c r="A195" s="142">
        <v>110</v>
      </c>
      <c r="B195" s="143" t="s">
        <v>220</v>
      </c>
      <c r="C195" s="142">
        <v>31</v>
      </c>
      <c r="D195" s="143" t="s">
        <v>260</v>
      </c>
      <c r="E195" s="142">
        <v>455151</v>
      </c>
      <c r="F195" s="143" t="s">
        <v>261</v>
      </c>
      <c r="G195" s="144">
        <v>9.600868431864221</v>
      </c>
      <c r="H195" s="145">
        <v>191.22055040426406</v>
      </c>
      <c r="I195" s="146">
        <v>1.0955403152064307</v>
      </c>
      <c r="J195" s="147">
        <v>0.91373258961054982</v>
      </c>
      <c r="K195" s="148">
        <v>120</v>
      </c>
      <c r="M195" s="138">
        <f t="shared" si="14"/>
        <v>1.0955403152064307</v>
      </c>
      <c r="N195" s="149"/>
      <c r="U195" s="141">
        <f t="shared" si="16"/>
        <v>42199500.351724826</v>
      </c>
      <c r="V195" s="141">
        <f t="shared" si="17"/>
        <v>5501218.0682849316</v>
      </c>
      <c r="W195" s="141">
        <f t="shared" si="18"/>
        <v>2980034.3464301853</v>
      </c>
      <c r="X195" s="141">
        <f t="shared" si="19"/>
        <v>2061146.3548422849</v>
      </c>
      <c r="Y195" s="141">
        <f t="shared" si="15"/>
        <v>607088.81929884944</v>
      </c>
      <c r="Z195" s="141">
        <f t="shared" si="20"/>
        <v>-567553.26451834675</v>
      </c>
    </row>
    <row r="196" spans="1:26" ht="19.5" thickBot="1" x14ac:dyDescent="0.35">
      <c r="A196" s="142">
        <v>110</v>
      </c>
      <c r="B196" s="143" t="s">
        <v>220</v>
      </c>
      <c r="C196" s="142">
        <v>31</v>
      </c>
      <c r="D196" s="143" t="s">
        <v>260</v>
      </c>
      <c r="E196" s="142">
        <v>455231</v>
      </c>
      <c r="F196" s="143" t="s">
        <v>262</v>
      </c>
      <c r="G196" s="144">
        <v>4.5932318577479867</v>
      </c>
      <c r="H196" s="145">
        <v>231.18966987019073</v>
      </c>
      <c r="I196" s="146">
        <v>1.8357257675065588</v>
      </c>
      <c r="J196" s="147">
        <v>0.85544730216693454</v>
      </c>
      <c r="K196" s="148">
        <v>37</v>
      </c>
      <c r="M196" s="138">
        <f t="shared" si="14"/>
        <v>1.8357257675065588</v>
      </c>
      <c r="N196" s="149"/>
      <c r="U196" s="141">
        <f t="shared" si="16"/>
        <v>18901196.843947079</v>
      </c>
      <c r="V196" s="141">
        <f t="shared" si="17"/>
        <v>1344064.3298215508</v>
      </c>
      <c r="W196" s="141">
        <f t="shared" si="18"/>
        <v>137883.71474043411</v>
      </c>
      <c r="X196" s="141">
        <f t="shared" si="19"/>
        <v>-301729.183469449</v>
      </c>
      <c r="Y196" s="141">
        <f t="shared" si="15"/>
        <v>-997377.02435542096</v>
      </c>
      <c r="Z196" s="141">
        <f t="shared" si="20"/>
        <v>-1559347.3793426719</v>
      </c>
    </row>
    <row r="197" spans="1:26" ht="19.5" thickBot="1" x14ac:dyDescent="0.35">
      <c r="A197" s="142">
        <v>110</v>
      </c>
      <c r="B197" s="143" t="s">
        <v>220</v>
      </c>
      <c r="C197" s="142">
        <v>31</v>
      </c>
      <c r="D197" s="143" t="s">
        <v>260</v>
      </c>
      <c r="E197" s="142">
        <v>455298</v>
      </c>
      <c r="F197" s="143" t="s">
        <v>263</v>
      </c>
      <c r="G197" s="144">
        <v>1.9563433722788568</v>
      </c>
      <c r="H197" s="145">
        <v>123.96082949258084</v>
      </c>
      <c r="I197" s="146">
        <v>0.38249328425835211</v>
      </c>
      <c r="J197" s="147">
        <v>0.96988088464995803</v>
      </c>
      <c r="K197" s="148">
        <v>258</v>
      </c>
      <c r="M197" s="138">
        <f t="shared" ref="M197:M260" si="21">I197</f>
        <v>0.38249328425835211</v>
      </c>
      <c r="N197" s="149"/>
      <c r="U197" s="141">
        <f t="shared" si="16"/>
        <v>9127275.4873532169</v>
      </c>
      <c r="V197" s="141">
        <f t="shared" si="17"/>
        <v>1649364.314135968</v>
      </c>
      <c r="W197" s="141">
        <f t="shared" si="18"/>
        <v>1135629.4265524538</v>
      </c>
      <c r="X197" s="141">
        <f t="shared" si="19"/>
        <v>948390.06951227388</v>
      </c>
      <c r="Y197" s="141">
        <f t="shared" si="15"/>
        <v>652100.64082564623</v>
      </c>
      <c r="Z197" s="141">
        <f t="shared" si="20"/>
        <v>412746.95404364867</v>
      </c>
    </row>
    <row r="198" spans="1:26" ht="19.5" thickBot="1" x14ac:dyDescent="0.35">
      <c r="A198" s="142">
        <v>110</v>
      </c>
      <c r="B198" s="143" t="s">
        <v>220</v>
      </c>
      <c r="C198" s="142">
        <v>31</v>
      </c>
      <c r="D198" s="143" t="s">
        <v>260</v>
      </c>
      <c r="E198" s="142">
        <v>555406</v>
      </c>
      <c r="F198" s="143" t="s">
        <v>264</v>
      </c>
      <c r="G198" s="144">
        <v>2.6404956531183768</v>
      </c>
      <c r="H198" s="145">
        <v>187.84627916892217</v>
      </c>
      <c r="I198" s="146">
        <v>0.64771263636817134</v>
      </c>
      <c r="J198" s="147">
        <v>0.94899640748914205</v>
      </c>
      <c r="K198" s="148">
        <v>209</v>
      </c>
      <c r="M198" s="138">
        <f t="shared" si="21"/>
        <v>0.64771263636817134</v>
      </c>
      <c r="N198" s="149"/>
      <c r="U198" s="141">
        <f t="shared" si="16"/>
        <v>12053903.239575718</v>
      </c>
      <c r="V198" s="141">
        <f t="shared" si="17"/>
        <v>1960893.8900539293</v>
      </c>
      <c r="W198" s="141">
        <f t="shared" si="18"/>
        <v>1267500.9219578514</v>
      </c>
      <c r="X198" s="141">
        <f t="shared" si="19"/>
        <v>1014782.1429526272</v>
      </c>
      <c r="Y198" s="141">
        <f t="shared" ref="Y198:Y261" si="22">((((($R$5-$M198)))/0.003)*G198*1000)+(((((($R$5/$O$2)-($M198/$O$2))))/0.003)*G198*1000)*$O$3</f>
        <v>614877.42295419378</v>
      </c>
      <c r="Z198" s="141">
        <f t="shared" si="20"/>
        <v>291819.42686758697</v>
      </c>
    </row>
    <row r="199" spans="1:26" ht="19.5" thickBot="1" x14ac:dyDescent="0.35">
      <c r="A199" s="142">
        <v>110</v>
      </c>
      <c r="B199" s="143" t="s">
        <v>220</v>
      </c>
      <c r="C199" s="142">
        <v>31</v>
      </c>
      <c r="D199" s="143" t="s">
        <v>260</v>
      </c>
      <c r="E199" s="142">
        <v>554412</v>
      </c>
      <c r="F199" s="143" t="s">
        <v>265</v>
      </c>
      <c r="G199" s="144">
        <v>2.6921407279830221</v>
      </c>
      <c r="H199" s="145">
        <v>64.707994552169879</v>
      </c>
      <c r="I199" s="146">
        <v>0.27113576756697816</v>
      </c>
      <c r="J199" s="147">
        <v>0.97864963962777429</v>
      </c>
      <c r="K199" s="148">
        <v>275</v>
      </c>
      <c r="M199" s="138">
        <f t="shared" si="21"/>
        <v>0.27113576756697816</v>
      </c>
      <c r="N199" s="149"/>
      <c r="U199" s="141">
        <f t="shared" ref="U199:U262" si="23">((((($N$5-$M199)))/0.003)*G199*1000)+(((((($N$5/$O$2)-($M199/$O$2))))/0.003)*G199*1000)*$O$3</f>
        <v>12673678.165893175</v>
      </c>
      <c r="V199" s="141">
        <f t="shared" ref="V199:V262" si="24">((((($O$5-$M199)))/0.003)*G199*1000)+(((((($O$5/$O$2)-($M199/$O$2))))/0.003)*G199*1000)*$O$3</f>
        <v>2383261.0975402519</v>
      </c>
      <c r="W199" s="141">
        <f t="shared" ref="W199:W262" si="25">((((($P$5-$M199)))/0.003)*G199*1000)+(((((($P$5/$O$2)-($M199/$O$2))))/0.003)*G199*1000)*$O$3</f>
        <v>1676306.1560678312</v>
      </c>
      <c r="X199" s="141">
        <f t="shared" ref="X199:X262" si="26">((((($Q$5-$M199)))/0.003)*G199*1000)+(((((($Q$5/$O$2)-($M199/$O$2))))/0.003)*G199*1000)*$O$3</f>
        <v>1418644.4867965267</v>
      </c>
      <c r="Y199" s="141">
        <f t="shared" si="22"/>
        <v>1010918.0878725275</v>
      </c>
      <c r="Z199" s="141">
        <f t="shared" ref="Z199:Z262" si="27">((((($S$5-$M199)))/0.003)*G199*1000)+(((((($S$5/$O$2)-($M199/$O$2))))/0.003)*G199*1000)*$O$3</f>
        <v>681541.44688536529</v>
      </c>
    </row>
    <row r="200" spans="1:26" ht="19.5" thickBot="1" x14ac:dyDescent="0.35">
      <c r="A200" s="142">
        <v>110</v>
      </c>
      <c r="B200" s="143" t="s">
        <v>220</v>
      </c>
      <c r="C200" s="142">
        <v>31</v>
      </c>
      <c r="D200" s="143" t="s">
        <v>260</v>
      </c>
      <c r="E200" s="142">
        <v>554413</v>
      </c>
      <c r="F200" s="143" t="s">
        <v>266</v>
      </c>
      <c r="G200" s="144">
        <v>3.8745519713261647</v>
      </c>
      <c r="H200" s="145">
        <v>225.79168776527285</v>
      </c>
      <c r="I200" s="146">
        <v>1.4643064339276597</v>
      </c>
      <c r="J200" s="147">
        <v>0.88469440848669556</v>
      </c>
      <c r="K200" s="148">
        <v>73</v>
      </c>
      <c r="M200" s="138">
        <f t="shared" si="21"/>
        <v>1.4643064339276597</v>
      </c>
      <c r="N200" s="149"/>
      <c r="U200" s="141">
        <f t="shared" si="23"/>
        <v>16488929.03079701</v>
      </c>
      <c r="V200" s="141">
        <f t="shared" si="24"/>
        <v>1678872.7348816106</v>
      </c>
      <c r="W200" s="141">
        <f t="shared" si="25"/>
        <v>661417.13397291384</v>
      </c>
      <c r="X200" s="141">
        <f t="shared" si="26"/>
        <v>290588.25484582735</v>
      </c>
      <c r="Y200" s="141">
        <f t="shared" si="22"/>
        <v>-296215.06724360475</v>
      </c>
      <c r="Z200" s="141">
        <f t="shared" si="27"/>
        <v>-770256.74730159028</v>
      </c>
    </row>
    <row r="201" spans="1:26" ht="19.5" thickBot="1" x14ac:dyDescent="0.35">
      <c r="A201" s="142">
        <v>110</v>
      </c>
      <c r="B201" s="143" t="s">
        <v>220</v>
      </c>
      <c r="C201" s="142">
        <v>31</v>
      </c>
      <c r="D201" s="143" t="s">
        <v>260</v>
      </c>
      <c r="E201" s="142">
        <v>454414</v>
      </c>
      <c r="F201" s="143" t="s">
        <v>267</v>
      </c>
      <c r="G201" s="144">
        <v>3.2393056718394044</v>
      </c>
      <c r="H201" s="145">
        <v>177.63512702808845</v>
      </c>
      <c r="I201" s="146">
        <v>1.1114362577137153</v>
      </c>
      <c r="J201" s="147">
        <v>0.9124808768467485</v>
      </c>
      <c r="K201" s="148">
        <v>117</v>
      </c>
      <c r="M201" s="138">
        <f t="shared" si="21"/>
        <v>1.1114362577137153</v>
      </c>
      <c r="N201" s="149"/>
      <c r="U201" s="141">
        <f t="shared" si="23"/>
        <v>14218486.785722384</v>
      </c>
      <c r="V201" s="141">
        <f t="shared" si="24"/>
        <v>1836590.8362923365</v>
      </c>
      <c r="W201" s="141">
        <f t="shared" si="25"/>
        <v>985950.62724121835</v>
      </c>
      <c r="X201" s="141">
        <f t="shared" si="26"/>
        <v>675920.4352789023</v>
      </c>
      <c r="Y201" s="141">
        <f t="shared" si="22"/>
        <v>185325.56300315552</v>
      </c>
      <c r="Z201" s="141">
        <f t="shared" si="27"/>
        <v>-210995.33145487541</v>
      </c>
    </row>
    <row r="202" spans="1:26" ht="19.5" thickBot="1" x14ac:dyDescent="0.35">
      <c r="A202" s="142">
        <v>110</v>
      </c>
      <c r="B202" s="143" t="s">
        <v>220</v>
      </c>
      <c r="C202" s="142">
        <v>31</v>
      </c>
      <c r="D202" s="143" t="s">
        <v>260</v>
      </c>
      <c r="E202" s="142">
        <v>455456</v>
      </c>
      <c r="F202" s="143" t="s">
        <v>268</v>
      </c>
      <c r="G202" s="144">
        <v>1.6022852177690901</v>
      </c>
      <c r="H202" s="145">
        <v>432.71868125036832</v>
      </c>
      <c r="I202" s="146">
        <v>2.8904665810050787</v>
      </c>
      <c r="J202" s="147">
        <v>0.7723926145852783</v>
      </c>
      <c r="K202" s="148">
        <v>7</v>
      </c>
      <c r="M202" s="138">
        <f t="shared" si="21"/>
        <v>2.8904665810050787</v>
      </c>
      <c r="N202" s="149"/>
      <c r="U202" s="141">
        <f t="shared" si="23"/>
        <v>5953270.4740002071</v>
      </c>
      <c r="V202" s="141">
        <f t="shared" si="24"/>
        <v>-171291.65676690475</v>
      </c>
      <c r="W202" s="141">
        <f t="shared" si="25"/>
        <v>-592051.03259594424</v>
      </c>
      <c r="X202" s="141">
        <f t="shared" si="26"/>
        <v>-745403.89397047891</v>
      </c>
      <c r="Y202" s="141">
        <f t="shared" si="22"/>
        <v>-988070.99346479145</v>
      </c>
      <c r="Z202" s="141">
        <f t="shared" si="27"/>
        <v>-1184106.5563335891</v>
      </c>
    </row>
    <row r="203" spans="1:26" ht="19.5" thickBot="1" x14ac:dyDescent="0.35">
      <c r="A203" s="142">
        <v>110</v>
      </c>
      <c r="B203" s="143" t="s">
        <v>220</v>
      </c>
      <c r="C203" s="142">
        <v>31</v>
      </c>
      <c r="D203" s="143" t="s">
        <v>260</v>
      </c>
      <c r="E203" s="142">
        <v>455566</v>
      </c>
      <c r="F203" s="143" t="s">
        <v>269</v>
      </c>
      <c r="G203" s="144">
        <v>2.8902111342504053</v>
      </c>
      <c r="H203" s="145">
        <v>99.112167829321535</v>
      </c>
      <c r="I203" s="146">
        <v>0.790982439278754</v>
      </c>
      <c r="J203" s="147">
        <v>0.93771474609106387</v>
      </c>
      <c r="K203" s="148">
        <v>179</v>
      </c>
      <c r="M203" s="138">
        <f t="shared" si="21"/>
        <v>0.790982439278754</v>
      </c>
      <c r="N203" s="149"/>
      <c r="U203" s="141">
        <f t="shared" si="23"/>
        <v>13037009.771833424</v>
      </c>
      <c r="V203" s="141">
        <f t="shared" si="24"/>
        <v>1989489.9754531528</v>
      </c>
      <c r="W203" s="141">
        <f t="shared" si="25"/>
        <v>1230521.8345908599</v>
      </c>
      <c r="X203" s="141">
        <f t="shared" si="26"/>
        <v>953903.07627082081</v>
      </c>
      <c r="Y203" s="141">
        <f t="shared" si="22"/>
        <v>516178.79029679397</v>
      </c>
      <c r="Z203" s="141">
        <f t="shared" si="27"/>
        <v>162568.73371690692</v>
      </c>
    </row>
    <row r="204" spans="1:26" ht="19.5" thickBot="1" x14ac:dyDescent="0.35">
      <c r="A204" s="142">
        <v>110</v>
      </c>
      <c r="B204" s="143" t="s">
        <v>220</v>
      </c>
      <c r="C204" s="142">
        <v>31</v>
      </c>
      <c r="D204" s="143" t="s">
        <v>260</v>
      </c>
      <c r="E204" s="142">
        <v>555624</v>
      </c>
      <c r="F204" s="143" t="s">
        <v>270</v>
      </c>
      <c r="G204" s="144">
        <v>2.6579356498262534</v>
      </c>
      <c r="H204" s="145">
        <v>203.17410062026929</v>
      </c>
      <c r="I204" s="146">
        <v>1.0785835913248689</v>
      </c>
      <c r="J204" s="147">
        <v>0.91506783272086456</v>
      </c>
      <c r="K204" s="148">
        <v>125</v>
      </c>
      <c r="M204" s="138">
        <f t="shared" si="21"/>
        <v>1.0785835913248689</v>
      </c>
      <c r="N204" s="149"/>
      <c r="U204" s="141">
        <f t="shared" si="23"/>
        <v>11699718.883631274</v>
      </c>
      <c r="V204" s="141">
        <f t="shared" si="24"/>
        <v>1540047.030946356</v>
      </c>
      <c r="W204" s="141">
        <f t="shared" si="25"/>
        <v>842074.32757725101</v>
      </c>
      <c r="X204" s="141">
        <f t="shared" si="26"/>
        <v>587686.38669756427</v>
      </c>
      <c r="Y204" s="141">
        <f t="shared" si="22"/>
        <v>185140.36827775274</v>
      </c>
      <c r="Z204" s="141">
        <f t="shared" si="27"/>
        <v>-140051.36750335043</v>
      </c>
    </row>
    <row r="205" spans="1:26" ht="19.5" thickBot="1" x14ac:dyDescent="0.35">
      <c r="A205" s="142">
        <v>110</v>
      </c>
      <c r="B205" s="143" t="s">
        <v>220</v>
      </c>
      <c r="C205" s="142">
        <v>31</v>
      </c>
      <c r="D205" s="143" t="s">
        <v>260</v>
      </c>
      <c r="E205" s="142">
        <v>455676</v>
      </c>
      <c r="F205" s="143" t="s">
        <v>271</v>
      </c>
      <c r="G205" s="144">
        <v>1.9523576781641299</v>
      </c>
      <c r="H205" s="145">
        <v>18.056916718841268</v>
      </c>
      <c r="I205" s="146">
        <v>0.13921090537855396</v>
      </c>
      <c r="J205" s="147">
        <v>0.98903795311018217</v>
      </c>
      <c r="K205" s="148">
        <v>291</v>
      </c>
      <c r="M205" s="138">
        <f t="shared" si="21"/>
        <v>0.13921090537855396</v>
      </c>
      <c r="N205" s="149"/>
      <c r="U205" s="141">
        <f t="shared" si="23"/>
        <v>9288594.7995663714</v>
      </c>
      <c r="V205" s="141">
        <f t="shared" si="24"/>
        <v>1825918.511480164</v>
      </c>
      <c r="W205" s="141">
        <f t="shared" si="25"/>
        <v>1313230.2653743096</v>
      </c>
      <c r="X205" s="141">
        <f t="shared" si="26"/>
        <v>1126372.3744990039</v>
      </c>
      <c r="Y205" s="141">
        <f t="shared" si="22"/>
        <v>830686.58168167493</v>
      </c>
      <c r="Z205" s="141">
        <f t="shared" si="27"/>
        <v>591820.53454119572</v>
      </c>
    </row>
    <row r="206" spans="1:26" ht="19.5" thickBot="1" x14ac:dyDescent="0.35">
      <c r="A206" s="142">
        <v>110</v>
      </c>
      <c r="B206" s="143" t="s">
        <v>220</v>
      </c>
      <c r="C206" s="142">
        <v>31</v>
      </c>
      <c r="D206" s="143" t="s">
        <v>260</v>
      </c>
      <c r="E206" s="142">
        <v>455678</v>
      </c>
      <c r="F206" s="143" t="s">
        <v>272</v>
      </c>
      <c r="G206" s="144">
        <v>9.0627591209834257</v>
      </c>
      <c r="H206" s="145">
        <v>202.44485300861783</v>
      </c>
      <c r="I206" s="146">
        <v>1.0851353812913489</v>
      </c>
      <c r="J206" s="147">
        <v>0.91455191747249009</v>
      </c>
      <c r="K206" s="148">
        <v>123</v>
      </c>
      <c r="M206" s="138">
        <f t="shared" si="21"/>
        <v>1.0851353812913489</v>
      </c>
      <c r="N206" s="149"/>
      <c r="U206" s="141">
        <f t="shared" si="23"/>
        <v>39870022.188219011</v>
      </c>
      <c r="V206" s="141">
        <f t="shared" si="24"/>
        <v>5228604.6071960758</v>
      </c>
      <c r="W206" s="141">
        <f t="shared" si="25"/>
        <v>2848728.1477831826</v>
      </c>
      <c r="X206" s="141">
        <f t="shared" si="26"/>
        <v>1981341.9747483772</v>
      </c>
      <c r="Y206" s="141">
        <f t="shared" si="22"/>
        <v>608781.43127239519</v>
      </c>
      <c r="Z206" s="141">
        <f t="shared" si="27"/>
        <v>-500024.33297222678</v>
      </c>
    </row>
    <row r="207" spans="1:26" ht="19.5" thickBot="1" x14ac:dyDescent="0.35">
      <c r="A207" s="142">
        <v>110</v>
      </c>
      <c r="B207" s="143" t="s">
        <v>220</v>
      </c>
      <c r="C207" s="142">
        <v>31</v>
      </c>
      <c r="D207" s="143" t="s">
        <v>260</v>
      </c>
      <c r="E207" s="142">
        <v>555679</v>
      </c>
      <c r="F207" s="143" t="s">
        <v>273</v>
      </c>
      <c r="G207" s="144">
        <v>3.757448525190461</v>
      </c>
      <c r="H207" s="145">
        <v>268.25011477406969</v>
      </c>
      <c r="I207" s="146">
        <v>1.4591305431501798</v>
      </c>
      <c r="J207" s="147">
        <v>0.88510197969848403</v>
      </c>
      <c r="K207" s="148">
        <v>74</v>
      </c>
      <c r="M207" s="138">
        <f t="shared" si="21"/>
        <v>1.4591305431501798</v>
      </c>
      <c r="N207" s="149"/>
      <c r="U207" s="141">
        <f t="shared" si="23"/>
        <v>15997938.670182979</v>
      </c>
      <c r="V207" s="141">
        <f t="shared" si="24"/>
        <v>1635497.6450267045</v>
      </c>
      <c r="W207" s="141">
        <f t="shared" si="25"/>
        <v>648793.35627957887</v>
      </c>
      <c r="X207" s="141">
        <f t="shared" si="26"/>
        <v>289172.312276087</v>
      </c>
      <c r="Y207" s="141">
        <f t="shared" si="22"/>
        <v>-279895.61957233318</v>
      </c>
      <c r="Z207" s="141">
        <f t="shared" si="27"/>
        <v>-739609.98778689327</v>
      </c>
    </row>
    <row r="208" spans="1:26" ht="19.5" thickBot="1" x14ac:dyDescent="0.35">
      <c r="A208" s="142">
        <v>110</v>
      </c>
      <c r="B208" s="143" t="s">
        <v>220</v>
      </c>
      <c r="C208" s="142">
        <v>31</v>
      </c>
      <c r="D208" s="143" t="s">
        <v>260</v>
      </c>
      <c r="E208" s="142">
        <v>554700</v>
      </c>
      <c r="F208" s="143" t="s">
        <v>274</v>
      </c>
      <c r="G208" s="144">
        <v>2.6247581669761875</v>
      </c>
      <c r="H208" s="145">
        <v>271.48975904356718</v>
      </c>
      <c r="I208" s="146">
        <v>1.8139388979918909</v>
      </c>
      <c r="J208" s="147">
        <v>0.85716289107538013</v>
      </c>
      <c r="K208" s="148">
        <v>40</v>
      </c>
      <c r="M208" s="138">
        <f t="shared" si="21"/>
        <v>1.8139388979918909</v>
      </c>
      <c r="N208" s="149"/>
      <c r="U208" s="141">
        <f t="shared" si="23"/>
        <v>10822568.227724919</v>
      </c>
      <c r="V208" s="141">
        <f t="shared" si="24"/>
        <v>789713.71867162397</v>
      </c>
      <c r="W208" s="141">
        <f t="shared" si="25"/>
        <v>100453.4073415649</v>
      </c>
      <c r="X208" s="141">
        <f t="shared" si="26"/>
        <v>-150759.15510247339</v>
      </c>
      <c r="Y208" s="141">
        <f t="shared" si="22"/>
        <v>-548280.42297072103</v>
      </c>
      <c r="Z208" s="141">
        <f t="shared" si="27"/>
        <v>-869412.97724471497</v>
      </c>
    </row>
    <row r="209" spans="1:26" ht="19.5" thickBot="1" x14ac:dyDescent="0.35">
      <c r="A209" s="142">
        <v>160</v>
      </c>
      <c r="B209" s="143" t="s">
        <v>275</v>
      </c>
      <c r="C209" s="142">
        <v>45</v>
      </c>
      <c r="D209" s="143" t="s">
        <v>276</v>
      </c>
      <c r="E209" s="142">
        <v>557105</v>
      </c>
      <c r="F209" s="143" t="s">
        <v>277</v>
      </c>
      <c r="G209" s="144">
        <v>3.8480691393992146</v>
      </c>
      <c r="H209" s="145">
        <v>268.32911660241331</v>
      </c>
      <c r="I209" s="146">
        <v>1.8381975068941618</v>
      </c>
      <c r="J209" s="147">
        <v>0.85525266710589076</v>
      </c>
      <c r="K209" s="148">
        <v>36</v>
      </c>
      <c r="M209" s="138">
        <f t="shared" si="21"/>
        <v>1.8381975068941618</v>
      </c>
      <c r="N209" s="149"/>
      <c r="U209" s="141">
        <f t="shared" si="23"/>
        <v>15831241.699399227</v>
      </c>
      <c r="V209" s="141">
        <f t="shared" si="24"/>
        <v>1122413.167265546</v>
      </c>
      <c r="W209" s="141">
        <f t="shared" si="25"/>
        <v>111911.94608163013</v>
      </c>
      <c r="X209" s="141">
        <f t="shared" si="26"/>
        <v>-256382.29189152175</v>
      </c>
      <c r="Y209" s="141">
        <f t="shared" si="22"/>
        <v>-839174.77250351955</v>
      </c>
      <c r="Z209" s="141">
        <f t="shared" si="27"/>
        <v>-1309976.3447420073</v>
      </c>
    </row>
    <row r="210" spans="1:26" ht="19.5" thickBot="1" x14ac:dyDescent="0.35">
      <c r="A210" s="142">
        <v>160</v>
      </c>
      <c r="B210" s="143" t="s">
        <v>275</v>
      </c>
      <c r="C210" s="142">
        <v>45</v>
      </c>
      <c r="D210" s="143" t="s">
        <v>276</v>
      </c>
      <c r="E210" s="142">
        <v>557178</v>
      </c>
      <c r="F210" s="143" t="s">
        <v>278</v>
      </c>
      <c r="G210" s="144">
        <v>2.9895671015622725</v>
      </c>
      <c r="H210" s="145">
        <v>83.040582782125199</v>
      </c>
      <c r="I210" s="146">
        <v>0.27836308230215701</v>
      </c>
      <c r="J210" s="147">
        <v>0.97808053074367463</v>
      </c>
      <c r="K210" s="148">
        <v>273</v>
      </c>
      <c r="M210" s="138">
        <f t="shared" si="21"/>
        <v>0.27836308230215701</v>
      </c>
      <c r="N210" s="149"/>
      <c r="U210" s="141">
        <f t="shared" si="23"/>
        <v>14065675.553067319</v>
      </c>
      <c r="V210" s="141">
        <f t="shared" si="24"/>
        <v>2638378.3062583134</v>
      </c>
      <c r="W210" s="141">
        <f t="shared" si="25"/>
        <v>1853319.3331725055</v>
      </c>
      <c r="X210" s="141">
        <f t="shared" si="26"/>
        <v>1567191.3303603251</v>
      </c>
      <c r="Y210" s="141">
        <f t="shared" si="22"/>
        <v>1114419.520925655</v>
      </c>
      <c r="Z210" s="141">
        <f t="shared" si="27"/>
        <v>748653.51185968402</v>
      </c>
    </row>
    <row r="211" spans="1:26" ht="19.5" thickBot="1" x14ac:dyDescent="0.35">
      <c r="A211" s="142">
        <v>160</v>
      </c>
      <c r="B211" s="143" t="s">
        <v>275</v>
      </c>
      <c r="C211" s="142">
        <v>45</v>
      </c>
      <c r="D211" s="143" t="s">
        <v>276</v>
      </c>
      <c r="E211" s="142">
        <v>557224</v>
      </c>
      <c r="F211" s="143" t="s">
        <v>279</v>
      </c>
      <c r="G211" s="144">
        <v>3.3355971104975688</v>
      </c>
      <c r="H211" s="145">
        <v>153.16623392319383</v>
      </c>
      <c r="I211" s="146">
        <v>0.60343774899113889</v>
      </c>
      <c r="J211" s="147">
        <v>0.95248279664916258</v>
      </c>
      <c r="K211" s="148">
        <v>217</v>
      </c>
      <c r="M211" s="138">
        <f t="shared" si="21"/>
        <v>0.60343774899113889</v>
      </c>
      <c r="N211" s="149"/>
      <c r="U211" s="141">
        <f t="shared" si="23"/>
        <v>15282992.676781587</v>
      </c>
      <c r="V211" s="141">
        <f t="shared" si="24"/>
        <v>2533033.1066036755</v>
      </c>
      <c r="W211" s="141">
        <f t="shared" si="25"/>
        <v>1657106.8091719255</v>
      </c>
      <c r="X211" s="141">
        <f t="shared" si="26"/>
        <v>1337860.6752035664</v>
      </c>
      <c r="Y211" s="141">
        <f t="shared" si="22"/>
        <v>832682.40425061958</v>
      </c>
      <c r="Z211" s="141">
        <f t="shared" si="27"/>
        <v>424580.49467276997</v>
      </c>
    </row>
    <row r="212" spans="1:26" ht="19.5" thickBot="1" x14ac:dyDescent="0.35">
      <c r="A212" s="142">
        <v>160</v>
      </c>
      <c r="B212" s="143" t="s">
        <v>275</v>
      </c>
      <c r="C212" s="142">
        <v>45</v>
      </c>
      <c r="D212" s="143" t="s">
        <v>276</v>
      </c>
      <c r="E212" s="142">
        <v>557432</v>
      </c>
      <c r="F212" s="143" t="s">
        <v>280</v>
      </c>
      <c r="G212" s="144">
        <v>3.7485562538819845</v>
      </c>
      <c r="H212" s="145">
        <v>149.93391963051349</v>
      </c>
      <c r="I212" s="146">
        <v>0.84139796836014036</v>
      </c>
      <c r="J212" s="147">
        <v>0.93374481721040392</v>
      </c>
      <c r="K212" s="148">
        <v>167</v>
      </c>
      <c r="M212" s="138">
        <f t="shared" si="21"/>
        <v>0.84139796836014036</v>
      </c>
      <c r="N212" s="149"/>
      <c r="U212" s="141">
        <f t="shared" si="23"/>
        <v>16837201.623561058</v>
      </c>
      <c r="V212" s="141">
        <f t="shared" si="24"/>
        <v>2508750.3447423535</v>
      </c>
      <c r="W212" s="141">
        <f t="shared" si="25"/>
        <v>1524381.1624319374</v>
      </c>
      <c r="X212" s="141">
        <f t="shared" si="26"/>
        <v>1165611.1874105162</v>
      </c>
      <c r="Y212" s="141">
        <f t="shared" si="22"/>
        <v>597889.9956196174</v>
      </c>
      <c r="Z212" s="141">
        <f t="shared" si="27"/>
        <v>139263.57441462061</v>
      </c>
    </row>
    <row r="213" spans="1:26" ht="19.5" thickBot="1" x14ac:dyDescent="0.35">
      <c r="A213" s="142">
        <v>160</v>
      </c>
      <c r="B213" s="143" t="s">
        <v>275</v>
      </c>
      <c r="C213" s="142">
        <v>45</v>
      </c>
      <c r="D213" s="143" t="s">
        <v>276</v>
      </c>
      <c r="E213" s="142">
        <v>557433</v>
      </c>
      <c r="F213" s="143" t="s">
        <v>281</v>
      </c>
      <c r="G213" s="144">
        <v>3.1089604484710822</v>
      </c>
      <c r="H213" s="145">
        <v>82.798114310714851</v>
      </c>
      <c r="I213" s="146">
        <v>0.26474714022327833</v>
      </c>
      <c r="J213" s="147">
        <v>0.97915270677120514</v>
      </c>
      <c r="K213" s="148">
        <v>276</v>
      </c>
      <c r="M213" s="138">
        <f t="shared" si="21"/>
        <v>0.26474714022327833</v>
      </c>
      <c r="N213" s="149"/>
      <c r="U213" s="141">
        <f t="shared" si="23"/>
        <v>14643446.389763828</v>
      </c>
      <c r="V213" s="141">
        <f t="shared" si="24"/>
        <v>2759780.9738960383</v>
      </c>
      <c r="W213" s="141">
        <f t="shared" si="25"/>
        <v>1943369.3617379956</v>
      </c>
      <c r="X213" s="141">
        <f t="shared" si="26"/>
        <v>1645814.3600528927</v>
      </c>
      <c r="Y213" s="141">
        <f t="shared" si="22"/>
        <v>1174960.3534713136</v>
      </c>
      <c r="Z213" s="141">
        <f t="shared" si="27"/>
        <v>794586.86896682717</v>
      </c>
    </row>
    <row r="214" spans="1:26" ht="19.5" thickBot="1" x14ac:dyDescent="0.35">
      <c r="A214" s="142">
        <v>160</v>
      </c>
      <c r="B214" s="143" t="s">
        <v>275</v>
      </c>
      <c r="C214" s="142">
        <v>45</v>
      </c>
      <c r="D214" s="143" t="s">
        <v>276</v>
      </c>
      <c r="E214" s="142">
        <v>557434</v>
      </c>
      <c r="F214" s="143" t="s">
        <v>282</v>
      </c>
      <c r="G214" s="144">
        <v>3.7472367864044478</v>
      </c>
      <c r="H214" s="145">
        <v>132.39085341495547</v>
      </c>
      <c r="I214" s="146">
        <v>0.52301973160883297</v>
      </c>
      <c r="J214" s="147">
        <v>0.95881524650238226</v>
      </c>
      <c r="K214" s="148">
        <v>231</v>
      </c>
      <c r="M214" s="138">
        <f t="shared" si="21"/>
        <v>0.52301973160883297</v>
      </c>
      <c r="N214" s="149"/>
      <c r="U214" s="141">
        <f t="shared" si="23"/>
        <v>17283183.613883495</v>
      </c>
      <c r="V214" s="141">
        <f t="shared" si="24"/>
        <v>2959775.8569397195</v>
      </c>
      <c r="W214" s="141">
        <f t="shared" si="25"/>
        <v>1975753.1661940503</v>
      </c>
      <c r="X214" s="141">
        <f t="shared" si="26"/>
        <v>1617109.4758758312</v>
      </c>
      <c r="Y214" s="141">
        <f t="shared" si="22"/>
        <v>1049588.1182605838</v>
      </c>
      <c r="Z214" s="141">
        <f t="shared" si="27"/>
        <v>591123.13057989185</v>
      </c>
    </row>
    <row r="215" spans="1:26" ht="19.5" thickBot="1" x14ac:dyDescent="0.35">
      <c r="A215" s="142">
        <v>160</v>
      </c>
      <c r="B215" s="143" t="s">
        <v>275</v>
      </c>
      <c r="C215" s="142">
        <v>45</v>
      </c>
      <c r="D215" s="143" t="s">
        <v>276</v>
      </c>
      <c r="E215" s="142">
        <v>557436</v>
      </c>
      <c r="F215" s="143" t="s">
        <v>283</v>
      </c>
      <c r="G215" s="144">
        <v>4.8968438782934056</v>
      </c>
      <c r="H215" s="145">
        <v>257.33922584012902</v>
      </c>
      <c r="I215" s="146">
        <v>1.666328220973168</v>
      </c>
      <c r="J215" s="147">
        <v>0.86878637099253797</v>
      </c>
      <c r="K215" s="148">
        <v>48</v>
      </c>
      <c r="M215" s="138">
        <f t="shared" si="21"/>
        <v>1.666328220973168</v>
      </c>
      <c r="N215" s="149"/>
      <c r="U215" s="141">
        <f t="shared" si="23"/>
        <v>20464773.062722407</v>
      </c>
      <c r="V215" s="141">
        <f t="shared" si="24"/>
        <v>1747116.4029225013</v>
      </c>
      <c r="W215" s="141">
        <f t="shared" si="25"/>
        <v>461207.40812335227</v>
      </c>
      <c r="X215" s="141">
        <f t="shared" si="26"/>
        <v>-7463.8447302630284</v>
      </c>
      <c r="Y215" s="141">
        <f t="shared" si="22"/>
        <v>-749093.91623304528</v>
      </c>
      <c r="Z215" s="141">
        <f t="shared" si="27"/>
        <v>-1348210.4376339288</v>
      </c>
    </row>
    <row r="216" spans="1:26" ht="19.5" thickBot="1" x14ac:dyDescent="0.35">
      <c r="A216" s="142">
        <v>160</v>
      </c>
      <c r="B216" s="143" t="s">
        <v>275</v>
      </c>
      <c r="C216" s="142">
        <v>45</v>
      </c>
      <c r="D216" s="143" t="s">
        <v>276</v>
      </c>
      <c r="E216" s="142">
        <v>557437</v>
      </c>
      <c r="F216" s="143" t="s">
        <v>540</v>
      </c>
      <c r="G216" s="144">
        <v>3.1521611030053944</v>
      </c>
      <c r="H216" s="145">
        <v>73.860695501260878</v>
      </c>
      <c r="I216" s="146">
        <v>0.27886096093309221</v>
      </c>
      <c r="J216" s="147">
        <v>0.97804132570522651</v>
      </c>
      <c r="K216" s="148">
        <v>272</v>
      </c>
      <c r="M216" s="138">
        <f t="shared" si="21"/>
        <v>0.27886096093309221</v>
      </c>
      <c r="N216" s="149"/>
      <c r="U216" s="141">
        <f t="shared" si="23"/>
        <v>14830072.936928198</v>
      </c>
      <c r="V216" s="141">
        <f t="shared" si="24"/>
        <v>2781277.6865896182</v>
      </c>
      <c r="W216" s="141">
        <f t="shared" si="25"/>
        <v>1953521.6020269864</v>
      </c>
      <c r="X216" s="141">
        <f t="shared" si="26"/>
        <v>1651831.9157597502</v>
      </c>
      <c r="Y216" s="141">
        <f t="shared" si="22"/>
        <v>1174435.142999067</v>
      </c>
      <c r="Z216" s="141">
        <f t="shared" si="27"/>
        <v>788776.16716381372</v>
      </c>
    </row>
    <row r="217" spans="1:26" ht="19.5" thickBot="1" x14ac:dyDescent="0.35">
      <c r="A217" s="142">
        <v>160</v>
      </c>
      <c r="B217" s="143" t="s">
        <v>275</v>
      </c>
      <c r="C217" s="142">
        <v>45</v>
      </c>
      <c r="D217" s="143" t="s">
        <v>276</v>
      </c>
      <c r="E217" s="142">
        <v>557440</v>
      </c>
      <c r="F217" s="143" t="s">
        <v>284</v>
      </c>
      <c r="G217" s="144">
        <v>2.875057239081289</v>
      </c>
      <c r="H217" s="145">
        <v>115.80555020059073</v>
      </c>
      <c r="I217" s="146">
        <v>0.73966116555631944</v>
      </c>
      <c r="J217" s="147">
        <v>0.94175599707970348</v>
      </c>
      <c r="K217" s="148">
        <v>189</v>
      </c>
      <c r="M217" s="138">
        <f t="shared" si="21"/>
        <v>0.73966116555631944</v>
      </c>
      <c r="N217" s="149"/>
      <c r="U217" s="141">
        <f t="shared" si="23"/>
        <v>13024545.149565313</v>
      </c>
      <c r="V217" s="141">
        <f t="shared" si="24"/>
        <v>2034949.4802113203</v>
      </c>
      <c r="W217" s="141">
        <f t="shared" si="25"/>
        <v>1279960.745388617</v>
      </c>
      <c r="X217" s="141">
        <f t="shared" si="26"/>
        <v>1004792.348814029</v>
      </c>
      <c r="Y217" s="141">
        <f t="shared" si="22"/>
        <v>569363.12975190335</v>
      </c>
      <c r="Z217" s="141">
        <f t="shared" si="27"/>
        <v>217607.11409818099</v>
      </c>
    </row>
    <row r="218" spans="1:26" ht="19.5" thickBot="1" x14ac:dyDescent="0.35">
      <c r="A218" s="142">
        <v>160</v>
      </c>
      <c r="B218" s="143" t="s">
        <v>275</v>
      </c>
      <c r="C218" s="142">
        <v>45</v>
      </c>
      <c r="D218" s="143" t="s">
        <v>276</v>
      </c>
      <c r="E218" s="142">
        <v>557441</v>
      </c>
      <c r="F218" s="143" t="s">
        <v>285</v>
      </c>
      <c r="G218" s="144">
        <v>2.5461804329391748</v>
      </c>
      <c r="H218" s="145">
        <v>285.29655094453125</v>
      </c>
      <c r="I218" s="146">
        <v>1.6193565599121458</v>
      </c>
      <c r="J218" s="147">
        <v>0.87248511535199302</v>
      </c>
      <c r="K218" s="148">
        <v>55</v>
      </c>
      <c r="M218" s="138">
        <f t="shared" si="21"/>
        <v>1.6193565599121458</v>
      </c>
      <c r="N218" s="149"/>
      <c r="U218" s="141">
        <f t="shared" si="23"/>
        <v>10686238.890974129</v>
      </c>
      <c r="V218" s="141">
        <f t="shared" si="24"/>
        <v>953739.28057903936</v>
      </c>
      <c r="W218" s="141">
        <f t="shared" si="25"/>
        <v>285113.4467819549</v>
      </c>
      <c r="X218" s="141">
        <f t="shared" si="26"/>
        <v>41421.468202305521</v>
      </c>
      <c r="Y218" s="141">
        <f t="shared" si="22"/>
        <v>-344199.15264496621</v>
      </c>
      <c r="Z218" s="141">
        <f t="shared" si="27"/>
        <v>-655717.9189678065</v>
      </c>
    </row>
    <row r="219" spans="1:26" ht="19.5" thickBot="1" x14ac:dyDescent="0.35">
      <c r="A219" s="142">
        <v>160</v>
      </c>
      <c r="B219" s="143" t="s">
        <v>275</v>
      </c>
      <c r="C219" s="142">
        <v>45</v>
      </c>
      <c r="D219" s="143" t="s">
        <v>276</v>
      </c>
      <c r="E219" s="142">
        <v>557439</v>
      </c>
      <c r="F219" s="143" t="s">
        <v>286</v>
      </c>
      <c r="G219" s="144">
        <v>3.7911894120016649</v>
      </c>
      <c r="H219" s="145">
        <v>143.69877847711206</v>
      </c>
      <c r="I219" s="146">
        <v>0.87601574081378064</v>
      </c>
      <c r="J219" s="147">
        <v>0.9310188695281737</v>
      </c>
      <c r="K219" s="148">
        <v>163</v>
      </c>
      <c r="M219" s="138">
        <f t="shared" si="21"/>
        <v>0.87601574081378064</v>
      </c>
      <c r="N219" s="149"/>
      <c r="U219" s="141">
        <f t="shared" si="23"/>
        <v>16978981.755560331</v>
      </c>
      <c r="V219" s="141">
        <f t="shared" si="24"/>
        <v>2487569.8360022968</v>
      </c>
      <c r="W219" s="141">
        <f t="shared" si="25"/>
        <v>1492005.2055899289</v>
      </c>
      <c r="X219" s="141">
        <f t="shared" si="26"/>
        <v>1129154.8604105725</v>
      </c>
      <c r="Y219" s="141">
        <f t="shared" si="22"/>
        <v>554976.85012790142</v>
      </c>
      <c r="Z219" s="141">
        <f t="shared" si="27"/>
        <v>91134.369349876579</v>
      </c>
    </row>
    <row r="220" spans="1:26" ht="19.5" thickBot="1" x14ac:dyDescent="0.35">
      <c r="A220" s="142">
        <v>160</v>
      </c>
      <c r="B220" s="143" t="s">
        <v>275</v>
      </c>
      <c r="C220" s="142">
        <v>45</v>
      </c>
      <c r="D220" s="143" t="s">
        <v>276</v>
      </c>
      <c r="E220" s="142">
        <v>457443</v>
      </c>
      <c r="F220" s="143" t="s">
        <v>287</v>
      </c>
      <c r="G220" s="144">
        <v>4.0983728111111111</v>
      </c>
      <c r="H220" s="145">
        <v>187.2735593914694</v>
      </c>
      <c r="I220" s="146">
        <v>1.8666921177617071</v>
      </c>
      <c r="J220" s="147">
        <v>0.85300888268693487</v>
      </c>
      <c r="K220" s="148">
        <v>34</v>
      </c>
      <c r="M220" s="138">
        <f t="shared" si="21"/>
        <v>1.8666921177617071</v>
      </c>
      <c r="N220" s="149"/>
      <c r="U220" s="141">
        <f t="shared" si="23"/>
        <v>16816774.128770422</v>
      </c>
      <c r="V220" s="141">
        <f t="shared" si="24"/>
        <v>1151186.8548360236</v>
      </c>
      <c r="W220" s="141">
        <f t="shared" si="25"/>
        <v>74956.002304792724</v>
      </c>
      <c r="X220" s="141">
        <f t="shared" si="26"/>
        <v>-317294.510021945</v>
      </c>
      <c r="Y220" s="141">
        <f t="shared" si="22"/>
        <v>-937995.63844114984</v>
      </c>
      <c r="Z220" s="141">
        <f t="shared" si="27"/>
        <v>-1439421.234809678</v>
      </c>
    </row>
    <row r="221" spans="1:26" ht="19.5" thickBot="1" x14ac:dyDescent="0.35">
      <c r="A221" s="142">
        <v>160</v>
      </c>
      <c r="B221" s="143" t="s">
        <v>275</v>
      </c>
      <c r="C221" s="142">
        <v>45</v>
      </c>
      <c r="D221" s="143" t="s">
        <v>276</v>
      </c>
      <c r="E221" s="142">
        <v>557444</v>
      </c>
      <c r="F221" s="143" t="s">
        <v>541</v>
      </c>
      <c r="G221" s="144">
        <v>6.0225891789421091</v>
      </c>
      <c r="H221" s="145">
        <v>265.59537827565566</v>
      </c>
      <c r="I221" s="146">
        <v>1.7740796239196217</v>
      </c>
      <c r="J221" s="147">
        <v>0.86030157644048244</v>
      </c>
      <c r="K221" s="148">
        <v>45</v>
      </c>
      <c r="M221" s="138">
        <f t="shared" si="21"/>
        <v>1.7740796239196217</v>
      </c>
      <c r="N221" s="149"/>
      <c r="U221" s="141">
        <f t="shared" si="23"/>
        <v>24923649.427119195</v>
      </c>
      <c r="V221" s="141">
        <f t="shared" si="24"/>
        <v>1902952.9834025563</v>
      </c>
      <c r="W221" s="141">
        <f t="shared" si="25"/>
        <v>321423.78017202386</v>
      </c>
      <c r="X221" s="141">
        <f t="shared" si="26"/>
        <v>-254991.25082976735</v>
      </c>
      <c r="Y221" s="141">
        <f t="shared" si="22"/>
        <v>-1167116.1529958022</v>
      </c>
      <c r="Z221" s="141">
        <f t="shared" si="27"/>
        <v>-1903964.7780272991</v>
      </c>
    </row>
    <row r="222" spans="1:26" ht="19.5" thickBot="1" x14ac:dyDescent="0.35">
      <c r="A222" s="142">
        <v>160</v>
      </c>
      <c r="B222" s="143" t="s">
        <v>275</v>
      </c>
      <c r="C222" s="142">
        <v>45</v>
      </c>
      <c r="D222" s="143" t="s">
        <v>276</v>
      </c>
      <c r="E222" s="142">
        <v>557445</v>
      </c>
      <c r="F222" s="143" t="s">
        <v>288</v>
      </c>
      <c r="G222" s="144">
        <v>3.0671238161600978</v>
      </c>
      <c r="H222" s="145">
        <v>158.8157132045086</v>
      </c>
      <c r="I222" s="146">
        <v>0.68838019447591547</v>
      </c>
      <c r="J222" s="147">
        <v>0.94579407447033714</v>
      </c>
      <c r="K222" s="148">
        <v>202</v>
      </c>
      <c r="M222" s="138">
        <f t="shared" si="21"/>
        <v>0.68838019447591547</v>
      </c>
      <c r="N222" s="149"/>
      <c r="U222" s="141">
        <f t="shared" si="23"/>
        <v>13954220.226066448</v>
      </c>
      <c r="V222" s="141">
        <f t="shared" si="24"/>
        <v>2230470.8170925095</v>
      </c>
      <c r="W222" s="141">
        <f t="shared" si="25"/>
        <v>1425045.4857181516</v>
      </c>
      <c r="X222" s="141">
        <f t="shared" si="26"/>
        <v>1131494.6196288925</v>
      </c>
      <c r="Y222" s="141">
        <f t="shared" si="22"/>
        <v>666976.79720661778</v>
      </c>
      <c r="Z222" s="141">
        <f t="shared" si="27"/>
        <v>291721.91934760625</v>
      </c>
    </row>
    <row r="223" spans="1:26" ht="19.5" thickBot="1" x14ac:dyDescent="0.35">
      <c r="A223" s="142">
        <v>160</v>
      </c>
      <c r="B223" s="143" t="s">
        <v>275</v>
      </c>
      <c r="C223" s="142">
        <v>45</v>
      </c>
      <c r="D223" s="143" t="s">
        <v>276</v>
      </c>
      <c r="E223" s="142">
        <v>457446</v>
      </c>
      <c r="F223" s="143" t="s">
        <v>289</v>
      </c>
      <c r="G223" s="144">
        <v>7.3002462539154163</v>
      </c>
      <c r="H223" s="145">
        <v>303.78006277672819</v>
      </c>
      <c r="I223" s="146">
        <v>1.7597551811365031</v>
      </c>
      <c r="J223" s="147">
        <v>0.86142954276633932</v>
      </c>
      <c r="K223" s="148">
        <v>46</v>
      </c>
      <c r="M223" s="138">
        <f t="shared" si="21"/>
        <v>1.7597551811365031</v>
      </c>
      <c r="N223" s="149"/>
      <c r="U223" s="141">
        <f t="shared" si="23"/>
        <v>30250666.49355597</v>
      </c>
      <c r="V223" s="141">
        <f t="shared" si="24"/>
        <v>2346263.9214240024</v>
      </c>
      <c r="W223" s="141">
        <f t="shared" si="25"/>
        <v>429222.54631072446</v>
      </c>
      <c r="X223" s="141">
        <f t="shared" si="26"/>
        <v>-269475.56271595025</v>
      </c>
      <c r="Y223" s="141">
        <f t="shared" si="22"/>
        <v>-1375102.4288855258</v>
      </c>
      <c r="Z223" s="141">
        <f t="shared" si="27"/>
        <v>-2268269.1807199558</v>
      </c>
    </row>
    <row r="224" spans="1:26" ht="19.5" thickBot="1" x14ac:dyDescent="0.35">
      <c r="A224" s="142">
        <v>160</v>
      </c>
      <c r="B224" s="143" t="s">
        <v>275</v>
      </c>
      <c r="C224" s="142">
        <v>45</v>
      </c>
      <c r="D224" s="143" t="s">
        <v>276</v>
      </c>
      <c r="E224" s="142">
        <v>557447</v>
      </c>
      <c r="F224" s="143" t="s">
        <v>290</v>
      </c>
      <c r="G224" s="144">
        <v>2.9612506945259045</v>
      </c>
      <c r="H224" s="145">
        <v>134.44082111519364</v>
      </c>
      <c r="I224" s="146">
        <v>0.68780557771252315</v>
      </c>
      <c r="J224" s="147">
        <v>0.94583932218916245</v>
      </c>
      <c r="K224" s="148">
        <v>203</v>
      </c>
      <c r="M224" s="138">
        <f t="shared" si="21"/>
        <v>0.68780557771252315</v>
      </c>
      <c r="N224" s="149"/>
      <c r="U224" s="141">
        <f t="shared" si="23"/>
        <v>13473183.247686604</v>
      </c>
      <c r="V224" s="141">
        <f t="shared" si="24"/>
        <v>2154122.4074118822</v>
      </c>
      <c r="W224" s="141">
        <f t="shared" si="25"/>
        <v>1376499.310047958</v>
      </c>
      <c r="X224" s="141">
        <f t="shared" si="26"/>
        <v>1093081.4377385853</v>
      </c>
      <c r="Y224" s="141">
        <f t="shared" si="22"/>
        <v>644598.16587975516</v>
      </c>
      <c r="Z224" s="141">
        <f t="shared" si="27"/>
        <v>282296.5979321546</v>
      </c>
    </row>
    <row r="225" spans="1:26" ht="19.5" thickBot="1" x14ac:dyDescent="0.35">
      <c r="A225" s="142">
        <v>160</v>
      </c>
      <c r="B225" s="143" t="s">
        <v>275</v>
      </c>
      <c r="C225" s="142">
        <v>45</v>
      </c>
      <c r="D225" s="143" t="s">
        <v>276</v>
      </c>
      <c r="E225" s="142">
        <v>457453</v>
      </c>
      <c r="F225" s="143" t="s">
        <v>542</v>
      </c>
      <c r="G225" s="144">
        <v>7.7095109330981</v>
      </c>
      <c r="H225" s="145">
        <v>324.43652339239412</v>
      </c>
      <c r="I225" s="146">
        <v>2.5700451481087327</v>
      </c>
      <c r="J225" s="147">
        <v>0.79762393365730733</v>
      </c>
      <c r="K225" s="148">
        <v>11</v>
      </c>
      <c r="M225" s="138">
        <f t="shared" si="21"/>
        <v>2.5700451481087327</v>
      </c>
      <c r="N225" s="149"/>
      <c r="U225" s="141">
        <f t="shared" si="23"/>
        <v>29580307.296234578</v>
      </c>
      <c r="V225" s="141">
        <f t="shared" si="24"/>
        <v>111534.70571550146</v>
      </c>
      <c r="W225" s="141">
        <f t="shared" si="25"/>
        <v>-1912979.38964264</v>
      </c>
      <c r="X225" s="141">
        <f t="shared" si="26"/>
        <v>-2650847.7468349817</v>
      </c>
      <c r="Y225" s="141">
        <f t="shared" si="22"/>
        <v>-3818458.0049258862</v>
      </c>
      <c r="Z225" s="141">
        <f t="shared" si="27"/>
        <v>-4761697.2599926693</v>
      </c>
    </row>
    <row r="226" spans="1:26" ht="19.5" thickBot="1" x14ac:dyDescent="0.35">
      <c r="A226" s="142">
        <v>160</v>
      </c>
      <c r="B226" s="143" t="s">
        <v>275</v>
      </c>
      <c r="C226" s="142">
        <v>45</v>
      </c>
      <c r="D226" s="143" t="s">
        <v>276</v>
      </c>
      <c r="E226" s="142">
        <v>557459</v>
      </c>
      <c r="F226" s="143" t="s">
        <v>293</v>
      </c>
      <c r="G226" s="144">
        <v>2.8369629421676046</v>
      </c>
      <c r="H226" s="145">
        <v>203.96375934254792</v>
      </c>
      <c r="I226" s="146">
        <v>1.0874729396510161</v>
      </c>
      <c r="J226" s="147">
        <v>0.91436784838482299</v>
      </c>
      <c r="K226" s="148">
        <v>122</v>
      </c>
      <c r="M226" s="138">
        <f t="shared" si="21"/>
        <v>1.0874729396510161</v>
      </c>
      <c r="N226" s="149"/>
      <c r="U226" s="141">
        <f t="shared" si="23"/>
        <v>12478209.856473036</v>
      </c>
      <c r="V226" s="141">
        <f t="shared" si="24"/>
        <v>1634225.5212862513</v>
      </c>
      <c r="W226" s="141">
        <f t="shared" si="25"/>
        <v>889240.3316590566</v>
      </c>
      <c r="X226" s="141">
        <f t="shared" si="26"/>
        <v>617717.89609626541</v>
      </c>
      <c r="Y226" s="141">
        <f t="shared" si="22"/>
        <v>188058.08215427809</v>
      </c>
      <c r="Z226" s="141">
        <f t="shared" si="27"/>
        <v>-159037.19216903197</v>
      </c>
    </row>
    <row r="227" spans="1:26" ht="19.5" thickBot="1" x14ac:dyDescent="0.35">
      <c r="A227" s="142">
        <v>160</v>
      </c>
      <c r="B227" s="143" t="s">
        <v>275</v>
      </c>
      <c r="C227" s="142">
        <v>45</v>
      </c>
      <c r="D227" s="143" t="s">
        <v>276</v>
      </c>
      <c r="E227" s="142">
        <v>557559</v>
      </c>
      <c r="F227" s="143" t="s">
        <v>294</v>
      </c>
      <c r="G227" s="144">
        <v>2.9777762320543215</v>
      </c>
      <c r="H227" s="145">
        <v>151.80841264494103</v>
      </c>
      <c r="I227" s="146">
        <v>0.92317137178017883</v>
      </c>
      <c r="J227" s="147">
        <v>0.92730563861162341</v>
      </c>
      <c r="K227" s="148">
        <v>153</v>
      </c>
      <c r="M227" s="138">
        <f t="shared" si="21"/>
        <v>0.92317137178017883</v>
      </c>
      <c r="N227" s="149"/>
      <c r="U227" s="141">
        <f t="shared" si="23"/>
        <v>13282891.813515732</v>
      </c>
      <c r="V227" s="141">
        <f t="shared" si="24"/>
        <v>1900663.8914913351</v>
      </c>
      <c r="W227" s="141">
        <f t="shared" si="25"/>
        <v>1118701.1954226457</v>
      </c>
      <c r="X227" s="141">
        <f t="shared" si="26"/>
        <v>833701.68306714948</v>
      </c>
      <c r="Y227" s="141">
        <f t="shared" si="22"/>
        <v>382715.60820225457</v>
      </c>
      <c r="Z227" s="141">
        <f t="shared" si="27"/>
        <v>18392.182338743598</v>
      </c>
    </row>
    <row r="228" spans="1:26" ht="19.5" thickBot="1" x14ac:dyDescent="0.35">
      <c r="A228" s="142">
        <v>160</v>
      </c>
      <c r="B228" s="143" t="s">
        <v>275</v>
      </c>
      <c r="C228" s="142">
        <v>45</v>
      </c>
      <c r="D228" s="143" t="s">
        <v>276</v>
      </c>
      <c r="E228" s="142">
        <v>457574</v>
      </c>
      <c r="F228" s="143" t="s">
        <v>295</v>
      </c>
      <c r="G228" s="144">
        <v>3.3124110479673949</v>
      </c>
      <c r="H228" s="145">
        <v>249.41931138859442</v>
      </c>
      <c r="I228" s="146">
        <v>1.6199059743182023</v>
      </c>
      <c r="J228" s="147">
        <v>0.87244185217182224</v>
      </c>
      <c r="K228" s="148">
        <v>54</v>
      </c>
      <c r="M228" s="138">
        <f t="shared" si="21"/>
        <v>1.6199059743182023</v>
      </c>
      <c r="N228" s="149"/>
      <c r="U228" s="141">
        <f t="shared" si="23"/>
        <v>13901395.240507916</v>
      </c>
      <c r="V228" s="141">
        <f t="shared" si="24"/>
        <v>1240061.8892822166</v>
      </c>
      <c r="W228" s="141">
        <f t="shared" si="25"/>
        <v>370224.24141793384</v>
      </c>
      <c r="X228" s="141">
        <f t="shared" si="26"/>
        <v>53197.218625025744</v>
      </c>
      <c r="Y228" s="141">
        <f t="shared" si="22"/>
        <v>-448469.50863988488</v>
      </c>
      <c r="Z228" s="141">
        <f t="shared" si="27"/>
        <v>-853734.66183478397</v>
      </c>
    </row>
    <row r="229" spans="1:26" ht="19.5" thickBot="1" x14ac:dyDescent="0.35">
      <c r="A229" s="142">
        <v>160</v>
      </c>
      <c r="B229" s="143" t="s">
        <v>275</v>
      </c>
      <c r="C229" s="142">
        <v>45</v>
      </c>
      <c r="D229" s="143" t="s">
        <v>276</v>
      </c>
      <c r="E229" s="142">
        <v>557612</v>
      </c>
      <c r="F229" s="143" t="s">
        <v>296</v>
      </c>
      <c r="G229" s="144">
        <v>3.8271842644328</v>
      </c>
      <c r="H229" s="145">
        <v>202.51514788637095</v>
      </c>
      <c r="I229" s="146">
        <v>0.75010283632775632</v>
      </c>
      <c r="J229" s="147">
        <v>0.94093377640458264</v>
      </c>
      <c r="K229" s="148">
        <v>186</v>
      </c>
      <c r="M229" s="138">
        <f t="shared" si="21"/>
        <v>0.75010283632775632</v>
      </c>
      <c r="N229" s="149"/>
      <c r="U229" s="141">
        <f t="shared" si="23"/>
        <v>17322720.836716037</v>
      </c>
      <c r="V229" s="141">
        <f t="shared" si="24"/>
        <v>2693722.4826970859</v>
      </c>
      <c r="W229" s="141">
        <f t="shared" si="25"/>
        <v>1688705.6202638366</v>
      </c>
      <c r="X229" s="141">
        <f t="shared" si="26"/>
        <v>1322410.2494711538</v>
      </c>
      <c r="Y229" s="141">
        <f t="shared" si="22"/>
        <v>742780.79624978383</v>
      </c>
      <c r="Z229" s="141">
        <f t="shared" si="27"/>
        <v>274534.43588873325</v>
      </c>
    </row>
    <row r="230" spans="1:26" ht="19.5" thickBot="1" x14ac:dyDescent="0.35">
      <c r="A230" s="142">
        <v>160</v>
      </c>
      <c r="B230" s="143" t="s">
        <v>275</v>
      </c>
      <c r="C230" s="142">
        <v>45</v>
      </c>
      <c r="D230" s="143" t="s">
        <v>276</v>
      </c>
      <c r="E230" s="142">
        <v>557712</v>
      </c>
      <c r="F230" s="143" t="s">
        <v>543</v>
      </c>
      <c r="G230" s="144">
        <v>5.7046753832273573</v>
      </c>
      <c r="H230" s="145">
        <v>104.42522138095478</v>
      </c>
      <c r="I230" s="146">
        <v>0.5815184171834914</v>
      </c>
      <c r="J230" s="147">
        <v>0.95420881619063092</v>
      </c>
      <c r="K230" s="148">
        <v>224</v>
      </c>
      <c r="M230" s="138">
        <f t="shared" si="21"/>
        <v>0.5815184171834914</v>
      </c>
      <c r="N230" s="149"/>
      <c r="U230" s="141">
        <f t="shared" si="23"/>
        <v>26184967.367839437</v>
      </c>
      <c r="V230" s="141">
        <f t="shared" si="24"/>
        <v>4379462.0601890637</v>
      </c>
      <c r="W230" s="141">
        <f t="shared" si="25"/>
        <v>2881416.876388371</v>
      </c>
      <c r="X230" s="141">
        <f t="shared" si="26"/>
        <v>2335429.0063580675</v>
      </c>
      <c r="Y230" s="141">
        <f t="shared" si="22"/>
        <v>1471452.3476132264</v>
      </c>
      <c r="Z230" s="141">
        <f t="shared" si="27"/>
        <v>773499.67518464406</v>
      </c>
    </row>
    <row r="231" spans="1:26" ht="19.5" thickBot="1" x14ac:dyDescent="0.35">
      <c r="A231" s="142">
        <v>160</v>
      </c>
      <c r="B231" s="143" t="s">
        <v>275</v>
      </c>
      <c r="C231" s="142">
        <v>42</v>
      </c>
      <c r="D231" s="143" t="s">
        <v>299</v>
      </c>
      <c r="E231" s="142">
        <v>457163</v>
      </c>
      <c r="F231" s="143" t="s">
        <v>300</v>
      </c>
      <c r="G231" s="144">
        <v>2.456290679625579</v>
      </c>
      <c r="H231" s="145">
        <v>41.194159811502431</v>
      </c>
      <c r="I231" s="146">
        <v>0.26227761956015821</v>
      </c>
      <c r="J231" s="147">
        <v>0.97934716712063585</v>
      </c>
      <c r="K231" s="148">
        <v>277</v>
      </c>
      <c r="M231" s="138">
        <f t="shared" si="21"/>
        <v>0.26227761956015821</v>
      </c>
      <c r="N231" s="149"/>
      <c r="U231" s="141">
        <f t="shared" si="23"/>
        <v>11571618.507241337</v>
      </c>
      <c r="V231" s="141">
        <f t="shared" si="24"/>
        <v>2182712.7670156131</v>
      </c>
      <c r="W231" s="141">
        <f t="shared" si="25"/>
        <v>1537691.9419137449</v>
      </c>
      <c r="X231" s="141">
        <f t="shared" si="26"/>
        <v>1302603.2074544427</v>
      </c>
      <c r="Y231" s="141">
        <f t="shared" si="22"/>
        <v>930596.4460305518</v>
      </c>
      <c r="Z231" s="141">
        <f t="shared" si="27"/>
        <v>630075.46474095515</v>
      </c>
    </row>
    <row r="232" spans="1:26" ht="19.5" thickBot="1" x14ac:dyDescent="0.35">
      <c r="A232" s="142">
        <v>160</v>
      </c>
      <c r="B232" s="143" t="s">
        <v>275</v>
      </c>
      <c r="C232" s="142">
        <v>42</v>
      </c>
      <c r="D232" s="143" t="s">
        <v>299</v>
      </c>
      <c r="E232" s="142">
        <v>457165</v>
      </c>
      <c r="F232" s="143" t="s">
        <v>301</v>
      </c>
      <c r="G232" s="144">
        <v>3.326340992863813</v>
      </c>
      <c r="H232" s="145">
        <v>272.47935775209567</v>
      </c>
      <c r="I232" s="146">
        <v>0.97359670855987646</v>
      </c>
      <c r="J232" s="147">
        <v>0.92333493743192219</v>
      </c>
      <c r="K232" s="148">
        <v>140</v>
      </c>
      <c r="M232" s="138">
        <f t="shared" si="21"/>
        <v>0.97359670855987646</v>
      </c>
      <c r="N232" s="149"/>
      <c r="U232" s="141">
        <f t="shared" si="23"/>
        <v>14774191.109546207</v>
      </c>
      <c r="V232" s="141">
        <f t="shared" si="24"/>
        <v>2059612.048973541</v>
      </c>
      <c r="W232" s="141">
        <f t="shared" si="25"/>
        <v>1186116.4038594863</v>
      </c>
      <c r="X232" s="141">
        <f t="shared" si="26"/>
        <v>867756.16218334471</v>
      </c>
      <c r="Y232" s="141">
        <f t="shared" si="22"/>
        <v>363979.73604170361</v>
      </c>
      <c r="Z232" s="141">
        <f t="shared" si="27"/>
        <v>-42989.710844616231</v>
      </c>
    </row>
    <row r="233" spans="1:26" ht="19.5" thickBot="1" x14ac:dyDescent="0.35">
      <c r="A233" s="142">
        <v>160</v>
      </c>
      <c r="B233" s="143" t="s">
        <v>275</v>
      </c>
      <c r="C233" s="142">
        <v>42</v>
      </c>
      <c r="D233" s="143" t="s">
        <v>299</v>
      </c>
      <c r="E233" s="142">
        <v>557210</v>
      </c>
      <c r="F233" s="143" t="s">
        <v>302</v>
      </c>
      <c r="G233" s="144">
        <v>2.2747145523264414</v>
      </c>
      <c r="H233" s="145">
        <v>149.81938399763345</v>
      </c>
      <c r="I233" s="146">
        <v>0.92012383569594947</v>
      </c>
      <c r="J233" s="147">
        <v>0.92754561430435301</v>
      </c>
      <c r="K233" s="148">
        <v>154</v>
      </c>
      <c r="M233" s="138">
        <f t="shared" si="21"/>
        <v>0.92012383569594947</v>
      </c>
      <c r="N233" s="149"/>
      <c r="U233" s="141">
        <f t="shared" si="23"/>
        <v>10149388.059510324</v>
      </c>
      <c r="V233" s="141">
        <f t="shared" si="24"/>
        <v>1454537.4480312925</v>
      </c>
      <c r="W233" s="141">
        <f t="shared" si="25"/>
        <v>857198.43209833908</v>
      </c>
      <c r="X233" s="141">
        <f t="shared" si="26"/>
        <v>639488.13836221793</v>
      </c>
      <c r="Y233" s="141">
        <f t="shared" si="22"/>
        <v>294981.19511080027</v>
      </c>
      <c r="Z233" s="141">
        <f t="shared" si="27"/>
        <v>16675.595904165919</v>
      </c>
    </row>
    <row r="234" spans="1:26" ht="19.5" thickBot="1" x14ac:dyDescent="0.35">
      <c r="A234" s="142">
        <v>160</v>
      </c>
      <c r="B234" s="143" t="s">
        <v>275</v>
      </c>
      <c r="C234" s="142">
        <v>42</v>
      </c>
      <c r="D234" s="143" t="s">
        <v>299</v>
      </c>
      <c r="E234" s="142">
        <v>557250</v>
      </c>
      <c r="F234" s="143" t="s">
        <v>303</v>
      </c>
      <c r="G234" s="144">
        <v>2.9376340331368493</v>
      </c>
      <c r="H234" s="145">
        <v>323.89810363273205</v>
      </c>
      <c r="I234" s="146">
        <v>1.0480640279798166</v>
      </c>
      <c r="J234" s="147">
        <v>0.91747107033745412</v>
      </c>
      <c r="K234" s="148">
        <v>129</v>
      </c>
      <c r="M234" s="138">
        <f t="shared" si="21"/>
        <v>1.0480640279798166</v>
      </c>
      <c r="N234" s="149"/>
      <c r="U234" s="141">
        <f t="shared" si="23"/>
        <v>12964857.438041134</v>
      </c>
      <c r="V234" s="141">
        <f t="shared" si="24"/>
        <v>1736068.7343339212</v>
      </c>
      <c r="W234" s="141">
        <f t="shared" si="25"/>
        <v>964647.36160368007</v>
      </c>
      <c r="X234" s="141">
        <f t="shared" si="26"/>
        <v>683489.81258753967</v>
      </c>
      <c r="Y234" s="141">
        <f t="shared" si="22"/>
        <v>238583.29888354073</v>
      </c>
      <c r="Z234" s="141">
        <f t="shared" si="27"/>
        <v>-120828.82999469657</v>
      </c>
    </row>
    <row r="235" spans="1:26" ht="19.5" thickBot="1" x14ac:dyDescent="0.35">
      <c r="A235" s="142">
        <v>160</v>
      </c>
      <c r="B235" s="143" t="s">
        <v>275</v>
      </c>
      <c r="C235" s="142">
        <v>42</v>
      </c>
      <c r="D235" s="143" t="s">
        <v>299</v>
      </c>
      <c r="E235" s="142">
        <v>457258</v>
      </c>
      <c r="F235" s="143" t="s">
        <v>304</v>
      </c>
      <c r="G235" s="144">
        <v>3.2454949073058987</v>
      </c>
      <c r="H235" s="145">
        <v>210.57238009881937</v>
      </c>
      <c r="I235" s="146">
        <v>2.2141205916311444</v>
      </c>
      <c r="J235" s="147">
        <v>0.8256509166493019</v>
      </c>
      <c r="K235" s="148">
        <v>20</v>
      </c>
      <c r="M235" s="138">
        <f t="shared" si="21"/>
        <v>2.2141205916311444</v>
      </c>
      <c r="N235" s="149"/>
      <c r="U235" s="141">
        <f t="shared" si="23"/>
        <v>12890064.041972477</v>
      </c>
      <c r="V235" s="141">
        <f t="shared" si="24"/>
        <v>484510.4086693537</v>
      </c>
      <c r="W235" s="141">
        <f t="shared" si="25"/>
        <v>-367755.09082497715</v>
      </c>
      <c r="X235" s="141">
        <f t="shared" si="26"/>
        <v>-678377.64734135719</v>
      </c>
      <c r="Y235" s="141">
        <f t="shared" si="22"/>
        <v>-1169909.8832038648</v>
      </c>
      <c r="Z235" s="141">
        <f t="shared" si="27"/>
        <v>-1566988.0150407008</v>
      </c>
    </row>
    <row r="236" spans="1:26" ht="19.5" thickBot="1" x14ac:dyDescent="0.35">
      <c r="A236" s="142">
        <v>160</v>
      </c>
      <c r="B236" s="143" t="s">
        <v>275</v>
      </c>
      <c r="C236" s="142">
        <v>42</v>
      </c>
      <c r="D236" s="143" t="s">
        <v>299</v>
      </c>
      <c r="E236" s="142">
        <v>557305</v>
      </c>
      <c r="F236" s="143" t="s">
        <v>305</v>
      </c>
      <c r="G236" s="144">
        <v>2.8560806017217275</v>
      </c>
      <c r="H236" s="145">
        <v>132.4699425261048</v>
      </c>
      <c r="I236" s="146">
        <v>0.60861011710668789</v>
      </c>
      <c r="J236" s="147">
        <v>0.95207550282645614</v>
      </c>
      <c r="K236" s="148">
        <v>215</v>
      </c>
      <c r="M236" s="138">
        <f t="shared" si="21"/>
        <v>0.60861011710668789</v>
      </c>
      <c r="N236" s="149"/>
      <c r="U236" s="141">
        <f t="shared" si="23"/>
        <v>13080354.853511494</v>
      </c>
      <c r="V236" s="141">
        <f t="shared" si="24"/>
        <v>2163295.3301899116</v>
      </c>
      <c r="W236" s="141">
        <f t="shared" si="25"/>
        <v>1413289.8517826051</v>
      </c>
      <c r="X236" s="141">
        <f t="shared" si="26"/>
        <v>1139937.6871785074</v>
      </c>
      <c r="Y236" s="141">
        <f t="shared" si="22"/>
        <v>707382.49172661745</v>
      </c>
      <c r="Z236" s="141">
        <f t="shared" si="27"/>
        <v>357948.21988285054</v>
      </c>
    </row>
    <row r="237" spans="1:26" ht="19.5" thickBot="1" x14ac:dyDescent="0.35">
      <c r="A237" s="142">
        <v>160</v>
      </c>
      <c r="B237" s="143" t="s">
        <v>275</v>
      </c>
      <c r="C237" s="142">
        <v>42</v>
      </c>
      <c r="D237" s="143" t="s">
        <v>299</v>
      </c>
      <c r="E237" s="142">
        <v>457308</v>
      </c>
      <c r="F237" s="143" t="s">
        <v>306</v>
      </c>
      <c r="G237" s="144">
        <v>9.2014397202331395</v>
      </c>
      <c r="H237" s="145">
        <v>203.00958973110252</v>
      </c>
      <c r="I237" s="146">
        <v>1.1787459444145758</v>
      </c>
      <c r="J237" s="147">
        <v>0.90718063158401308</v>
      </c>
      <c r="K237" s="148">
        <v>108</v>
      </c>
      <c r="M237" s="138">
        <f t="shared" si="21"/>
        <v>1.1787459444145758</v>
      </c>
      <c r="N237" s="149"/>
      <c r="U237" s="141">
        <f t="shared" si="23"/>
        <v>40153853.527159102</v>
      </c>
      <c r="V237" s="141">
        <f t="shared" si="24"/>
        <v>4982344.3388382588</v>
      </c>
      <c r="W237" s="141">
        <f t="shared" si="25"/>
        <v>2566050.4165836675</v>
      </c>
      <c r="X237" s="141">
        <f t="shared" si="26"/>
        <v>1685391.2841055426</v>
      </c>
      <c r="Y237" s="141">
        <f t="shared" si="22"/>
        <v>291827.47703900147</v>
      </c>
      <c r="Z237" s="141">
        <f t="shared" si="27"/>
        <v>-833945.50941512955</v>
      </c>
    </row>
    <row r="238" spans="1:26" ht="19.5" thickBot="1" x14ac:dyDescent="0.35">
      <c r="A238" s="142">
        <v>160</v>
      </c>
      <c r="B238" s="143" t="s">
        <v>275</v>
      </c>
      <c r="C238" s="142">
        <v>42</v>
      </c>
      <c r="D238" s="143" t="s">
        <v>299</v>
      </c>
      <c r="E238" s="142">
        <v>457345</v>
      </c>
      <c r="F238" s="143" t="s">
        <v>307</v>
      </c>
      <c r="G238" s="144">
        <v>2.4944492773355069</v>
      </c>
      <c r="H238" s="145">
        <v>93.807101148975207</v>
      </c>
      <c r="I238" s="146">
        <v>0.38449696521169174</v>
      </c>
      <c r="J238" s="147">
        <v>0.96972310646079229</v>
      </c>
      <c r="K238" s="148">
        <v>257</v>
      </c>
      <c r="M238" s="138">
        <f t="shared" si="21"/>
        <v>0.38449696521169174</v>
      </c>
      <c r="N238" s="149"/>
      <c r="U238" s="141">
        <f t="shared" si="23"/>
        <v>11635903.13064168</v>
      </c>
      <c r="V238" s="141">
        <f t="shared" si="24"/>
        <v>2101140.2734022983</v>
      </c>
      <c r="W238" s="141">
        <f t="shared" si="25"/>
        <v>1446099.0177448161</v>
      </c>
      <c r="X238" s="141">
        <f t="shared" si="26"/>
        <v>1207358.168119024</v>
      </c>
      <c r="Y238" s="141">
        <f t="shared" si="22"/>
        <v>829572.26317914214</v>
      </c>
      <c r="Z238" s="141">
        <f t="shared" si="27"/>
        <v>524382.67351858062</v>
      </c>
    </row>
    <row r="239" spans="1:26" ht="19.5" thickBot="1" x14ac:dyDescent="0.35">
      <c r="A239" s="142">
        <v>160</v>
      </c>
      <c r="B239" s="143" t="s">
        <v>275</v>
      </c>
      <c r="C239" s="142">
        <v>42</v>
      </c>
      <c r="D239" s="143" t="s">
        <v>299</v>
      </c>
      <c r="E239" s="142">
        <v>557353</v>
      </c>
      <c r="F239" s="143" t="s">
        <v>308</v>
      </c>
      <c r="G239" s="144">
        <v>2.600180563864698</v>
      </c>
      <c r="H239" s="145">
        <v>70.465145350395787</v>
      </c>
      <c r="I239" s="146">
        <v>0.21210749044684368</v>
      </c>
      <c r="J239" s="147">
        <v>0.983297772185037</v>
      </c>
      <c r="K239" s="148">
        <v>286</v>
      </c>
      <c r="M239" s="138">
        <f t="shared" si="21"/>
        <v>0.21210749044684368</v>
      </c>
      <c r="N239" s="149"/>
      <c r="U239" s="141">
        <f t="shared" si="23"/>
        <v>12298899.098852482</v>
      </c>
      <c r="V239" s="141">
        <f t="shared" si="24"/>
        <v>2359989.8222786039</v>
      </c>
      <c r="W239" s="141">
        <f t="shared" si="25"/>
        <v>1677183.5784453191</v>
      </c>
      <c r="X239" s="141">
        <f t="shared" si="26"/>
        <v>1428323.3099131738</v>
      </c>
      <c r="Y239" s="141">
        <f t="shared" si="22"/>
        <v>1034524.3354253093</v>
      </c>
      <c r="Z239" s="141">
        <f t="shared" si="27"/>
        <v>716398.7890213842</v>
      </c>
    </row>
    <row r="240" spans="1:26" ht="19.5" thickBot="1" x14ac:dyDescent="0.35">
      <c r="A240" s="142">
        <v>160</v>
      </c>
      <c r="B240" s="143" t="s">
        <v>275</v>
      </c>
      <c r="C240" s="142">
        <v>42</v>
      </c>
      <c r="D240" s="143" t="s">
        <v>299</v>
      </c>
      <c r="E240" s="142">
        <v>457435</v>
      </c>
      <c r="F240" s="143" t="s">
        <v>309</v>
      </c>
      <c r="G240" s="144">
        <v>3.3634437715401972</v>
      </c>
      <c r="H240" s="145">
        <v>51.283283392311198</v>
      </c>
      <c r="I240" s="146">
        <v>0.42163887273209649</v>
      </c>
      <c r="J240" s="147">
        <v>0.96679839786336752</v>
      </c>
      <c r="K240" s="148">
        <v>248</v>
      </c>
      <c r="M240" s="138">
        <f t="shared" si="21"/>
        <v>0.42163887273209649</v>
      </c>
      <c r="N240" s="149"/>
      <c r="U240" s="141">
        <f t="shared" si="23"/>
        <v>15642197.6600849</v>
      </c>
      <c r="V240" s="141">
        <f t="shared" si="24"/>
        <v>2785797.2366814604</v>
      </c>
      <c r="W240" s="141">
        <f t="shared" si="25"/>
        <v>1902558.4186140061</v>
      </c>
      <c r="X240" s="141">
        <f t="shared" si="26"/>
        <v>1580647.1129875327</v>
      </c>
      <c r="Y240" s="141">
        <f t="shared" si="22"/>
        <v>1071251.4477836266</v>
      </c>
      <c r="Z240" s="141">
        <f t="shared" si="27"/>
        <v>659742.56932722195</v>
      </c>
    </row>
    <row r="241" spans="1:26" ht="19.5" thickBot="1" x14ac:dyDescent="0.35">
      <c r="A241" s="142">
        <v>160</v>
      </c>
      <c r="B241" s="143" t="s">
        <v>275</v>
      </c>
      <c r="C241" s="142">
        <v>42</v>
      </c>
      <c r="D241" s="143" t="s">
        <v>299</v>
      </c>
      <c r="E241" s="142">
        <v>557458</v>
      </c>
      <c r="F241" s="143" t="s">
        <v>310</v>
      </c>
      <c r="G241" s="144">
        <v>2.3177117404141168</v>
      </c>
      <c r="H241" s="145">
        <v>82.15307951366681</v>
      </c>
      <c r="I241" s="146">
        <v>0.39473058480367174</v>
      </c>
      <c r="J241" s="147">
        <v>0.96891726860265337</v>
      </c>
      <c r="K241" s="148">
        <v>254</v>
      </c>
      <c r="M241" s="138">
        <f t="shared" si="21"/>
        <v>0.39473058480367174</v>
      </c>
      <c r="N241" s="149"/>
      <c r="U241" s="141">
        <f t="shared" si="23"/>
        <v>10802488.001533557</v>
      </c>
      <c r="V241" s="141">
        <f t="shared" si="24"/>
        <v>1943285.2840930764</v>
      </c>
      <c r="W241" s="141">
        <f t="shared" si="25"/>
        <v>1334655.2259526916</v>
      </c>
      <c r="X241" s="141">
        <f t="shared" si="26"/>
        <v>1112829.7211722569</v>
      </c>
      <c r="Y241" s="141">
        <f t="shared" si="22"/>
        <v>761810.82686247816</v>
      </c>
      <c r="Z241" s="141">
        <f t="shared" si="27"/>
        <v>478244.62993262516</v>
      </c>
    </row>
    <row r="242" spans="1:26" ht="19.5" thickBot="1" x14ac:dyDescent="0.35">
      <c r="A242" s="142">
        <v>160</v>
      </c>
      <c r="B242" s="143" t="s">
        <v>275</v>
      </c>
      <c r="C242" s="142">
        <v>42</v>
      </c>
      <c r="D242" s="143" t="s">
        <v>299</v>
      </c>
      <c r="E242" s="142">
        <v>557503</v>
      </c>
      <c r="F242" s="143" t="s">
        <v>311</v>
      </c>
      <c r="G242" s="144">
        <v>2.7902735090423261</v>
      </c>
      <c r="H242" s="145">
        <v>129.93256555857599</v>
      </c>
      <c r="I242" s="146">
        <v>0.53027168201436548</v>
      </c>
      <c r="J242" s="147">
        <v>0.95824419770292291</v>
      </c>
      <c r="K242" s="148">
        <v>229</v>
      </c>
      <c r="M242" s="138">
        <f t="shared" si="21"/>
        <v>0.53027168201436548</v>
      </c>
      <c r="N242" s="149"/>
      <c r="U242" s="141">
        <f t="shared" si="23"/>
        <v>12861767.356837234</v>
      </c>
      <c r="V242" s="141">
        <f t="shared" si="24"/>
        <v>2196248.3353504678</v>
      </c>
      <c r="W242" s="141">
        <f t="shared" si="25"/>
        <v>1463523.7698130067</v>
      </c>
      <c r="X242" s="141">
        <f t="shared" si="26"/>
        <v>1196469.9257882969</v>
      </c>
      <c r="Y242" s="141">
        <f t="shared" si="22"/>
        <v>773881.25572749716</v>
      </c>
      <c r="Z242" s="141">
        <f t="shared" si="27"/>
        <v>432498.31601305446</v>
      </c>
    </row>
    <row r="243" spans="1:26" ht="19.5" thickBot="1" x14ac:dyDescent="0.35">
      <c r="A243" s="142">
        <v>160</v>
      </c>
      <c r="B243" s="143" t="s">
        <v>275</v>
      </c>
      <c r="C243" s="142">
        <v>42</v>
      </c>
      <c r="D243" s="143" t="s">
        <v>299</v>
      </c>
      <c r="E243" s="142">
        <v>557523</v>
      </c>
      <c r="F243" s="143" t="s">
        <v>312</v>
      </c>
      <c r="G243" s="144">
        <v>3.5784199740302469</v>
      </c>
      <c r="H243" s="145">
        <v>72.667660863498767</v>
      </c>
      <c r="I243" s="146">
        <v>0.36121644655482088</v>
      </c>
      <c r="J243" s="147">
        <v>0.9715563115278949</v>
      </c>
      <c r="K243" s="148">
        <v>261</v>
      </c>
      <c r="M243" s="138">
        <f t="shared" si="21"/>
        <v>0.36121644655482088</v>
      </c>
      <c r="N243" s="149"/>
      <c r="U243" s="141">
        <f t="shared" si="23"/>
        <v>16723876.910308877</v>
      </c>
      <c r="V243" s="141">
        <f t="shared" si="24"/>
        <v>3045753.1793535692</v>
      </c>
      <c r="W243" s="141">
        <f t="shared" si="25"/>
        <v>2106061.7074297993</v>
      </c>
      <c r="X243" s="141">
        <f t="shared" si="26"/>
        <v>1763575.2785895066</v>
      </c>
      <c r="Y243" s="141">
        <f t="shared" si="22"/>
        <v>1221621.3329121675</v>
      </c>
      <c r="Z243" s="141">
        <f t="shared" si="27"/>
        <v>783810.65725313313</v>
      </c>
    </row>
    <row r="244" spans="1:26" ht="19.5" thickBot="1" x14ac:dyDescent="0.35">
      <c r="A244" s="142">
        <v>160</v>
      </c>
      <c r="B244" s="143" t="s">
        <v>275</v>
      </c>
      <c r="C244" s="142">
        <v>42</v>
      </c>
      <c r="D244" s="143" t="s">
        <v>299</v>
      </c>
      <c r="E244" s="142">
        <v>457543</v>
      </c>
      <c r="F244" s="143" t="s">
        <v>313</v>
      </c>
      <c r="G244" s="144">
        <v>3.0802030008650325</v>
      </c>
      <c r="H244" s="145">
        <v>63.563571269495995</v>
      </c>
      <c r="I244" s="146">
        <v>0.19193003147648843</v>
      </c>
      <c r="J244" s="147">
        <v>0.98488662939955574</v>
      </c>
      <c r="K244" s="148">
        <v>288</v>
      </c>
      <c r="M244" s="138">
        <f t="shared" si="21"/>
        <v>0.19193003147648843</v>
      </c>
      <c r="N244" s="149"/>
      <c r="U244" s="141">
        <f t="shared" si="23"/>
        <v>14592955.459562987</v>
      </c>
      <c r="V244" s="141">
        <f t="shared" si="24"/>
        <v>2819212.2801561663</v>
      </c>
      <c r="W244" s="141">
        <f t="shared" si="25"/>
        <v>2010352.3607747722</v>
      </c>
      <c r="X244" s="141">
        <f t="shared" si="26"/>
        <v>1715549.7010742985</v>
      </c>
      <c r="Y244" s="141">
        <f t="shared" si="22"/>
        <v>1249051.0279389927</v>
      </c>
      <c r="Z244" s="141">
        <f t="shared" si="27"/>
        <v>872195.94475632044</v>
      </c>
    </row>
    <row r="245" spans="1:26" ht="19.5" thickBot="1" x14ac:dyDescent="0.35">
      <c r="A245" s="142">
        <v>160</v>
      </c>
      <c r="B245" s="143" t="s">
        <v>275</v>
      </c>
      <c r="C245" s="142">
        <v>42</v>
      </c>
      <c r="D245" s="143" t="s">
        <v>299</v>
      </c>
      <c r="E245" s="142">
        <v>457583</v>
      </c>
      <c r="F245" s="143" t="s">
        <v>314</v>
      </c>
      <c r="G245" s="144">
        <v>6.0121721622273636</v>
      </c>
      <c r="H245" s="145">
        <v>143.09714361061657</v>
      </c>
      <c r="I245" s="146">
        <v>0.89868560766535011</v>
      </c>
      <c r="J245" s="147">
        <v>0.92923374972928252</v>
      </c>
      <c r="K245" s="148">
        <v>159</v>
      </c>
      <c r="M245" s="138">
        <f t="shared" si="21"/>
        <v>0.89868560766535011</v>
      </c>
      <c r="N245" s="149"/>
      <c r="U245" s="141">
        <f t="shared" si="23"/>
        <v>26874108.055121396</v>
      </c>
      <c r="V245" s="141">
        <f t="shared" si="24"/>
        <v>3893229.5323211858</v>
      </c>
      <c r="W245" s="141">
        <f t="shared" si="25"/>
        <v>2314435.8329836493</v>
      </c>
      <c r="X245" s="141">
        <f t="shared" si="26"/>
        <v>1739017.8025798018</v>
      </c>
      <c r="Y245" s="141">
        <f t="shared" si="22"/>
        <v>828470.56411778007</v>
      </c>
      <c r="Z245" s="141">
        <f t="shared" si="27"/>
        <v>92896.434857973523</v>
      </c>
    </row>
    <row r="246" spans="1:26" ht="19.5" thickBot="1" x14ac:dyDescent="0.35">
      <c r="A246" s="142">
        <v>160</v>
      </c>
      <c r="B246" s="143" t="s">
        <v>275</v>
      </c>
      <c r="C246" s="142">
        <v>42</v>
      </c>
      <c r="D246" s="143" t="s">
        <v>299</v>
      </c>
      <c r="E246" s="142">
        <v>457614</v>
      </c>
      <c r="F246" s="143" t="s">
        <v>315</v>
      </c>
      <c r="G246" s="144">
        <v>8.556177349674952</v>
      </c>
      <c r="H246" s="145">
        <v>346.59587473752634</v>
      </c>
      <c r="I246" s="146">
        <v>3.5123677228174439</v>
      </c>
      <c r="J246" s="147">
        <v>0.7234215267323536</v>
      </c>
      <c r="K246" s="148">
        <v>4</v>
      </c>
      <c r="M246" s="138">
        <f t="shared" si="21"/>
        <v>3.5123677228174439</v>
      </c>
      <c r="N246" s="149"/>
      <c r="U246" s="141">
        <f t="shared" si="23"/>
        <v>29774801.951883353</v>
      </c>
      <c r="V246" s="141">
        <f t="shared" si="24"/>
        <v>-2930261.5404383028</v>
      </c>
      <c r="W246" s="141">
        <f t="shared" si="25"/>
        <v>-5177109.8550874973</v>
      </c>
      <c r="X246" s="141">
        <f t="shared" si="26"/>
        <v>-5996011.6738457922</v>
      </c>
      <c r="Y246" s="141">
        <f t="shared" si="22"/>
        <v>-7291850.0908633638</v>
      </c>
      <c r="Z246" s="141">
        <f t="shared" si="27"/>
        <v>-8338676.8506359858</v>
      </c>
    </row>
    <row r="247" spans="1:26" ht="19.5" thickBot="1" x14ac:dyDescent="0.35">
      <c r="A247" s="142">
        <v>160</v>
      </c>
      <c r="B247" s="143" t="s">
        <v>275</v>
      </c>
      <c r="C247" s="142">
        <v>42</v>
      </c>
      <c r="D247" s="143" t="s">
        <v>299</v>
      </c>
      <c r="E247" s="142">
        <v>457617</v>
      </c>
      <c r="F247" s="143" t="s">
        <v>544</v>
      </c>
      <c r="G247" s="144">
        <v>7.6637250357256459</v>
      </c>
      <c r="H247" s="145">
        <v>184.16710787776324</v>
      </c>
      <c r="I247" s="146">
        <v>1.0543120804222517</v>
      </c>
      <c r="J247" s="147">
        <v>0.91697907264763401</v>
      </c>
      <c r="K247" s="148">
        <v>128</v>
      </c>
      <c r="M247" s="138">
        <f t="shared" si="21"/>
        <v>1.0543120804222517</v>
      </c>
      <c r="N247" s="149"/>
      <c r="U247" s="141">
        <f t="shared" si="23"/>
        <v>33804694.417009622</v>
      </c>
      <c r="V247" s="141">
        <f t="shared" si="24"/>
        <v>4510933.4723952375</v>
      </c>
      <c r="W247" s="141">
        <f t="shared" si="25"/>
        <v>2498442.7330454779</v>
      </c>
      <c r="X247" s="141">
        <f t="shared" si="26"/>
        <v>1764956.4910313829</v>
      </c>
      <c r="Y247" s="141">
        <f t="shared" si="22"/>
        <v>604280.53576615686</v>
      </c>
      <c r="Z247" s="141">
        <f t="shared" si="27"/>
        <v>-333356.93001659488</v>
      </c>
    </row>
    <row r="248" spans="1:26" ht="19.5" thickBot="1" x14ac:dyDescent="0.35">
      <c r="A248" s="142">
        <v>160</v>
      </c>
      <c r="B248" s="143" t="s">
        <v>275</v>
      </c>
      <c r="C248" s="142">
        <v>42</v>
      </c>
      <c r="D248" s="143" t="s">
        <v>299</v>
      </c>
      <c r="E248" s="142">
        <v>557668</v>
      </c>
      <c r="F248" s="143" t="s">
        <v>317</v>
      </c>
      <c r="G248" s="144">
        <v>4.1744710626853223</v>
      </c>
      <c r="H248" s="145">
        <v>61.580035036735353</v>
      </c>
      <c r="I248" s="146">
        <v>0.48180218827680793</v>
      </c>
      <c r="J248" s="147">
        <v>0.96206088764996411</v>
      </c>
      <c r="K248" s="148">
        <v>238</v>
      </c>
      <c r="M248" s="138">
        <f t="shared" si="21"/>
        <v>0.48180218827680793</v>
      </c>
      <c r="N248" s="149"/>
      <c r="U248" s="141">
        <f t="shared" si="23"/>
        <v>19318868.638162244</v>
      </c>
      <c r="V248" s="141">
        <f t="shared" si="24"/>
        <v>3362404.0193953672</v>
      </c>
      <c r="W248" s="141">
        <f t="shared" si="25"/>
        <v>2266189.8003080697</v>
      </c>
      <c r="X248" s="141">
        <f t="shared" si="26"/>
        <v>1866656.0125100943</v>
      </c>
      <c r="Y248" s="141">
        <f t="shared" si="22"/>
        <v>1234429.7562414212</v>
      </c>
      <c r="Z248" s="141">
        <f t="shared" si="27"/>
        <v>723693.73035931773</v>
      </c>
    </row>
    <row r="249" spans="1:26" ht="19.5" thickBot="1" x14ac:dyDescent="0.35">
      <c r="A249" s="142">
        <v>160</v>
      </c>
      <c r="B249" s="143" t="s">
        <v>275</v>
      </c>
      <c r="C249" s="142">
        <v>44</v>
      </c>
      <c r="D249" s="143" t="s">
        <v>318</v>
      </c>
      <c r="E249" s="142">
        <v>557113</v>
      </c>
      <c r="F249" s="143" t="s">
        <v>319</v>
      </c>
      <c r="G249" s="144">
        <v>2.5533062174516035</v>
      </c>
      <c r="H249" s="145">
        <v>178.58846721295896</v>
      </c>
      <c r="I249" s="146">
        <v>0.69412734320167513</v>
      </c>
      <c r="J249" s="147">
        <v>0.94534152002682403</v>
      </c>
      <c r="K249" s="148">
        <v>200</v>
      </c>
      <c r="M249" s="138">
        <f t="shared" si="21"/>
        <v>0.69412734320167513</v>
      </c>
      <c r="N249" s="149"/>
      <c r="U249" s="141">
        <f t="shared" si="23"/>
        <v>11610991.610722156</v>
      </c>
      <c r="V249" s="141">
        <f t="shared" si="24"/>
        <v>1851254.4589125672</v>
      </c>
      <c r="W249" s="141">
        <f t="shared" si="25"/>
        <v>1180757.3973150314</v>
      </c>
      <c r="X249" s="141">
        <f t="shared" si="26"/>
        <v>936383.41815745702</v>
      </c>
      <c r="Y249" s="141">
        <f t="shared" si="22"/>
        <v>549683.59278400219</v>
      </c>
      <c r="Z249" s="141">
        <f t="shared" si="27"/>
        <v>237293.00466421584</v>
      </c>
    </row>
    <row r="250" spans="1:26" ht="19.5" thickBot="1" x14ac:dyDescent="0.35">
      <c r="A250" s="142">
        <v>160</v>
      </c>
      <c r="B250" s="143" t="s">
        <v>275</v>
      </c>
      <c r="C250" s="142">
        <v>44</v>
      </c>
      <c r="D250" s="143" t="s">
        <v>318</v>
      </c>
      <c r="E250" s="142">
        <v>457180</v>
      </c>
      <c r="F250" s="143" t="s">
        <v>320</v>
      </c>
      <c r="G250" s="144">
        <v>2.251466510688148</v>
      </c>
      <c r="H250" s="145">
        <v>133.428723889027</v>
      </c>
      <c r="I250" s="146">
        <v>1.3521919805369398</v>
      </c>
      <c r="J250" s="147">
        <v>0.8935227678149632</v>
      </c>
      <c r="K250" s="148">
        <v>87</v>
      </c>
      <c r="M250" s="138">
        <f t="shared" si="21"/>
        <v>1.3521919805369398</v>
      </c>
      <c r="N250" s="149"/>
      <c r="U250" s="141">
        <f t="shared" si="23"/>
        <v>9677179.3574465886</v>
      </c>
      <c r="V250" s="141">
        <f t="shared" si="24"/>
        <v>1071191.8733642092</v>
      </c>
      <c r="W250" s="141">
        <f t="shared" si="25"/>
        <v>479957.78268457309</v>
      </c>
      <c r="X250" s="141">
        <f t="shared" si="26"/>
        <v>264472.53207251604</v>
      </c>
      <c r="Y250" s="141">
        <f t="shared" si="22"/>
        <v>-76513.480716132559</v>
      </c>
      <c r="Z250" s="141">
        <f t="shared" si="27"/>
        <v>-351974.74055196159</v>
      </c>
    </row>
    <row r="251" spans="1:26" ht="19.5" thickBot="1" x14ac:dyDescent="0.35">
      <c r="A251" s="142">
        <v>160</v>
      </c>
      <c r="B251" s="143" t="s">
        <v>275</v>
      </c>
      <c r="C251" s="142">
        <v>44</v>
      </c>
      <c r="D251" s="143" t="s">
        <v>318</v>
      </c>
      <c r="E251" s="142">
        <v>557182</v>
      </c>
      <c r="F251" s="143" t="s">
        <v>321</v>
      </c>
      <c r="G251" s="144">
        <v>2.8395425426615799</v>
      </c>
      <c r="H251" s="145">
        <v>207.31275026019523</v>
      </c>
      <c r="I251" s="146">
        <v>1.3367136307956948</v>
      </c>
      <c r="J251" s="147">
        <v>0.89474159758393235</v>
      </c>
      <c r="K251" s="148">
        <v>90</v>
      </c>
      <c r="M251" s="138">
        <f t="shared" si="21"/>
        <v>1.3367136307956948</v>
      </c>
      <c r="N251" s="149"/>
      <c r="U251" s="141">
        <f t="shared" si="23"/>
        <v>12221476.699737595</v>
      </c>
      <c r="V251" s="141">
        <f t="shared" si="24"/>
        <v>1367632.1203678746</v>
      </c>
      <c r="W251" s="141">
        <f t="shared" si="25"/>
        <v>621969.52881392138</v>
      </c>
      <c r="X251" s="141">
        <f t="shared" si="26"/>
        <v>350200.2026772378</v>
      </c>
      <c r="Y251" s="141">
        <f t="shared" si="22"/>
        <v>-79850.293374766567</v>
      </c>
      <c r="Z251" s="141">
        <f t="shared" si="27"/>
        <v>-427261.17532473698</v>
      </c>
    </row>
    <row r="252" spans="1:26" ht="19.5" thickBot="1" x14ac:dyDescent="0.35">
      <c r="A252" s="142">
        <v>160</v>
      </c>
      <c r="B252" s="143" t="s">
        <v>275</v>
      </c>
      <c r="C252" s="142">
        <v>44</v>
      </c>
      <c r="D252" s="143" t="s">
        <v>318</v>
      </c>
      <c r="E252" s="142">
        <v>457192</v>
      </c>
      <c r="F252" s="143" t="s">
        <v>322</v>
      </c>
      <c r="G252" s="144">
        <v>2.5984562648251952</v>
      </c>
      <c r="H252" s="145">
        <v>203.49537083148556</v>
      </c>
      <c r="I252" s="146">
        <v>0.84903509574690328</v>
      </c>
      <c r="J252" s="147">
        <v>0.9331434379701099</v>
      </c>
      <c r="K252" s="148">
        <v>166</v>
      </c>
      <c r="M252" s="138">
        <f t="shared" si="21"/>
        <v>0.84903509574690328</v>
      </c>
      <c r="N252" s="149"/>
      <c r="U252" s="141">
        <f t="shared" si="23"/>
        <v>11663838.389748134</v>
      </c>
      <c r="V252" s="141">
        <f t="shared" si="24"/>
        <v>1731520.0599559771</v>
      </c>
      <c r="W252" s="141">
        <f t="shared" si="25"/>
        <v>1049166.6162731007</v>
      </c>
      <c r="X252" s="141">
        <f t="shared" si="26"/>
        <v>800471.37840381172</v>
      </c>
      <c r="Y252" s="141">
        <f t="shared" si="22"/>
        <v>406933.55008514132</v>
      </c>
      <c r="Z252" s="141">
        <f t="shared" si="27"/>
        <v>89018.967328021638</v>
      </c>
    </row>
    <row r="253" spans="1:26" ht="19.5" thickBot="1" x14ac:dyDescent="0.35">
      <c r="A253" s="142">
        <v>160</v>
      </c>
      <c r="B253" s="143" t="s">
        <v>275</v>
      </c>
      <c r="C253" s="142">
        <v>44</v>
      </c>
      <c r="D253" s="143" t="s">
        <v>318</v>
      </c>
      <c r="E253" s="142">
        <v>557303</v>
      </c>
      <c r="F253" s="143" t="s">
        <v>323</v>
      </c>
      <c r="G253" s="144">
        <v>3.4220960403097598</v>
      </c>
      <c r="H253" s="145">
        <v>106.30583125512476</v>
      </c>
      <c r="I253" s="146">
        <v>0.71717185423523333</v>
      </c>
      <c r="J253" s="147">
        <v>0.94352689918360877</v>
      </c>
      <c r="K253" s="148">
        <v>196</v>
      </c>
      <c r="M253" s="138">
        <f t="shared" si="21"/>
        <v>0.71717185423523333</v>
      </c>
      <c r="N253" s="149"/>
      <c r="U253" s="141">
        <f t="shared" si="23"/>
        <v>15531884.612929776</v>
      </c>
      <c r="V253" s="141">
        <f t="shared" si="24"/>
        <v>2451292.2290651482</v>
      </c>
      <c r="W253" s="141">
        <f t="shared" si="25"/>
        <v>1552651.3516609687</v>
      </c>
      <c r="X253" s="141">
        <f t="shared" si="26"/>
        <v>1225126.5053601053</v>
      </c>
      <c r="Y253" s="141">
        <f t="shared" si="22"/>
        <v>706847.91732621309</v>
      </c>
      <c r="Z253" s="141">
        <f t="shared" si="27"/>
        <v>288163.08143460075</v>
      </c>
    </row>
    <row r="254" spans="1:26" ht="19.5" thickBot="1" x14ac:dyDescent="0.35">
      <c r="A254" s="142">
        <v>160</v>
      </c>
      <c r="B254" s="143" t="s">
        <v>275</v>
      </c>
      <c r="C254" s="142">
        <v>44</v>
      </c>
      <c r="D254" s="143" t="s">
        <v>318</v>
      </c>
      <c r="E254" s="142">
        <v>457306</v>
      </c>
      <c r="F254" s="143" t="s">
        <v>324</v>
      </c>
      <c r="G254" s="144">
        <v>2.6425147732690633</v>
      </c>
      <c r="H254" s="145">
        <v>110.33989529575717</v>
      </c>
      <c r="I254" s="146">
        <v>0.91791128085134222</v>
      </c>
      <c r="J254" s="147">
        <v>0.92771984009425734</v>
      </c>
      <c r="K254" s="148">
        <v>155</v>
      </c>
      <c r="M254" s="138">
        <f t="shared" si="21"/>
        <v>0.91791128085134222</v>
      </c>
      <c r="N254" s="149"/>
      <c r="U254" s="141">
        <f t="shared" si="23"/>
        <v>11792664.527670685</v>
      </c>
      <c r="V254" s="141">
        <f t="shared" si="24"/>
        <v>1691937.3095227464</v>
      </c>
      <c r="W254" s="141">
        <f t="shared" si="25"/>
        <v>998014.1213853769</v>
      </c>
      <c r="X254" s="141">
        <f t="shared" si="26"/>
        <v>745102.09473040071</v>
      </c>
      <c r="Y254" s="141">
        <f t="shared" si="22"/>
        <v>344891.57772088324</v>
      </c>
      <c r="Z254" s="141">
        <f t="shared" si="27"/>
        <v>21586.547366687864</v>
      </c>
    </row>
    <row r="255" spans="1:26" ht="19.5" thickBot="1" x14ac:dyDescent="0.35">
      <c r="A255" s="142">
        <v>160</v>
      </c>
      <c r="B255" s="143" t="s">
        <v>275</v>
      </c>
      <c r="C255" s="142">
        <v>44</v>
      </c>
      <c r="D255" s="143" t="s">
        <v>318</v>
      </c>
      <c r="E255" s="142">
        <v>557307</v>
      </c>
      <c r="F255" s="143" t="s">
        <v>325</v>
      </c>
      <c r="G255" s="144">
        <v>3.049660826332139</v>
      </c>
      <c r="H255" s="145">
        <v>186.30660233234747</v>
      </c>
      <c r="I255" s="146">
        <v>0.8727428792994989</v>
      </c>
      <c r="J255" s="147">
        <v>0.93127658828437221</v>
      </c>
      <c r="K255" s="148">
        <v>165</v>
      </c>
      <c r="M255" s="138">
        <f t="shared" si="21"/>
        <v>0.8727428792994989</v>
      </c>
      <c r="N255" s="149"/>
      <c r="U255" s="141">
        <f t="shared" si="23"/>
        <v>13661799.333123254</v>
      </c>
      <c r="V255" s="141">
        <f t="shared" si="24"/>
        <v>2004800.3160297349</v>
      </c>
      <c r="W255" s="141">
        <f t="shared" si="25"/>
        <v>1203960.7579113718</v>
      </c>
      <c r="X255" s="141">
        <f t="shared" si="26"/>
        <v>912081.25434145308</v>
      </c>
      <c r="Y255" s="141">
        <f t="shared" si="22"/>
        <v>450208.21266298962</v>
      </c>
      <c r="Z255" s="141">
        <f t="shared" si="27"/>
        <v>77089.887648834454</v>
      </c>
    </row>
    <row r="256" spans="1:26" ht="19.5" thickBot="1" x14ac:dyDescent="0.35">
      <c r="A256" s="142">
        <v>160</v>
      </c>
      <c r="B256" s="143" t="s">
        <v>275</v>
      </c>
      <c r="C256" s="142">
        <v>44</v>
      </c>
      <c r="D256" s="143" t="s">
        <v>318</v>
      </c>
      <c r="E256" s="142">
        <v>557347</v>
      </c>
      <c r="F256" s="143" t="s">
        <v>326</v>
      </c>
      <c r="G256" s="144">
        <v>2.8493458840345491</v>
      </c>
      <c r="H256" s="145">
        <v>167.82568884999637</v>
      </c>
      <c r="I256" s="146">
        <v>0.80911798044524319</v>
      </c>
      <c r="J256" s="147">
        <v>0.93628667799468379</v>
      </c>
      <c r="K256" s="148">
        <v>170</v>
      </c>
      <c r="M256" s="138">
        <f t="shared" si="21"/>
        <v>0.80911798044524319</v>
      </c>
      <c r="N256" s="149"/>
      <c r="U256" s="141">
        <f t="shared" si="23"/>
        <v>12833103.339688951</v>
      </c>
      <c r="V256" s="141">
        <f t="shared" si="24"/>
        <v>1941786.5470940073</v>
      </c>
      <c r="W256" s="141">
        <f t="shared" si="25"/>
        <v>1193549.6025151459</v>
      </c>
      <c r="X256" s="141">
        <f t="shared" si="26"/>
        <v>920842.00993631838</v>
      </c>
      <c r="Y256" s="141">
        <f t="shared" si="22"/>
        <v>489306.79169506283</v>
      </c>
      <c r="Z256" s="141">
        <f t="shared" si="27"/>
        <v>140696.4956066279</v>
      </c>
    </row>
    <row r="257" spans="1:26" ht="19.5" thickBot="1" x14ac:dyDescent="0.35">
      <c r="A257" s="142">
        <v>160</v>
      </c>
      <c r="B257" s="143" t="s">
        <v>275</v>
      </c>
      <c r="C257" s="142">
        <v>44</v>
      </c>
      <c r="D257" s="143" t="s">
        <v>318</v>
      </c>
      <c r="E257" s="142">
        <v>457348</v>
      </c>
      <c r="F257" s="143" t="s">
        <v>327</v>
      </c>
      <c r="G257" s="144">
        <v>7.8533208781537667</v>
      </c>
      <c r="H257" s="145">
        <v>166.60563355302412</v>
      </c>
      <c r="I257" s="146">
        <v>0.72443197208789856</v>
      </c>
      <c r="J257" s="147">
        <v>0.942955207245322</v>
      </c>
      <c r="K257" s="148">
        <v>193</v>
      </c>
      <c r="M257" s="138">
        <f t="shared" si="21"/>
        <v>0.72443197208789856</v>
      </c>
      <c r="N257" s="149"/>
      <c r="U257" s="141">
        <f t="shared" si="23"/>
        <v>35622310.222119913</v>
      </c>
      <c r="V257" s="141">
        <f t="shared" si="24"/>
        <v>5603839.654144641</v>
      </c>
      <c r="W257" s="141">
        <f t="shared" si="25"/>
        <v>3541561.132048618</v>
      </c>
      <c r="X257" s="141">
        <f t="shared" si="26"/>
        <v>2789928.891670044</v>
      </c>
      <c r="Y257" s="141">
        <f t="shared" si="22"/>
        <v>1600538.5273545536</v>
      </c>
      <c r="Z257" s="141">
        <f t="shared" si="27"/>
        <v>639704.48753130122</v>
      </c>
    </row>
    <row r="258" spans="1:26" ht="19.5" thickBot="1" x14ac:dyDescent="0.35">
      <c r="A258" s="142">
        <v>160</v>
      </c>
      <c r="B258" s="143" t="s">
        <v>275</v>
      </c>
      <c r="C258" s="142">
        <v>44</v>
      </c>
      <c r="D258" s="143" t="s">
        <v>318</v>
      </c>
      <c r="E258" s="142">
        <v>457350</v>
      </c>
      <c r="F258" s="143" t="s">
        <v>328</v>
      </c>
      <c r="G258" s="144">
        <v>8.9100383937324263</v>
      </c>
      <c r="H258" s="145">
        <v>158.32527376002278</v>
      </c>
      <c r="I258" s="146">
        <v>0.81596405340005218</v>
      </c>
      <c r="J258" s="147">
        <v>0.93574758967730209</v>
      </c>
      <c r="K258" s="148">
        <v>169</v>
      </c>
      <c r="M258" s="138">
        <f t="shared" si="21"/>
        <v>0.81596405340005218</v>
      </c>
      <c r="N258" s="149"/>
      <c r="U258" s="141">
        <f t="shared" si="23"/>
        <v>40106611.230821438</v>
      </c>
      <c r="V258" s="141">
        <f t="shared" si="24"/>
        <v>6048952.1294573173</v>
      </c>
      <c r="W258" s="141">
        <f t="shared" si="25"/>
        <v>3709180.0641695573</v>
      </c>
      <c r="X258" s="141">
        <f t="shared" si="26"/>
        <v>2856410.6149585843</v>
      </c>
      <c r="Y258" s="141">
        <f t="shared" si="22"/>
        <v>1506979.7212501157</v>
      </c>
      <c r="Z258" s="141">
        <f t="shared" si="27"/>
        <v>416858.95353193366</v>
      </c>
    </row>
    <row r="259" spans="1:26" ht="19.5" thickBot="1" x14ac:dyDescent="0.35">
      <c r="A259" s="142">
        <v>160</v>
      </c>
      <c r="B259" s="143" t="s">
        <v>275</v>
      </c>
      <c r="C259" s="142">
        <v>44</v>
      </c>
      <c r="D259" s="143" t="s">
        <v>318</v>
      </c>
      <c r="E259" s="142">
        <v>557352</v>
      </c>
      <c r="F259" s="143" t="s">
        <v>329</v>
      </c>
      <c r="G259" s="144">
        <v>3.7235578407680481</v>
      </c>
      <c r="H259" s="145">
        <v>231.45076914455413</v>
      </c>
      <c r="I259" s="146">
        <v>1.367418124368321</v>
      </c>
      <c r="J259" s="147">
        <v>0.89232379779047533</v>
      </c>
      <c r="K259" s="148">
        <v>85</v>
      </c>
      <c r="M259" s="138">
        <f t="shared" si="21"/>
        <v>1.367418124368321</v>
      </c>
      <c r="N259" s="149"/>
      <c r="U259" s="141">
        <f t="shared" si="23"/>
        <v>15982998.388648415</v>
      </c>
      <c r="V259" s="141">
        <f t="shared" si="24"/>
        <v>1750100.8430783101</v>
      </c>
      <c r="W259" s="141">
        <f t="shared" si="25"/>
        <v>772296.23278159671</v>
      </c>
      <c r="X259" s="141">
        <f t="shared" si="26"/>
        <v>415918.82690974447</v>
      </c>
      <c r="Y259" s="141">
        <f t="shared" si="22"/>
        <v>-148016.33956241218</v>
      </c>
      <c r="Z259" s="141">
        <f t="shared" si="27"/>
        <v>-603584.26785286993</v>
      </c>
    </row>
    <row r="260" spans="1:26" ht="19.5" thickBot="1" x14ac:dyDescent="0.35">
      <c r="A260" s="142">
        <v>160</v>
      </c>
      <c r="B260" s="143" t="s">
        <v>275</v>
      </c>
      <c r="C260" s="142">
        <v>44</v>
      </c>
      <c r="D260" s="143" t="s">
        <v>318</v>
      </c>
      <c r="E260" s="142">
        <v>457449</v>
      </c>
      <c r="F260" s="143" t="s">
        <v>330</v>
      </c>
      <c r="G260" s="144">
        <v>2.4875433198240544</v>
      </c>
      <c r="H260" s="145">
        <v>151.20358624612965</v>
      </c>
      <c r="I260" s="146">
        <v>1.3077000093932372</v>
      </c>
      <c r="J260" s="147">
        <v>0.89702625105552858</v>
      </c>
      <c r="K260" s="148">
        <v>93</v>
      </c>
      <c r="M260" s="138">
        <f t="shared" si="21"/>
        <v>1.3077000093932372</v>
      </c>
      <c r="N260" s="149"/>
      <c r="U260" s="141">
        <f t="shared" si="23"/>
        <v>10733799.55511369</v>
      </c>
      <c r="V260" s="141">
        <f t="shared" si="24"/>
        <v>1225433.9743281314</v>
      </c>
      <c r="W260" s="141">
        <f t="shared" si="25"/>
        <v>572206.21999974921</v>
      </c>
      <c r="X260" s="141">
        <f t="shared" si="26"/>
        <v>334126.33156436641</v>
      </c>
      <c r="Y260" s="141">
        <f t="shared" si="22"/>
        <v>-42613.661786273973</v>
      </c>
      <c r="Z260" s="141">
        <f t="shared" si="27"/>
        <v>-346958.32493007538</v>
      </c>
    </row>
    <row r="261" spans="1:26" ht="19.5" thickBot="1" x14ac:dyDescent="0.35">
      <c r="A261" s="142">
        <v>160</v>
      </c>
      <c r="B261" s="143" t="s">
        <v>275</v>
      </c>
      <c r="C261" s="142">
        <v>44</v>
      </c>
      <c r="D261" s="143" t="s">
        <v>318</v>
      </c>
      <c r="E261" s="142">
        <v>557508</v>
      </c>
      <c r="F261" s="143" t="s">
        <v>331</v>
      </c>
      <c r="G261" s="144">
        <v>2.6455275505029943</v>
      </c>
      <c r="H261" s="145">
        <v>118.53462907251814</v>
      </c>
      <c r="I261" s="146">
        <v>0.79716071386178999</v>
      </c>
      <c r="J261" s="147">
        <v>0.93722824300071139</v>
      </c>
      <c r="K261" s="148">
        <v>176</v>
      </c>
      <c r="M261" s="138">
        <f t="shared" ref="M261:M297" si="28">I261</f>
        <v>0.79716071386178999</v>
      </c>
      <c r="N261" s="149"/>
      <c r="U261" s="141">
        <f t="shared" si="23"/>
        <v>11927112.941209428</v>
      </c>
      <c r="V261" s="141">
        <f t="shared" si="24"/>
        <v>1814869.7075913716</v>
      </c>
      <c r="W261" s="141">
        <f t="shared" si="25"/>
        <v>1120155.3655106197</v>
      </c>
      <c r="X261" s="141">
        <f t="shared" si="26"/>
        <v>866954.98943795939</v>
      </c>
      <c r="Y261" s="141">
        <f t="shared" si="22"/>
        <v>466288.18542992719</v>
      </c>
      <c r="Z261" s="141">
        <f t="shared" si="27"/>
        <v>142614.54936539865</v>
      </c>
    </row>
    <row r="262" spans="1:26" ht="19.5" thickBot="1" x14ac:dyDescent="0.35">
      <c r="A262" s="142">
        <v>160</v>
      </c>
      <c r="B262" s="143" t="s">
        <v>275</v>
      </c>
      <c r="C262" s="142">
        <v>44</v>
      </c>
      <c r="D262" s="143" t="s">
        <v>318</v>
      </c>
      <c r="E262" s="142">
        <v>557622</v>
      </c>
      <c r="F262" s="143" t="s">
        <v>332</v>
      </c>
      <c r="G262" s="144">
        <v>2.5458872462458033</v>
      </c>
      <c r="H262" s="145">
        <v>111.29507566284548</v>
      </c>
      <c r="I262" s="146">
        <v>0.58186384463193774</v>
      </c>
      <c r="J262" s="147">
        <v>0.954181615793675</v>
      </c>
      <c r="K262" s="148">
        <v>223</v>
      </c>
      <c r="M262" s="138">
        <f t="shared" si="28"/>
        <v>0.58186384463193774</v>
      </c>
      <c r="N262" s="149"/>
      <c r="U262" s="141">
        <f t="shared" si="23"/>
        <v>11685515.771399833</v>
      </c>
      <c r="V262" s="141">
        <f t="shared" si="24"/>
        <v>1954136.835463671</v>
      </c>
      <c r="W262" s="141">
        <f t="shared" si="25"/>
        <v>1285587.992360089</v>
      </c>
      <c r="X262" s="141">
        <f t="shared" si="26"/>
        <v>1041924.0743391006</v>
      </c>
      <c r="Y262" s="141">
        <f t="shared" ref="Y262:Y297" si="29">((((($R$5-$M262)))/0.003)*G262*1000)+(((((($R$5/$O$2)-($M262/$O$2))))/0.003)*G262*1000)*$O$3</f>
        <v>656347.85680011741</v>
      </c>
      <c r="Z262" s="141">
        <f t="shared" si="27"/>
        <v>344864.96113115549</v>
      </c>
    </row>
    <row r="263" spans="1:26" ht="19.5" thickBot="1" x14ac:dyDescent="0.35">
      <c r="A263" s="142">
        <v>160</v>
      </c>
      <c r="B263" s="143" t="s">
        <v>275</v>
      </c>
      <c r="C263" s="142">
        <v>44</v>
      </c>
      <c r="D263" s="143" t="s">
        <v>318</v>
      </c>
      <c r="E263" s="142">
        <v>557628</v>
      </c>
      <c r="F263" s="143" t="s">
        <v>333</v>
      </c>
      <c r="G263" s="144">
        <v>2.3152426595163873</v>
      </c>
      <c r="H263" s="145">
        <v>161.2350317776087</v>
      </c>
      <c r="I263" s="146">
        <v>1.3778168816249827</v>
      </c>
      <c r="J263" s="147">
        <v>0.891504956304362</v>
      </c>
      <c r="K263" s="148">
        <v>83</v>
      </c>
      <c r="M263" s="138">
        <f t="shared" si="28"/>
        <v>1.3778168816249827</v>
      </c>
      <c r="N263" s="149"/>
      <c r="U263" s="141">
        <f t="shared" ref="U263:U297" si="30">((((($N$5-$M263)))/0.003)*G263*1000)+(((((($N$5/$O$2)-($M263/$O$2))))/0.003)*G263*1000)*$O$3</f>
        <v>9928827.2284014076</v>
      </c>
      <c r="V263" s="141">
        <f t="shared" ref="V263:V297" si="31">((((($O$5-$M263)))/0.003)*G263*1000)+(((((($O$5/$O$2)-($M263/$O$2))))/0.003)*G263*1000)*$O$3</f>
        <v>1079062.3059279737</v>
      </c>
      <c r="W263" s="141">
        <f t="shared" ref="W263:W297" si="32">((((($P$5-$M263)))/0.003)*G263*1000)+(((((($P$5/$O$2)-($M263/$O$2))))/0.003)*G263*1000)*$O$3</f>
        <v>471080.62731819839</v>
      </c>
      <c r="X263" s="141">
        <f t="shared" ref="X263:X297" si="33">((((($Q$5-$M263)))/0.003)*G263*1000)+(((((($Q$5/$O$2)-($M263/$O$2))))/0.003)*G263*1000)*$O$3</f>
        <v>249491.43540917552</v>
      </c>
      <c r="Y263" s="141">
        <f t="shared" si="29"/>
        <v>-101153.51505263886</v>
      </c>
      <c r="Z263" s="141">
        <f t="shared" ref="Z263:Z297" si="34">((((($S$5-$M263)))/0.003)*G263*1000)+(((((($S$5/$O$2)-($M263/$O$2))))/0.003)*G263*1000)*$O$3</f>
        <v>-384417.62615021481</v>
      </c>
    </row>
    <row r="264" spans="1:26" ht="19.5" thickBot="1" x14ac:dyDescent="0.35">
      <c r="A264" s="142">
        <v>160</v>
      </c>
      <c r="B264" s="143" t="s">
        <v>275</v>
      </c>
      <c r="C264" s="142">
        <v>44</v>
      </c>
      <c r="D264" s="143" t="s">
        <v>318</v>
      </c>
      <c r="E264" s="142">
        <v>457632</v>
      </c>
      <c r="F264" s="143" t="s">
        <v>334</v>
      </c>
      <c r="G264" s="144">
        <v>8.7242769703991669</v>
      </c>
      <c r="H264" s="145">
        <v>189.15715086754</v>
      </c>
      <c r="I264" s="146">
        <v>1.1381196400560514</v>
      </c>
      <c r="J264" s="147">
        <v>0.91037971611066792</v>
      </c>
      <c r="K264" s="148">
        <v>114</v>
      </c>
      <c r="M264" s="138">
        <f t="shared" si="28"/>
        <v>1.1381196400560514</v>
      </c>
      <c r="N264" s="149"/>
      <c r="U264" s="141">
        <f t="shared" si="30"/>
        <v>38205834.772623211</v>
      </c>
      <c r="V264" s="141">
        <f t="shared" si="31"/>
        <v>4858228.6419083206</v>
      </c>
      <c r="W264" s="141">
        <f t="shared" si="32"/>
        <v>2567237.4426411814</v>
      </c>
      <c r="X264" s="141">
        <f t="shared" si="33"/>
        <v>1732247.0039866595</v>
      </c>
      <c r="Y264" s="141">
        <f t="shared" si="29"/>
        <v>410949.79415563471</v>
      </c>
      <c r="Z264" s="141">
        <f t="shared" si="34"/>
        <v>-656443.53104569786</v>
      </c>
    </row>
    <row r="265" spans="1:26" ht="19.5" thickBot="1" x14ac:dyDescent="0.35">
      <c r="A265" s="142">
        <v>160</v>
      </c>
      <c r="B265" s="143" t="s">
        <v>275</v>
      </c>
      <c r="C265" s="142">
        <v>44</v>
      </c>
      <c r="D265" s="143" t="s">
        <v>318</v>
      </c>
      <c r="E265" s="142">
        <v>557633</v>
      </c>
      <c r="F265" s="143" t="s">
        <v>335</v>
      </c>
      <c r="G265" s="144">
        <v>1.953744093309282</v>
      </c>
      <c r="H265" s="145">
        <v>359.97831323381257</v>
      </c>
      <c r="I265" s="146">
        <v>1.2624746393587887</v>
      </c>
      <c r="J265" s="147">
        <v>0.90058748518139575</v>
      </c>
      <c r="K265" s="148">
        <v>100</v>
      </c>
      <c r="M265" s="138">
        <f t="shared" si="28"/>
        <v>1.2624746393587887</v>
      </c>
      <c r="N265" s="149"/>
      <c r="U265" s="141">
        <f t="shared" si="30"/>
        <v>8463914.3776067253</v>
      </c>
      <c r="V265" s="141">
        <f t="shared" si="31"/>
        <v>995938.66741928691</v>
      </c>
      <c r="W265" s="141">
        <f t="shared" si="32"/>
        <v>482886.34932135197</v>
      </c>
      <c r="X265" s="141">
        <f t="shared" si="33"/>
        <v>295895.76625915943</v>
      </c>
      <c r="Y265" s="141">
        <f t="shared" si="29"/>
        <v>0</v>
      </c>
      <c r="Z265" s="141">
        <f t="shared" si="34"/>
        <v>-239035.67154338543</v>
      </c>
    </row>
    <row r="266" spans="1:26" ht="19.5" thickBot="1" x14ac:dyDescent="0.35">
      <c r="A266" s="142">
        <v>160</v>
      </c>
      <c r="B266" s="143" t="s">
        <v>275</v>
      </c>
      <c r="C266" s="142">
        <v>44</v>
      </c>
      <c r="D266" s="143" t="s">
        <v>318</v>
      </c>
      <c r="E266" s="142">
        <v>457634</v>
      </c>
      <c r="F266" s="143" t="s">
        <v>336</v>
      </c>
      <c r="G266" s="144">
        <v>1.6595588506878931</v>
      </c>
      <c r="H266" s="145">
        <v>79.70014805149863</v>
      </c>
      <c r="I266" s="146">
        <v>0.77756236711046445</v>
      </c>
      <c r="J266" s="147">
        <v>0.93877149850549202</v>
      </c>
      <c r="K266" s="148">
        <v>181</v>
      </c>
      <c r="M266" s="138">
        <f t="shared" si="28"/>
        <v>0.77756236711046445</v>
      </c>
      <c r="N266" s="149"/>
      <c r="U266" s="141">
        <f t="shared" si="30"/>
        <v>7494285.4213718651</v>
      </c>
      <c r="V266" s="141">
        <f t="shared" si="31"/>
        <v>1150801.0167324692</v>
      </c>
      <c r="W266" s="141">
        <f t="shared" si="32"/>
        <v>715001.61071958405</v>
      </c>
      <c r="X266" s="141">
        <f t="shared" si="33"/>
        <v>556167.15631029475</v>
      </c>
      <c r="Y266" s="141">
        <f t="shared" si="29"/>
        <v>304825.92924881959</v>
      </c>
      <c r="Z266" s="141">
        <f t="shared" si="34"/>
        <v>101783.08157063497</v>
      </c>
    </row>
    <row r="267" spans="1:26" ht="19.5" thickBot="1" x14ac:dyDescent="0.35">
      <c r="A267" s="142">
        <v>160</v>
      </c>
      <c r="B267" s="143" t="s">
        <v>275</v>
      </c>
      <c r="C267" s="142">
        <v>44</v>
      </c>
      <c r="D267" s="143" t="s">
        <v>318</v>
      </c>
      <c r="E267" s="142">
        <v>557660</v>
      </c>
      <c r="F267" s="143" t="s">
        <v>545</v>
      </c>
      <c r="G267" s="144">
        <v>1.9110045249520344</v>
      </c>
      <c r="H267" s="145">
        <v>282.20785992829411</v>
      </c>
      <c r="I267" s="146">
        <v>1.6424361747541025</v>
      </c>
      <c r="J267" s="147">
        <v>0.87066773028859956</v>
      </c>
      <c r="K267" s="148">
        <v>53</v>
      </c>
      <c r="M267" s="138">
        <f t="shared" si="28"/>
        <v>1.6424361747541025</v>
      </c>
      <c r="N267" s="149"/>
      <c r="U267" s="141">
        <f t="shared" si="30"/>
        <v>8003719.1249588877</v>
      </c>
      <c r="V267" s="141">
        <f t="shared" si="31"/>
        <v>699110.79714709672</v>
      </c>
      <c r="W267" s="141">
        <f t="shared" si="32"/>
        <v>197281.87043152523</v>
      </c>
      <c r="X267" s="141">
        <f t="shared" si="33"/>
        <v>14381.841927791473</v>
      </c>
      <c r="Y267" s="141">
        <f t="shared" si="29"/>
        <v>-275040.98994248762</v>
      </c>
      <c r="Z267" s="141">
        <f t="shared" si="34"/>
        <v>-508847.58288815117</v>
      </c>
    </row>
    <row r="268" spans="1:26" ht="19.5" thickBot="1" x14ac:dyDescent="0.35">
      <c r="A268" s="142">
        <v>160</v>
      </c>
      <c r="B268" s="143" t="s">
        <v>275</v>
      </c>
      <c r="C268" s="142">
        <v>44</v>
      </c>
      <c r="D268" s="143" t="s">
        <v>318</v>
      </c>
      <c r="E268" s="142">
        <v>457158</v>
      </c>
      <c r="F268" s="143" t="s">
        <v>338</v>
      </c>
      <c r="G268" s="144">
        <v>4.3293466173291888</v>
      </c>
      <c r="H268" s="145">
        <v>225.25207367240225</v>
      </c>
      <c r="I268" s="146">
        <v>1.4969496306114825</v>
      </c>
      <c r="J268" s="147">
        <v>0.88212394713017639</v>
      </c>
      <c r="K268" s="148">
        <v>67</v>
      </c>
      <c r="M268" s="138">
        <f t="shared" si="28"/>
        <v>1.4969496306114825</v>
      </c>
      <c r="N268" s="149"/>
      <c r="U268" s="141">
        <f t="shared" si="30"/>
        <v>18370866.685738824</v>
      </c>
      <c r="V268" s="141">
        <f t="shared" si="31"/>
        <v>1822406.9924158312</v>
      </c>
      <c r="W268" s="141">
        <f t="shared" si="32"/>
        <v>685522.52250149217</v>
      </c>
      <c r="X268" s="141">
        <f t="shared" si="33"/>
        <v>271165.77484704764</v>
      </c>
      <c r="Y268" s="141">
        <f t="shared" si="29"/>
        <v>-384516.48114702303</v>
      </c>
      <c r="Z268" s="141">
        <f t="shared" si="34"/>
        <v>-914201.14126261207</v>
      </c>
    </row>
    <row r="269" spans="1:26" ht="19.5" thickBot="1" x14ac:dyDescent="0.35">
      <c r="A269" s="142">
        <v>80</v>
      </c>
      <c r="B269" s="143" t="s">
        <v>339</v>
      </c>
      <c r="C269" s="142">
        <v>57</v>
      </c>
      <c r="D269" s="143" t="s">
        <v>340</v>
      </c>
      <c r="E269" s="142">
        <v>588201</v>
      </c>
      <c r="F269" s="143" t="s">
        <v>341</v>
      </c>
      <c r="G269" s="144">
        <v>3.4371100664698147</v>
      </c>
      <c r="H269" s="145">
        <v>127.30559137706413</v>
      </c>
      <c r="I269" s="146">
        <v>0.8736448966861653</v>
      </c>
      <c r="J269" s="147">
        <v>0.93120555967593677</v>
      </c>
      <c r="K269" s="148">
        <v>164</v>
      </c>
      <c r="M269" s="138">
        <f t="shared" si="28"/>
        <v>0.8736448966861653</v>
      </c>
      <c r="N269" s="149"/>
      <c r="U269" s="141">
        <f t="shared" si="30"/>
        <v>15396311.020133696</v>
      </c>
      <c r="V269" s="141">
        <f t="shared" si="31"/>
        <v>2258329.1434181961</v>
      </c>
      <c r="W269" s="141">
        <f t="shared" si="32"/>
        <v>1355745.5895131489</v>
      </c>
      <c r="X269" s="141">
        <f t="shared" si="33"/>
        <v>1026783.768167604</v>
      </c>
      <c r="Y269" s="141">
        <f t="shared" si="29"/>
        <v>506231.29647081118</v>
      </c>
      <c r="Z269" s="141">
        <f t="shared" si="34"/>
        <v>85709.532274192577</v>
      </c>
    </row>
    <row r="270" spans="1:26" ht="19.5" thickBot="1" x14ac:dyDescent="0.35">
      <c r="A270" s="142">
        <v>80</v>
      </c>
      <c r="B270" s="143" t="s">
        <v>339</v>
      </c>
      <c r="C270" s="142">
        <v>57</v>
      </c>
      <c r="D270" s="143" t="s">
        <v>340</v>
      </c>
      <c r="E270" s="142">
        <v>588206</v>
      </c>
      <c r="F270" s="143" t="s">
        <v>342</v>
      </c>
      <c r="G270" s="144">
        <v>2.6865209235209235</v>
      </c>
      <c r="H270" s="145">
        <v>192.72110669863821</v>
      </c>
      <c r="I270" s="146">
        <v>0.77688832362214988</v>
      </c>
      <c r="J270" s="147">
        <v>0.93882457549902643</v>
      </c>
      <c r="K270" s="148">
        <v>182</v>
      </c>
      <c r="M270" s="138">
        <f t="shared" si="28"/>
        <v>0.77688832362214988</v>
      </c>
      <c r="N270" s="149"/>
      <c r="U270" s="141">
        <f t="shared" si="30"/>
        <v>12132557.341720572</v>
      </c>
      <c r="V270" s="141">
        <f t="shared" si="31"/>
        <v>1863621.3687489133</v>
      </c>
      <c r="W270" s="141">
        <f t="shared" si="32"/>
        <v>1158142.1853946669</v>
      </c>
      <c r="X270" s="141">
        <f t="shared" si="33"/>
        <v>901018.38109588495</v>
      </c>
      <c r="Y270" s="141">
        <f t="shared" si="29"/>
        <v>494143.10507648392</v>
      </c>
      <c r="Z270" s="141">
        <f t="shared" si="34"/>
        <v>165454.03301820066</v>
      </c>
    </row>
    <row r="271" spans="1:26" ht="19.5" thickBot="1" x14ac:dyDescent="0.35">
      <c r="A271" s="142">
        <v>80</v>
      </c>
      <c r="B271" s="143" t="s">
        <v>339</v>
      </c>
      <c r="C271" s="142">
        <v>57</v>
      </c>
      <c r="D271" s="143" t="s">
        <v>340</v>
      </c>
      <c r="E271" s="142">
        <v>588216</v>
      </c>
      <c r="F271" s="143" t="s">
        <v>546</v>
      </c>
      <c r="G271" s="144">
        <v>1</v>
      </c>
      <c r="H271" s="145">
        <v>174.92780719999999</v>
      </c>
      <c r="I271" s="146">
        <v>1.5532421115999999</v>
      </c>
      <c r="J271" s="147">
        <v>0.87769124256251141</v>
      </c>
      <c r="K271" s="148">
        <v>60</v>
      </c>
      <c r="M271" s="138">
        <f t="shared" si="28"/>
        <v>1.5532421115999999</v>
      </c>
      <c r="N271" s="149"/>
      <c r="U271" s="141">
        <f t="shared" si="30"/>
        <v>4222011.7803941518</v>
      </c>
      <c r="V271" s="141">
        <f t="shared" si="31"/>
        <v>399619.82242893765</v>
      </c>
      <c r="W271" s="141">
        <f t="shared" si="32"/>
        <v>137020.27325823792</v>
      </c>
      <c r="X271" s="141">
        <f t="shared" si="33"/>
        <v>41311.432114429277</v>
      </c>
      <c r="Y271" s="141">
        <f t="shared" si="29"/>
        <v>-110139.19403076182</v>
      </c>
      <c r="Z271" s="141">
        <f t="shared" si="34"/>
        <v>-232486.6766729246</v>
      </c>
    </row>
    <row r="272" spans="1:26" ht="19.5" thickBot="1" x14ac:dyDescent="0.35">
      <c r="A272" s="142">
        <v>80</v>
      </c>
      <c r="B272" s="143" t="s">
        <v>339</v>
      </c>
      <c r="C272" s="142">
        <v>57</v>
      </c>
      <c r="D272" s="143" t="s">
        <v>340</v>
      </c>
      <c r="E272" s="142">
        <v>488256</v>
      </c>
      <c r="F272" s="143" t="s">
        <v>344</v>
      </c>
      <c r="G272" s="144">
        <v>2.6251377057828655</v>
      </c>
      <c r="H272" s="145">
        <v>143.80144051430739</v>
      </c>
      <c r="I272" s="146">
        <v>0.43257159364192477</v>
      </c>
      <c r="J272" s="147">
        <v>0.96593750985376126</v>
      </c>
      <c r="K272" s="148">
        <v>246</v>
      </c>
      <c r="M272" s="138">
        <f t="shared" si="28"/>
        <v>0.43257159364192477</v>
      </c>
      <c r="N272" s="149"/>
      <c r="U272" s="141">
        <f t="shared" si="30"/>
        <v>12197723.84641568</v>
      </c>
      <c r="V272" s="141">
        <f t="shared" si="31"/>
        <v>2163418.5912800017</v>
      </c>
      <c r="W272" s="141">
        <f t="shared" si="32"/>
        <v>1474058.6132304163</v>
      </c>
      <c r="X272" s="141">
        <f t="shared" si="33"/>
        <v>1222809.7255670216</v>
      </c>
      <c r="Y272" s="141">
        <f t="shared" si="29"/>
        <v>825230.97630885639</v>
      </c>
      <c r="Z272" s="141">
        <f t="shared" si="34"/>
        <v>504051.98641730018</v>
      </c>
    </row>
    <row r="273" spans="1:26" ht="19.5" thickBot="1" x14ac:dyDescent="0.35">
      <c r="A273" s="142">
        <v>80</v>
      </c>
      <c r="B273" s="143" t="s">
        <v>339</v>
      </c>
      <c r="C273" s="142">
        <v>57</v>
      </c>
      <c r="D273" s="143" t="s">
        <v>340</v>
      </c>
      <c r="E273" s="142">
        <v>488281</v>
      </c>
      <c r="F273" s="143" t="s">
        <v>345</v>
      </c>
      <c r="G273" s="144">
        <v>4.5014537386150302</v>
      </c>
      <c r="H273" s="145">
        <v>112.79303890751856</v>
      </c>
      <c r="I273" s="146">
        <v>0.61576173187393723</v>
      </c>
      <c r="J273" s="147">
        <v>0.95151235487333197</v>
      </c>
      <c r="K273" s="148">
        <v>213</v>
      </c>
      <c r="M273" s="138">
        <f t="shared" si="28"/>
        <v>0.61576173187393723</v>
      </c>
      <c r="N273" s="149"/>
      <c r="U273" s="141">
        <f t="shared" si="30"/>
        <v>20603684.864921398</v>
      </c>
      <c r="V273" s="141">
        <f t="shared" si="31"/>
        <v>3397364.2952868566</v>
      </c>
      <c r="W273" s="141">
        <f t="shared" si="32"/>
        <v>2215284.5729137883</v>
      </c>
      <c r="X273" s="141">
        <f t="shared" si="33"/>
        <v>1784455.652128479</v>
      </c>
      <c r="Y273" s="141">
        <f t="shared" si="29"/>
        <v>1102707.6648516215</v>
      </c>
      <c r="Z273" s="141">
        <f t="shared" si="34"/>
        <v>551966.13170192041</v>
      </c>
    </row>
    <row r="274" spans="1:26" ht="19.5" thickBot="1" x14ac:dyDescent="0.35">
      <c r="A274" s="142">
        <v>80</v>
      </c>
      <c r="B274" s="143" t="s">
        <v>339</v>
      </c>
      <c r="C274" s="142">
        <v>57</v>
      </c>
      <c r="D274" s="143" t="s">
        <v>340</v>
      </c>
      <c r="E274" s="142">
        <v>488286</v>
      </c>
      <c r="F274" s="143" t="s">
        <v>346</v>
      </c>
      <c r="G274" s="144">
        <v>8.6759634028119379</v>
      </c>
      <c r="H274" s="145">
        <v>192.26552106125317</v>
      </c>
      <c r="I274" s="146">
        <v>0.95810755980204609</v>
      </c>
      <c r="J274" s="147">
        <v>0.92455461756046509</v>
      </c>
      <c r="K274" s="148">
        <v>142</v>
      </c>
      <c r="M274" s="138">
        <f t="shared" si="28"/>
        <v>0.95810755980204609</v>
      </c>
      <c r="N274" s="149"/>
      <c r="U274" s="141">
        <f t="shared" si="30"/>
        <v>38585839.992617786</v>
      </c>
      <c r="V274" s="141">
        <f t="shared" si="31"/>
        <v>5422907.2541089151</v>
      </c>
      <c r="W274" s="141">
        <f t="shared" si="32"/>
        <v>3144603.1759090107</v>
      </c>
      <c r="X274" s="141">
        <f t="shared" si="33"/>
        <v>2314236.7728197854</v>
      </c>
      <c r="Y274" s="141">
        <f t="shared" si="29"/>
        <v>1000256.6830511545</v>
      </c>
      <c r="Z274" s="141">
        <f t="shared" si="34"/>
        <v>-61225.59877841844</v>
      </c>
    </row>
    <row r="275" spans="1:26" ht="19.5" thickBot="1" x14ac:dyDescent="0.35">
      <c r="A275" s="142">
        <v>80</v>
      </c>
      <c r="B275" s="143" t="s">
        <v>339</v>
      </c>
      <c r="C275" s="142">
        <v>57</v>
      </c>
      <c r="D275" s="143" t="s">
        <v>340</v>
      </c>
      <c r="E275" s="142">
        <v>488291</v>
      </c>
      <c r="F275" s="143" t="s">
        <v>347</v>
      </c>
      <c r="G275" s="144">
        <v>1.8989247311827957</v>
      </c>
      <c r="H275" s="145">
        <v>53.192908250283097</v>
      </c>
      <c r="I275" s="146">
        <v>0.35405595912231019</v>
      </c>
      <c r="J275" s="147">
        <v>0.97212015815166108</v>
      </c>
      <c r="K275" s="148">
        <v>263</v>
      </c>
      <c r="M275" s="138">
        <f t="shared" si="28"/>
        <v>0.35405595912231019</v>
      </c>
      <c r="N275" s="149"/>
      <c r="U275" s="141">
        <f t="shared" si="30"/>
        <v>8879844.7981021646</v>
      </c>
      <c r="V275" s="141">
        <f t="shared" si="31"/>
        <v>1621410.1768477883</v>
      </c>
      <c r="W275" s="141">
        <f t="shared" si="32"/>
        <v>1122753.3985300942</v>
      </c>
      <c r="X275" s="141">
        <f t="shared" si="33"/>
        <v>941009.51308927045</v>
      </c>
      <c r="Y275" s="141">
        <f t="shared" si="29"/>
        <v>653416.17354904732</v>
      </c>
      <c r="Z275" s="141">
        <f t="shared" si="34"/>
        <v>421087.51296188659</v>
      </c>
    </row>
    <row r="276" spans="1:26" ht="19.5" thickBot="1" x14ac:dyDescent="0.35">
      <c r="A276" s="142">
        <v>80</v>
      </c>
      <c r="B276" s="143" t="s">
        <v>339</v>
      </c>
      <c r="C276" s="142">
        <v>57</v>
      </c>
      <c r="D276" s="143" t="s">
        <v>340</v>
      </c>
      <c r="E276" s="142">
        <v>488288</v>
      </c>
      <c r="F276" s="143" t="s">
        <v>348</v>
      </c>
      <c r="G276" s="144">
        <v>1.8613756613756598</v>
      </c>
      <c r="H276" s="145">
        <v>168.0772329099774</v>
      </c>
      <c r="I276" s="146">
        <v>0.90427076055997802</v>
      </c>
      <c r="J276" s="147">
        <v>0.92879395151267563</v>
      </c>
      <c r="K276" s="148">
        <v>157</v>
      </c>
      <c r="M276" s="138">
        <f t="shared" si="28"/>
        <v>0.90427076055997802</v>
      </c>
      <c r="N276" s="149"/>
      <c r="U276" s="141">
        <f t="shared" si="30"/>
        <v>8316317.9540654682</v>
      </c>
      <c r="V276" s="141">
        <f t="shared" si="31"/>
        <v>1201410.5952709634</v>
      </c>
      <c r="W276" s="141">
        <f t="shared" si="32"/>
        <v>712614.18575640209</v>
      </c>
      <c r="X276" s="141">
        <f t="shared" si="33"/>
        <v>534464.07827284734</v>
      </c>
      <c r="Y276" s="141">
        <f t="shared" si="29"/>
        <v>252557.56886608442</v>
      </c>
      <c r="Z276" s="141">
        <f t="shared" si="34"/>
        <v>24822.942445381632</v>
      </c>
    </row>
    <row r="277" spans="1:26" ht="19.5" thickBot="1" x14ac:dyDescent="0.35">
      <c r="A277" s="142">
        <v>80</v>
      </c>
      <c r="B277" s="143" t="s">
        <v>339</v>
      </c>
      <c r="C277" s="142">
        <v>57</v>
      </c>
      <c r="D277" s="143" t="s">
        <v>340</v>
      </c>
      <c r="E277" s="142">
        <v>588336</v>
      </c>
      <c r="F277" s="143" t="s">
        <v>349</v>
      </c>
      <c r="G277" s="144">
        <v>4.0649831649831629</v>
      </c>
      <c r="H277" s="145">
        <v>162.95170383632905</v>
      </c>
      <c r="I277" s="146">
        <v>0.95013698744703101</v>
      </c>
      <c r="J277" s="147">
        <v>0.92518225364728435</v>
      </c>
      <c r="K277" s="148">
        <v>143</v>
      </c>
      <c r="M277" s="138">
        <f t="shared" si="28"/>
        <v>0.95013698744703101</v>
      </c>
      <c r="N277" s="149"/>
      <c r="U277" s="141">
        <f t="shared" si="30"/>
        <v>18091047.785570733</v>
      </c>
      <c r="V277" s="141">
        <f t="shared" si="31"/>
        <v>2553088.826475109</v>
      </c>
      <c r="W277" s="141">
        <f t="shared" si="32"/>
        <v>1485626.0799640459</v>
      </c>
      <c r="X277" s="141">
        <f t="shared" si="33"/>
        <v>1096571.251974416</v>
      </c>
      <c r="Y277" s="141">
        <f t="shared" si="29"/>
        <v>480927.00636805536</v>
      </c>
      <c r="Z277" s="141">
        <f t="shared" si="34"/>
        <v>-16413.450850406054</v>
      </c>
    </row>
    <row r="278" spans="1:26" ht="19.5" thickBot="1" x14ac:dyDescent="0.35">
      <c r="A278" s="142">
        <v>80</v>
      </c>
      <c r="B278" s="143" t="s">
        <v>339</v>
      </c>
      <c r="C278" s="142">
        <v>57</v>
      </c>
      <c r="D278" s="143" t="s">
        <v>340</v>
      </c>
      <c r="E278" s="142">
        <v>588396</v>
      </c>
      <c r="F278" s="143" t="s">
        <v>350</v>
      </c>
      <c r="G278" s="144">
        <v>2.7843147969375193</v>
      </c>
      <c r="H278" s="145">
        <v>94.471665692872691</v>
      </c>
      <c r="I278" s="146">
        <v>0.73607582816936434</v>
      </c>
      <c r="J278" s="147">
        <v>0.94203832148844679</v>
      </c>
      <c r="K278" s="148">
        <v>190</v>
      </c>
      <c r="M278" s="138">
        <f t="shared" si="28"/>
        <v>0.73607582816936434</v>
      </c>
      <c r="N278" s="149"/>
      <c r="U278" s="141">
        <f t="shared" si="30"/>
        <v>12617246.302736245</v>
      </c>
      <c r="V278" s="141">
        <f t="shared" si="31"/>
        <v>1974503.8144787219</v>
      </c>
      <c r="W278" s="141">
        <f t="shared" si="32"/>
        <v>1243344.0040536211</v>
      </c>
      <c r="X278" s="141">
        <f t="shared" si="33"/>
        <v>976860.46145917207</v>
      </c>
      <c r="Y278" s="141">
        <f t="shared" si="29"/>
        <v>555174.24207766424</v>
      </c>
      <c r="Z278" s="141">
        <f t="shared" si="34"/>
        <v>214520.33578903414</v>
      </c>
    </row>
    <row r="279" spans="1:26" ht="19.5" thickBot="1" x14ac:dyDescent="0.35">
      <c r="A279" s="142">
        <v>80</v>
      </c>
      <c r="B279" s="143" t="s">
        <v>339</v>
      </c>
      <c r="C279" s="142">
        <v>57</v>
      </c>
      <c r="D279" s="143" t="s">
        <v>340</v>
      </c>
      <c r="E279" s="142">
        <v>488451</v>
      </c>
      <c r="F279" s="143" t="s">
        <v>351</v>
      </c>
      <c r="G279" s="144">
        <v>4.6097894054415791</v>
      </c>
      <c r="H279" s="145">
        <v>196.87395042790774</v>
      </c>
      <c r="I279" s="146">
        <v>0.9811219969747742</v>
      </c>
      <c r="J279" s="147">
        <v>0.92274236485839289</v>
      </c>
      <c r="K279" s="148">
        <v>139</v>
      </c>
      <c r="M279" s="138">
        <f t="shared" si="28"/>
        <v>0.9811219969747742</v>
      </c>
      <c r="N279" s="149"/>
      <c r="U279" s="141">
        <f t="shared" si="30"/>
        <v>20461582.615455724</v>
      </c>
      <c r="V279" s="141">
        <f t="shared" si="31"/>
        <v>2841160.6641825838</v>
      </c>
      <c r="W279" s="141">
        <f t="shared" si="32"/>
        <v>1630632.0445417576</v>
      </c>
      <c r="X279" s="141">
        <f t="shared" si="33"/>
        <v>1189434.4426299375</v>
      </c>
      <c r="Y279" s="141">
        <f t="shared" si="29"/>
        <v>491278.95077834208</v>
      </c>
      <c r="Z279" s="141">
        <f t="shared" si="34"/>
        <v>-72717.178487947283</v>
      </c>
    </row>
    <row r="280" spans="1:26" ht="19.5" thickBot="1" x14ac:dyDescent="0.35">
      <c r="A280" s="142">
        <v>80</v>
      </c>
      <c r="B280" s="143" t="s">
        <v>339</v>
      </c>
      <c r="C280" s="142">
        <v>57</v>
      </c>
      <c r="D280" s="143" t="s">
        <v>340</v>
      </c>
      <c r="E280" s="142">
        <v>588501</v>
      </c>
      <c r="F280" s="143" t="s">
        <v>352</v>
      </c>
      <c r="G280" s="144">
        <v>4.6161616161616159</v>
      </c>
      <c r="H280" s="145">
        <v>145.40417799715536</v>
      </c>
      <c r="I280" s="146">
        <v>0.48488806112494537</v>
      </c>
      <c r="J280" s="147">
        <v>0.96181789316066524</v>
      </c>
      <c r="K280" s="148">
        <v>237</v>
      </c>
      <c r="M280" s="138">
        <f t="shared" si="28"/>
        <v>0.48488806112494537</v>
      </c>
      <c r="N280" s="149"/>
      <c r="U280" s="141">
        <f t="shared" si="30"/>
        <v>21357554.996468611</v>
      </c>
      <c r="V280" s="141">
        <f t="shared" si="31"/>
        <v>3712775.9581847433</v>
      </c>
      <c r="W280" s="141">
        <f t="shared" si="32"/>
        <v>2500573.9988816148</v>
      </c>
      <c r="X280" s="141">
        <f t="shared" si="33"/>
        <v>2058766.5200662557</v>
      </c>
      <c r="Y280" s="141">
        <f t="shared" si="29"/>
        <v>1359645.9529111814</v>
      </c>
      <c r="Z280" s="141">
        <f t="shared" si="34"/>
        <v>794870.19970442995</v>
      </c>
    </row>
    <row r="281" spans="1:26" ht="19.5" thickBot="1" x14ac:dyDescent="0.35">
      <c r="A281" s="142">
        <v>80</v>
      </c>
      <c r="B281" s="143" t="s">
        <v>339</v>
      </c>
      <c r="C281" s="142">
        <v>57</v>
      </c>
      <c r="D281" s="143" t="s">
        <v>340</v>
      </c>
      <c r="E281" s="142">
        <v>488561</v>
      </c>
      <c r="F281" s="143" t="s">
        <v>353</v>
      </c>
      <c r="G281" s="144">
        <v>6.39810303448564</v>
      </c>
      <c r="H281" s="145">
        <v>250.01432218082391</v>
      </c>
      <c r="I281" s="146">
        <v>1.4164229004837452</v>
      </c>
      <c r="J281" s="147">
        <v>0.88846495747806209</v>
      </c>
      <c r="K281" s="148">
        <v>79</v>
      </c>
      <c r="M281" s="138">
        <f t="shared" si="28"/>
        <v>1.4164229004837452</v>
      </c>
      <c r="N281" s="149"/>
      <c r="U281" s="141">
        <f t="shared" si="30"/>
        <v>27344451.008705322</v>
      </c>
      <c r="V281" s="141">
        <f t="shared" si="31"/>
        <v>2888393.423454578</v>
      </c>
      <c r="W281" s="141">
        <f t="shared" si="32"/>
        <v>1208254.4510509626</v>
      </c>
      <c r="X281" s="141">
        <f t="shared" si="33"/>
        <v>595899.42410165654</v>
      </c>
      <c r="Y281" s="141">
        <f t="shared" si="29"/>
        <v>-373097.28661264095</v>
      </c>
      <c r="Z281" s="141">
        <f t="shared" si="34"/>
        <v>-1155889.0865671416</v>
      </c>
    </row>
    <row r="282" spans="1:26" ht="19.5" thickBot="1" x14ac:dyDescent="0.35">
      <c r="A282" s="142">
        <v>80</v>
      </c>
      <c r="B282" s="143" t="s">
        <v>339</v>
      </c>
      <c r="C282" s="142">
        <v>57</v>
      </c>
      <c r="D282" s="143" t="s">
        <v>340</v>
      </c>
      <c r="E282" s="142">
        <v>588631</v>
      </c>
      <c r="F282" s="143" t="s">
        <v>354</v>
      </c>
      <c r="G282" s="144">
        <v>5.0444772766063091</v>
      </c>
      <c r="H282" s="145">
        <v>125.88211198905529</v>
      </c>
      <c r="I282" s="146">
        <v>0.80759018916638103</v>
      </c>
      <c r="J282" s="147">
        <v>0.93640698264747813</v>
      </c>
      <c r="K282" s="148">
        <v>171</v>
      </c>
      <c r="M282" s="138">
        <f t="shared" si="28"/>
        <v>0.80759018916638103</v>
      </c>
      <c r="N282" s="149"/>
      <c r="U282" s="141">
        <f t="shared" si="30"/>
        <v>22722624.373737521</v>
      </c>
      <c r="V282" s="141">
        <f t="shared" si="31"/>
        <v>3440654.9994992996</v>
      </c>
      <c r="W282" s="141">
        <f t="shared" si="32"/>
        <v>2115977.5408606441</v>
      </c>
      <c r="X282" s="141">
        <f t="shared" si="33"/>
        <v>1633176.4665403788</v>
      </c>
      <c r="Y282" s="141">
        <f t="shared" si="29"/>
        <v>869187.22442316462</v>
      </c>
      <c r="Z282" s="141">
        <f t="shared" si="34"/>
        <v>252008.12838478968</v>
      </c>
    </row>
    <row r="283" spans="1:26" ht="19.5" thickBot="1" x14ac:dyDescent="0.35">
      <c r="A283" s="142">
        <v>80</v>
      </c>
      <c r="B283" s="143" t="s">
        <v>339</v>
      </c>
      <c r="C283" s="142">
        <v>57</v>
      </c>
      <c r="D283" s="143" t="s">
        <v>340</v>
      </c>
      <c r="E283" s="142">
        <v>488706</v>
      </c>
      <c r="F283" s="143" t="s">
        <v>355</v>
      </c>
      <c r="G283" s="144">
        <v>3.2630691802820828</v>
      </c>
      <c r="H283" s="145">
        <v>287.12854760836115</v>
      </c>
      <c r="I283" s="146">
        <v>1.3050065972342884</v>
      </c>
      <c r="J283" s="147">
        <v>0.89723834155447135</v>
      </c>
      <c r="K283" s="148">
        <v>94</v>
      </c>
      <c r="M283" s="138">
        <f t="shared" si="28"/>
        <v>1.3050065972342884</v>
      </c>
      <c r="N283" s="149"/>
      <c r="U283" s="141">
        <f t="shared" si="30"/>
        <v>14083538.358929249</v>
      </c>
      <c r="V283" s="141">
        <f t="shared" si="31"/>
        <v>1610808.9659348708</v>
      </c>
      <c r="W283" s="141">
        <f t="shared" si="32"/>
        <v>753928.47027999128</v>
      </c>
      <c r="X283" s="141">
        <f t="shared" si="33"/>
        <v>441623.90046311554</v>
      </c>
      <c r="Y283" s="141">
        <f t="shared" si="29"/>
        <v>-52569.970045681366</v>
      </c>
      <c r="Z283" s="141">
        <f t="shared" si="34"/>
        <v>-451798.26994041976</v>
      </c>
    </row>
    <row r="284" spans="1:26" ht="19.5" thickBot="1" x14ac:dyDescent="0.35">
      <c r="A284" s="142">
        <v>80</v>
      </c>
      <c r="B284" s="143" t="s">
        <v>339</v>
      </c>
      <c r="C284" s="142">
        <v>57</v>
      </c>
      <c r="D284" s="143" t="s">
        <v>340</v>
      </c>
      <c r="E284" s="142">
        <v>588716</v>
      </c>
      <c r="F284" s="143" t="s">
        <v>356</v>
      </c>
      <c r="G284" s="144">
        <v>2.6091871091871091</v>
      </c>
      <c r="H284" s="145">
        <v>67.626228865960002</v>
      </c>
      <c r="I284" s="146">
        <v>0.22424848020282059</v>
      </c>
      <c r="J284" s="147">
        <v>0.9823417400506872</v>
      </c>
      <c r="K284" s="148">
        <v>282</v>
      </c>
      <c r="M284" s="138">
        <f t="shared" si="28"/>
        <v>0.22424848020282059</v>
      </c>
      <c r="N284" s="149"/>
      <c r="U284" s="141">
        <f t="shared" si="30"/>
        <v>12329500.928616783</v>
      </c>
      <c r="V284" s="141">
        <f t="shared" si="31"/>
        <v>2356165.1056334698</v>
      </c>
      <c r="W284" s="141">
        <f t="shared" si="32"/>
        <v>1670993.7470589336</v>
      </c>
      <c r="X284" s="141">
        <f t="shared" si="33"/>
        <v>1421271.4725112715</v>
      </c>
      <c r="Y284" s="141">
        <f t="shared" si="29"/>
        <v>1026108.4510949226</v>
      </c>
      <c r="Z284" s="141">
        <f t="shared" si="34"/>
        <v>706880.97654349788</v>
      </c>
    </row>
    <row r="285" spans="1:26" ht="19.5" thickBot="1" x14ac:dyDescent="0.35">
      <c r="A285" s="142">
        <v>80</v>
      </c>
      <c r="B285" s="143" t="s">
        <v>339</v>
      </c>
      <c r="C285" s="142">
        <v>55</v>
      </c>
      <c r="D285" s="143" t="s">
        <v>357</v>
      </c>
      <c r="E285" s="142">
        <v>588186</v>
      </c>
      <c r="F285" s="143" t="s">
        <v>358</v>
      </c>
      <c r="G285" s="144">
        <v>2.567366041366042</v>
      </c>
      <c r="H285" s="145">
        <v>374.68300733157918</v>
      </c>
      <c r="I285" s="146">
        <v>1.7560624099791962</v>
      </c>
      <c r="J285" s="147">
        <v>0.86172032695792045</v>
      </c>
      <c r="K285" s="148">
        <v>47</v>
      </c>
      <c r="M285" s="138">
        <f t="shared" si="28"/>
        <v>1.7560624099791962</v>
      </c>
      <c r="N285" s="149"/>
      <c r="U285" s="141">
        <f t="shared" si="30"/>
        <v>10642209.539959179</v>
      </c>
      <c r="V285" s="141">
        <f t="shared" si="31"/>
        <v>828730.2302886321</v>
      </c>
      <c r="W285" s="141">
        <f t="shared" si="32"/>
        <v>154541.06526974542</v>
      </c>
      <c r="X285" s="141">
        <f t="shared" si="33"/>
        <v>-91178.563341365909</v>
      </c>
      <c r="Y285" s="141">
        <f t="shared" si="29"/>
        <v>-480007.7578501536</v>
      </c>
      <c r="Z285" s="141">
        <f t="shared" si="34"/>
        <v>-794118.5300322636</v>
      </c>
    </row>
    <row r="286" spans="1:26" ht="19.5" thickBot="1" x14ac:dyDescent="0.35">
      <c r="A286" s="142">
        <v>80</v>
      </c>
      <c r="B286" s="143" t="s">
        <v>339</v>
      </c>
      <c r="C286" s="142">
        <v>55</v>
      </c>
      <c r="D286" s="143" t="s">
        <v>357</v>
      </c>
      <c r="E286" s="142">
        <v>488246</v>
      </c>
      <c r="F286" s="143" t="s">
        <v>359</v>
      </c>
      <c r="G286" s="144">
        <v>2.927814375640462</v>
      </c>
      <c r="H286" s="145">
        <v>246.24429950149761</v>
      </c>
      <c r="I286" s="146">
        <v>0.80135591570307874</v>
      </c>
      <c r="J286" s="147">
        <v>0.93689789532305356</v>
      </c>
      <c r="K286" s="148">
        <v>174</v>
      </c>
      <c r="M286" s="138">
        <f t="shared" si="28"/>
        <v>0.80135591570307874</v>
      </c>
      <c r="N286" s="149"/>
      <c r="U286" s="141">
        <f t="shared" si="30"/>
        <v>13195124.062485859</v>
      </c>
      <c r="V286" s="141">
        <f t="shared" si="31"/>
        <v>2003869.9386228118</v>
      </c>
      <c r="W286" s="141">
        <f t="shared" si="32"/>
        <v>1235027.2035241332</v>
      </c>
      <c r="X286" s="141">
        <f t="shared" si="33"/>
        <v>954809.48254740087</v>
      </c>
      <c r="Y286" s="141">
        <f t="shared" si="29"/>
        <v>511390.16211976105</v>
      </c>
      <c r="Z286" s="141">
        <f t="shared" si="34"/>
        <v>153179.44361661497</v>
      </c>
    </row>
    <row r="287" spans="1:26" ht="19.5" thickBot="1" x14ac:dyDescent="0.35">
      <c r="A287" s="142">
        <v>80</v>
      </c>
      <c r="B287" s="143" t="s">
        <v>339</v>
      </c>
      <c r="C287" s="142">
        <v>55</v>
      </c>
      <c r="D287" s="143" t="s">
        <v>357</v>
      </c>
      <c r="E287" s="142">
        <v>588316</v>
      </c>
      <c r="F287" s="143" t="s">
        <v>360</v>
      </c>
      <c r="G287" s="144">
        <v>3.9837235643687254</v>
      </c>
      <c r="H287" s="145">
        <v>149.63081538376224</v>
      </c>
      <c r="I287" s="146">
        <v>0.93192826400049233</v>
      </c>
      <c r="J287" s="147">
        <v>0.92661608442140309</v>
      </c>
      <c r="K287" s="148">
        <v>152</v>
      </c>
      <c r="M287" s="138">
        <f t="shared" si="28"/>
        <v>0.93192826400049233</v>
      </c>
      <c r="N287" s="149"/>
      <c r="U287" s="141">
        <f t="shared" si="30"/>
        <v>17756881.839640494</v>
      </c>
      <c r="V287" s="141">
        <f t="shared" si="31"/>
        <v>2529528.9244409581</v>
      </c>
      <c r="W287" s="141">
        <f t="shared" si="32"/>
        <v>1483404.9124170379</v>
      </c>
      <c r="X287" s="141">
        <f t="shared" si="33"/>
        <v>1102127.3466340243</v>
      </c>
      <c r="Y287" s="141">
        <f t="shared" si="29"/>
        <v>498789.91842102836</v>
      </c>
      <c r="Z287" s="141">
        <f t="shared" si="34"/>
        <v>11391.36877825095</v>
      </c>
    </row>
    <row r="288" spans="1:26" ht="19.5" thickBot="1" x14ac:dyDescent="0.35">
      <c r="A288" s="142">
        <v>80</v>
      </c>
      <c r="B288" s="143" t="s">
        <v>339</v>
      </c>
      <c r="C288" s="142">
        <v>55</v>
      </c>
      <c r="D288" s="143" t="s">
        <v>357</v>
      </c>
      <c r="E288" s="142">
        <v>488326</v>
      </c>
      <c r="F288" s="143" t="s">
        <v>361</v>
      </c>
      <c r="G288" s="144">
        <v>5.0138817773226396</v>
      </c>
      <c r="H288" s="145">
        <v>526.60037866108178</v>
      </c>
      <c r="I288" s="146">
        <v>2.3195419106411896</v>
      </c>
      <c r="J288" s="147">
        <v>0.81734960261767453</v>
      </c>
      <c r="K288" s="148">
        <v>15</v>
      </c>
      <c r="M288" s="138">
        <f t="shared" si="28"/>
        <v>2.3195419106411896</v>
      </c>
      <c r="N288" s="149"/>
      <c r="U288" s="141">
        <f t="shared" si="30"/>
        <v>19713313.157246634</v>
      </c>
      <c r="V288" s="141">
        <f t="shared" si="31"/>
        <v>548291.77342024504</v>
      </c>
      <c r="W288" s="141">
        <f t="shared" si="32"/>
        <v>-768351.32089986664</v>
      </c>
      <c r="X288" s="141">
        <f t="shared" si="33"/>
        <v>-1248224.135439476</v>
      </c>
      <c r="Y288" s="141">
        <f t="shared" si="29"/>
        <v>-2007579.6700329536</v>
      </c>
      <c r="Z288" s="141">
        <f t="shared" si="34"/>
        <v>-2621015.4837537911</v>
      </c>
    </row>
    <row r="289" spans="1:26" ht="19.5" thickBot="1" x14ac:dyDescent="0.35">
      <c r="A289" s="142">
        <v>80</v>
      </c>
      <c r="B289" s="143" t="s">
        <v>339</v>
      </c>
      <c r="C289" s="142">
        <v>55</v>
      </c>
      <c r="D289" s="143" t="s">
        <v>357</v>
      </c>
      <c r="E289" s="142">
        <v>488346</v>
      </c>
      <c r="F289" s="143" t="s">
        <v>362</v>
      </c>
      <c r="G289" s="144">
        <v>1.8723945526189556</v>
      </c>
      <c r="H289" s="145">
        <v>258.29287204640843</v>
      </c>
      <c r="I289" s="146">
        <v>1.2216000396928544</v>
      </c>
      <c r="J289" s="147">
        <v>0.90380612151539619</v>
      </c>
      <c r="K289" s="148">
        <v>104</v>
      </c>
      <c r="M289" s="138">
        <f t="shared" si="28"/>
        <v>1.2216000396928544</v>
      </c>
      <c r="N289" s="149"/>
      <c r="U289" s="141">
        <f t="shared" si="30"/>
        <v>8140485.8014523881</v>
      </c>
      <c r="V289" s="141">
        <f t="shared" si="31"/>
        <v>983459.92138381663</v>
      </c>
      <c r="W289" s="141">
        <f t="shared" si="32"/>
        <v>491769.95599640487</v>
      </c>
      <c r="X289" s="141">
        <f t="shared" si="33"/>
        <v>312565.24320126459</v>
      </c>
      <c r="Y289" s="141">
        <f t="shared" si="29"/>
        <v>28989.915816278797</v>
      </c>
      <c r="Z289" s="141">
        <f t="shared" si="34"/>
        <v>-200092.84420954899</v>
      </c>
    </row>
    <row r="290" spans="1:26" ht="19.5" thickBot="1" x14ac:dyDescent="0.35">
      <c r="A290" s="142">
        <v>80</v>
      </c>
      <c r="B290" s="143" t="s">
        <v>339</v>
      </c>
      <c r="C290" s="142">
        <v>55</v>
      </c>
      <c r="D290" s="143" t="s">
        <v>357</v>
      </c>
      <c r="E290" s="142">
        <v>588386</v>
      </c>
      <c r="F290" s="143" t="s">
        <v>363</v>
      </c>
      <c r="G290" s="144">
        <v>2.0195966230448992</v>
      </c>
      <c r="H290" s="145">
        <v>138.15800632966142</v>
      </c>
      <c r="I290" s="146">
        <v>0.41711585842321536</v>
      </c>
      <c r="J290" s="147">
        <v>0.96715455886097357</v>
      </c>
      <c r="K290" s="148">
        <v>249</v>
      </c>
      <c r="M290" s="138">
        <f t="shared" si="28"/>
        <v>0.41711585842321536</v>
      </c>
      <c r="N290" s="149"/>
      <c r="U290" s="141">
        <f t="shared" si="30"/>
        <v>9395895.8645445406</v>
      </c>
      <c r="V290" s="141">
        <f t="shared" si="31"/>
        <v>1676205.9742840151</v>
      </c>
      <c r="W290" s="141">
        <f t="shared" si="32"/>
        <v>1145860.811565757</v>
      </c>
      <c r="X290" s="141">
        <f t="shared" si="33"/>
        <v>952567.55919618031</v>
      </c>
      <c r="Y290" s="141">
        <f t="shared" si="29"/>
        <v>646698.38607531693</v>
      </c>
      <c r="Z290" s="141">
        <f t="shared" si="34"/>
        <v>399605.82329316053</v>
      </c>
    </row>
    <row r="291" spans="1:26" ht="19.5" thickBot="1" x14ac:dyDescent="0.35">
      <c r="A291" s="142">
        <v>80</v>
      </c>
      <c r="B291" s="143" t="s">
        <v>339</v>
      </c>
      <c r="C291" s="142">
        <v>55</v>
      </c>
      <c r="D291" s="143" t="s">
        <v>357</v>
      </c>
      <c r="E291" s="142">
        <v>588461</v>
      </c>
      <c r="F291" s="143" t="s">
        <v>364</v>
      </c>
      <c r="G291" s="144">
        <v>2.8940228847615943</v>
      </c>
      <c r="H291" s="145">
        <v>62.708977823079742</v>
      </c>
      <c r="I291" s="146">
        <v>0.24998300618469282</v>
      </c>
      <c r="J291" s="147">
        <v>0.98031529621905356</v>
      </c>
      <c r="K291" s="148">
        <v>278</v>
      </c>
      <c r="M291" s="138">
        <f t="shared" si="28"/>
        <v>0.24998300618469282</v>
      </c>
      <c r="N291" s="149"/>
      <c r="U291" s="141">
        <f t="shared" si="30"/>
        <v>13647258.437892893</v>
      </c>
      <c r="V291" s="141">
        <f t="shared" si="31"/>
        <v>2585168.637012885</v>
      </c>
      <c r="W291" s="141">
        <f t="shared" si="32"/>
        <v>1825199.5321848022</v>
      </c>
      <c r="X291" s="141">
        <f t="shared" si="33"/>
        <v>1548215.9556406082</v>
      </c>
      <c r="Y291" s="141">
        <f t="shared" si="29"/>
        <v>1109914.3776649525</v>
      </c>
      <c r="Z291" s="141">
        <f t="shared" si="34"/>
        <v>755837.96300556161</v>
      </c>
    </row>
    <row r="292" spans="1:26" ht="19.5" thickBot="1" x14ac:dyDescent="0.35">
      <c r="A292" s="142">
        <v>80</v>
      </c>
      <c r="B292" s="143" t="s">
        <v>339</v>
      </c>
      <c r="C292" s="142">
        <v>55</v>
      </c>
      <c r="D292" s="143" t="s">
        <v>357</v>
      </c>
      <c r="E292" s="142">
        <v>588551</v>
      </c>
      <c r="F292" s="143" t="s">
        <v>365</v>
      </c>
      <c r="G292" s="144">
        <v>3.7017378756509185</v>
      </c>
      <c r="H292" s="145">
        <v>181.84529056683505</v>
      </c>
      <c r="I292" s="146">
        <v>0.63576197663271083</v>
      </c>
      <c r="J292" s="147">
        <v>0.94993745224442272</v>
      </c>
      <c r="K292" s="148">
        <v>211</v>
      </c>
      <c r="M292" s="138">
        <f t="shared" si="28"/>
        <v>0.63576197663271083</v>
      </c>
      <c r="N292" s="149"/>
      <c r="U292" s="141">
        <f t="shared" si="30"/>
        <v>16915247.19384066</v>
      </c>
      <c r="V292" s="141">
        <f t="shared" si="31"/>
        <v>2765754.1074573542</v>
      </c>
      <c r="W292" s="141">
        <f t="shared" si="32"/>
        <v>1793679.4101633197</v>
      </c>
      <c r="X292" s="141">
        <f t="shared" si="33"/>
        <v>1439390.3678666258</v>
      </c>
      <c r="Y292" s="141">
        <f t="shared" si="29"/>
        <v>878759.84877392498</v>
      </c>
      <c r="Z292" s="141">
        <f t="shared" si="34"/>
        <v>425861.53828688775</v>
      </c>
    </row>
    <row r="293" spans="1:26" ht="19.5" thickBot="1" x14ac:dyDescent="0.35">
      <c r="A293" s="142">
        <v>80</v>
      </c>
      <c r="B293" s="143" t="s">
        <v>339</v>
      </c>
      <c r="C293" s="142">
        <v>55</v>
      </c>
      <c r="D293" s="143" t="s">
        <v>357</v>
      </c>
      <c r="E293" s="142">
        <v>488556</v>
      </c>
      <c r="F293" s="143" t="s">
        <v>366</v>
      </c>
      <c r="G293" s="144">
        <v>3.4620816408930022</v>
      </c>
      <c r="H293" s="145">
        <v>179.3031863453925</v>
      </c>
      <c r="I293" s="146">
        <v>0.58511953758475999</v>
      </c>
      <c r="J293" s="147">
        <v>0.95392524896156061</v>
      </c>
      <c r="K293" s="148">
        <v>221</v>
      </c>
      <c r="M293" s="138">
        <f t="shared" si="28"/>
        <v>0.58511953758475999</v>
      </c>
      <c r="N293" s="149"/>
      <c r="U293" s="141">
        <f t="shared" si="30"/>
        <v>15886540.150427572</v>
      </c>
      <c r="V293" s="141">
        <f t="shared" si="31"/>
        <v>2653107.1284591458</v>
      </c>
      <c r="W293" s="141">
        <f t="shared" si="32"/>
        <v>1743966.0503684874</v>
      </c>
      <c r="X293" s="141">
        <f t="shared" si="33"/>
        <v>1412614.2285733628</v>
      </c>
      <c r="Y293" s="141">
        <f t="shared" si="29"/>
        <v>888279.7962943468</v>
      </c>
      <c r="Z293" s="141">
        <f t="shared" si="34"/>
        <v>464702.82282943989</v>
      </c>
    </row>
    <row r="294" spans="1:26" ht="19.5" thickBot="1" x14ac:dyDescent="0.35">
      <c r="A294" s="150">
        <v>80</v>
      </c>
      <c r="B294" s="151" t="s">
        <v>339</v>
      </c>
      <c r="C294" s="150">
        <v>55</v>
      </c>
      <c r="D294" s="151" t="s">
        <v>357</v>
      </c>
      <c r="E294" s="150">
        <v>488586</v>
      </c>
      <c r="F294" s="151" t="s">
        <v>357</v>
      </c>
      <c r="G294" s="144">
        <v>10.277247068561795</v>
      </c>
      <c r="H294" s="145">
        <v>410.76909757417837</v>
      </c>
      <c r="I294" s="146">
        <v>2.416605151750582</v>
      </c>
      <c r="J294" s="147">
        <v>0.80970643847456736</v>
      </c>
      <c r="K294" s="148">
        <v>13</v>
      </c>
      <c r="M294" s="138">
        <f t="shared" si="28"/>
        <v>2.416605151750582</v>
      </c>
      <c r="N294" s="149"/>
      <c r="U294" s="141">
        <f t="shared" si="30"/>
        <v>40029675.135348193</v>
      </c>
      <c r="V294" s="141">
        <f t="shared" si="31"/>
        <v>746008.59045601124</v>
      </c>
      <c r="W294" s="141">
        <f t="shared" si="32"/>
        <v>-1952791.8564642114</v>
      </c>
      <c r="X294" s="141">
        <f t="shared" si="33"/>
        <v>-2936415.2635448654</v>
      </c>
      <c r="Y294" s="141">
        <f t="shared" si="29"/>
        <v>-4492910.7671273788</v>
      </c>
      <c r="Z294" s="141">
        <f t="shared" si="34"/>
        <v>-5750306.0744574619</v>
      </c>
    </row>
    <row r="295" spans="1:26" ht="19.5" thickBot="1" x14ac:dyDescent="0.35">
      <c r="A295" s="150">
        <v>80</v>
      </c>
      <c r="B295" s="151" t="s">
        <v>339</v>
      </c>
      <c r="C295" s="150">
        <v>55</v>
      </c>
      <c r="D295" s="151" t="s">
        <v>357</v>
      </c>
      <c r="E295" s="150">
        <v>588587</v>
      </c>
      <c r="F295" s="151" t="s">
        <v>367</v>
      </c>
      <c r="G295" s="144">
        <v>3.9912457912457913</v>
      </c>
      <c r="H295" s="145">
        <v>51.191691849232335</v>
      </c>
      <c r="I295" s="146">
        <v>0.33397340921565721</v>
      </c>
      <c r="J295" s="147">
        <v>0.97370154183094393</v>
      </c>
      <c r="K295" s="148">
        <v>266</v>
      </c>
      <c r="M295" s="138">
        <f t="shared" si="28"/>
        <v>0.33397340921565721</v>
      </c>
      <c r="N295" s="149"/>
      <c r="U295" s="141">
        <f t="shared" si="30"/>
        <v>18694420.490296353</v>
      </c>
      <c r="V295" s="141">
        <f t="shared" si="31"/>
        <v>3438314.6755759269</v>
      </c>
      <c r="W295" s="141">
        <f t="shared" si="32"/>
        <v>2390215.3301653299</v>
      </c>
      <c r="X295" s="141">
        <f t="shared" si="33"/>
        <v>2008217.8207650918</v>
      </c>
      <c r="Y295" s="141">
        <f t="shared" si="29"/>
        <v>1403741.146581558</v>
      </c>
      <c r="Z295" s="141">
        <f t="shared" si="34"/>
        <v>915422.27141650836</v>
      </c>
    </row>
    <row r="296" spans="1:26" ht="19.5" thickBot="1" x14ac:dyDescent="0.35">
      <c r="A296" s="150">
        <v>80</v>
      </c>
      <c r="B296" s="151" t="s">
        <v>339</v>
      </c>
      <c r="C296" s="150">
        <v>55</v>
      </c>
      <c r="D296" s="151" t="s">
        <v>357</v>
      </c>
      <c r="E296" s="150">
        <v>488616</v>
      </c>
      <c r="F296" s="151" t="s">
        <v>368</v>
      </c>
      <c r="G296" s="144">
        <v>1.8887926887926878</v>
      </c>
      <c r="H296" s="145">
        <v>188.5612540292351</v>
      </c>
      <c r="I296" s="146">
        <v>1.6623042923820932</v>
      </c>
      <c r="J296" s="147">
        <v>0.86910323190064509</v>
      </c>
      <c r="K296" s="148">
        <v>50</v>
      </c>
      <c r="M296" s="138">
        <f t="shared" si="28"/>
        <v>1.6623042923820932</v>
      </c>
      <c r="N296" s="149"/>
      <c r="U296" s="141">
        <f t="shared" si="30"/>
        <v>7896476.2518637842</v>
      </c>
      <c r="V296" s="141">
        <f t="shared" si="31"/>
        <v>676770.2679591201</v>
      </c>
      <c r="W296" s="141">
        <f t="shared" si="32"/>
        <v>180774.15940524655</v>
      </c>
      <c r="X296" s="141">
        <f t="shared" si="33"/>
        <v>0</v>
      </c>
      <c r="Y296" s="141">
        <f t="shared" si="29"/>
        <v>-286058.83537611167</v>
      </c>
      <c r="Z296" s="141">
        <f t="shared" si="34"/>
        <v>-517147.86608281895</v>
      </c>
    </row>
    <row r="297" spans="1:26" ht="18.75" x14ac:dyDescent="0.3">
      <c r="A297" s="150">
        <v>80</v>
      </c>
      <c r="B297" s="151" t="s">
        <v>339</v>
      </c>
      <c r="C297" s="150">
        <v>55</v>
      </c>
      <c r="D297" s="151" t="s">
        <v>357</v>
      </c>
      <c r="E297" s="150">
        <v>588666</v>
      </c>
      <c r="F297" s="151" t="s">
        <v>369</v>
      </c>
      <c r="G297" s="152">
        <v>3.20739114918638</v>
      </c>
      <c r="H297" s="153">
        <v>210.37545071519128</v>
      </c>
      <c r="I297" s="154">
        <v>1.3559628461914406</v>
      </c>
      <c r="J297" s="155">
        <v>0.89322583413719259</v>
      </c>
      <c r="K297" s="156">
        <v>86</v>
      </c>
      <c r="M297" s="138">
        <f t="shared" si="28"/>
        <v>1.3559628461914406</v>
      </c>
      <c r="N297" s="149"/>
      <c r="U297" s="141">
        <f t="shared" si="30"/>
        <v>13781321.916874638</v>
      </c>
      <c r="V297" s="141">
        <f t="shared" si="31"/>
        <v>1521415.7821758119</v>
      </c>
      <c r="W297" s="141">
        <f t="shared" si="32"/>
        <v>679156.31238537608</v>
      </c>
      <c r="X297" s="141">
        <f t="shared" si="33"/>
        <v>372180.62240183895</v>
      </c>
      <c r="Y297" s="141">
        <f t="shared" si="29"/>
        <v>-113580.77543498234</v>
      </c>
      <c r="Z297" s="141">
        <f t="shared" si="34"/>
        <v>-505997.00838668947</v>
      </c>
    </row>
  </sheetData>
  <mergeCells count="3">
    <mergeCell ref="A1:K1"/>
    <mergeCell ref="M1:S1"/>
    <mergeCell ref="U1:Z1"/>
  </mergeCells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79998168889431442"/>
  </sheetPr>
  <dimension ref="A1:AA297"/>
  <sheetViews>
    <sheetView workbookViewId="0">
      <selection sqref="A1:XFD1048576"/>
    </sheetView>
  </sheetViews>
  <sheetFormatPr baseColWidth="10" defaultRowHeight="15" x14ac:dyDescent="0.25"/>
  <cols>
    <col min="1" max="1" width="5.5703125" bestFit="1" customWidth="1"/>
    <col min="2" max="2" width="35.28515625" bestFit="1" customWidth="1"/>
    <col min="3" max="3" width="7" bestFit="1" customWidth="1"/>
    <col min="4" max="4" width="31.28515625" bestFit="1" customWidth="1"/>
    <col min="5" max="5" width="9.85546875" bestFit="1" customWidth="1"/>
    <col min="6" max="6" width="40.85546875" bestFit="1" customWidth="1"/>
    <col min="7" max="8" width="8.42578125" bestFit="1" customWidth="1"/>
    <col min="9" max="9" width="9.5703125" bestFit="1" customWidth="1"/>
    <col min="10" max="10" width="9.85546875" bestFit="1" customWidth="1"/>
    <col min="11" max="11" width="5.28515625" bestFit="1" customWidth="1"/>
  </cols>
  <sheetData>
    <row r="1" spans="1:27" x14ac:dyDescent="0.25">
      <c r="A1" s="313" t="s">
        <v>445</v>
      </c>
      <c r="B1" s="313"/>
      <c r="C1" s="313"/>
      <c r="D1" s="313"/>
      <c r="E1" s="313"/>
      <c r="F1" s="313"/>
      <c r="G1" s="313"/>
      <c r="H1" s="313"/>
      <c r="I1" s="313"/>
      <c r="J1" s="313"/>
      <c r="K1" s="313"/>
      <c r="M1" s="314" t="s">
        <v>446</v>
      </c>
      <c r="N1" s="314"/>
      <c r="O1" s="314"/>
      <c r="P1" s="314"/>
      <c r="Q1" s="314"/>
      <c r="R1" s="314"/>
      <c r="S1" s="314"/>
      <c r="T1" s="314"/>
      <c r="V1" s="315" t="s">
        <v>547</v>
      </c>
      <c r="W1" s="315"/>
      <c r="X1" s="315"/>
      <c r="Y1" s="315"/>
      <c r="Z1" s="315"/>
      <c r="AA1" s="315"/>
    </row>
    <row r="2" spans="1:27" x14ac:dyDescent="0.25">
      <c r="M2" t="s">
        <v>548</v>
      </c>
      <c r="N2" t="s">
        <v>549</v>
      </c>
      <c r="O2" t="s">
        <v>550</v>
      </c>
      <c r="Q2" t="s">
        <v>448</v>
      </c>
      <c r="T2">
        <f>'[1]CA UC'!O2</f>
        <v>44</v>
      </c>
    </row>
    <row r="3" spans="1:27" ht="15.75" thickBot="1" x14ac:dyDescent="0.3">
      <c r="M3" s="104">
        <f>SUM(H5:H297)</f>
        <v>2396.1293754098124</v>
      </c>
      <c r="N3" s="104">
        <f>SUM(I5:I297)</f>
        <v>1589.0334916974027</v>
      </c>
      <c r="O3" s="157">
        <f>N3/M3</f>
        <v>0.66316681728657856</v>
      </c>
      <c r="Q3" s="104" t="s">
        <v>449</v>
      </c>
      <c r="R3" s="104"/>
      <c r="S3" s="104"/>
      <c r="T3">
        <f>'[1]CA UC'!O3</f>
        <v>6</v>
      </c>
    </row>
    <row r="4" spans="1:27" ht="30.75" thickBot="1" x14ac:dyDescent="0.3">
      <c r="A4" s="128"/>
      <c r="B4" s="129" t="s">
        <v>450</v>
      </c>
      <c r="C4" s="128" t="s">
        <v>451</v>
      </c>
      <c r="D4" s="129" t="s">
        <v>452</v>
      </c>
      <c r="E4" s="128" t="s">
        <v>451</v>
      </c>
      <c r="F4" s="129" t="s">
        <v>453</v>
      </c>
      <c r="G4" s="129" t="s">
        <v>454</v>
      </c>
      <c r="H4" s="130" t="s">
        <v>551</v>
      </c>
      <c r="I4" s="131" t="s">
        <v>456</v>
      </c>
      <c r="J4" s="131" t="s">
        <v>457</v>
      </c>
      <c r="K4" s="132" t="s">
        <v>458</v>
      </c>
      <c r="M4" s="133" t="s">
        <v>552</v>
      </c>
      <c r="N4" s="133" t="s">
        <v>456</v>
      </c>
      <c r="O4" s="133" t="s">
        <v>459</v>
      </c>
      <c r="P4" s="133" t="s">
        <v>460</v>
      </c>
      <c r="Q4" s="133" t="s">
        <v>461</v>
      </c>
      <c r="R4" s="133" t="s">
        <v>462</v>
      </c>
      <c r="S4" s="133" t="s">
        <v>463</v>
      </c>
      <c r="T4" s="133" t="s">
        <v>464</v>
      </c>
      <c r="V4" s="133" t="s">
        <v>465</v>
      </c>
      <c r="W4" s="133" t="s">
        <v>466</v>
      </c>
      <c r="X4" s="133" t="s">
        <v>467</v>
      </c>
      <c r="Y4" s="133" t="s">
        <v>468</v>
      </c>
      <c r="Z4" s="133" t="s">
        <v>469</v>
      </c>
      <c r="AA4" s="133" t="s">
        <v>470</v>
      </c>
    </row>
    <row r="5" spans="1:27" ht="19.5" thickBot="1" x14ac:dyDescent="0.35">
      <c r="A5" s="134">
        <v>50</v>
      </c>
      <c r="B5" s="135" t="s">
        <v>4</v>
      </c>
      <c r="C5" s="134">
        <v>21</v>
      </c>
      <c r="D5" s="135" t="s">
        <v>0</v>
      </c>
      <c r="E5" s="134">
        <v>410560</v>
      </c>
      <c r="F5" s="135" t="s">
        <v>5</v>
      </c>
      <c r="G5" s="136">
        <v>1.8999518999518987</v>
      </c>
      <c r="H5" s="137">
        <v>12.105569620253172</v>
      </c>
      <c r="I5" s="138">
        <v>7.6396670886076006</v>
      </c>
      <c r="J5" s="139">
        <v>0.79441252526531869</v>
      </c>
      <c r="K5" s="140">
        <v>66</v>
      </c>
      <c r="M5" s="149">
        <f>IF(ISERROR(I5/H5),$O$3,(I5/H5))</f>
        <v>0.63108695652173918</v>
      </c>
      <c r="N5" s="138">
        <f>I5</f>
        <v>7.6396670886076006</v>
      </c>
      <c r="O5" s="138">
        <f>VLOOKUP(1,$K$5:$N$297,4,0)</f>
        <v>37.160177673600458</v>
      </c>
      <c r="P5" s="138">
        <f>VLOOKUP(10,$K$5:$N$297,4,0)</f>
        <v>14.481225127913598</v>
      </c>
      <c r="Q5" s="138">
        <f>VLOOKUP(30,$K$5:$N$297,4,0)</f>
        <v>9.8154314361494226</v>
      </c>
      <c r="R5" s="138">
        <f>VLOOKUP(50,$K$5:$N$297,4,0)</f>
        <v>8.5001222320430987</v>
      </c>
      <c r="S5" s="138">
        <f>VLOOKUP(100,$K$5:$N$297,4,0)</f>
        <v>6.185480217978653</v>
      </c>
      <c r="T5" s="138">
        <f>VLOOKUP(150,$K$5:$N$297,4,0)</f>
        <v>4.6100940655692346</v>
      </c>
      <c r="V5" s="158">
        <f>(((($O$5-N5))/M5)*G5)+((((($O$5-N5)/$T$2))*$T$3/M5)*G5)</f>
        <v>100.99377242904427</v>
      </c>
      <c r="W5" s="158">
        <f>(((($P$5-N5))/M5)*G5)+((((($P$5-N5)/$T$2))*$T$3/M5)*G5)</f>
        <v>23.405921577556455</v>
      </c>
      <c r="X5" s="158">
        <f>(((($Q$5-N5))/M5)*G5)+((((($Q$5-N5)/$T$2))*$T$3/M5)*G5)</f>
        <v>7.4435924386271903</v>
      </c>
      <c r="Y5" s="158">
        <f>(((($R$5-N5))/M5)*G5)+((((($R$5-N5)/$T$2))*$T$3/M5)*G5)</f>
        <v>2.9437367179449261</v>
      </c>
      <c r="Z5" s="158">
        <f>(((($S$5-N5))/M5)*G5)+((((($S$5-N5)/$T$2))*$T$3/M5)*G5)</f>
        <v>-4.9749755329863472</v>
      </c>
      <c r="AA5" s="158">
        <f>(((($T$5-N5))/M5)*G5)+((((($T$5-N5)/$T$2))*$T$3/M5)*G5)</f>
        <v>-10.36459066536103</v>
      </c>
    </row>
    <row r="6" spans="1:27" ht="19.5" thickBot="1" x14ac:dyDescent="0.35">
      <c r="A6" s="142">
        <v>50</v>
      </c>
      <c r="B6" s="143" t="s">
        <v>4</v>
      </c>
      <c r="C6" s="142">
        <v>21</v>
      </c>
      <c r="D6" s="143" t="s">
        <v>0</v>
      </c>
      <c r="E6" s="142">
        <v>410566</v>
      </c>
      <c r="F6" s="143" t="s">
        <v>56</v>
      </c>
      <c r="G6" s="144">
        <v>9.1914924979441111</v>
      </c>
      <c r="H6" s="145">
        <v>6.0925905137305705</v>
      </c>
      <c r="I6" s="146">
        <v>3.9808551231678857</v>
      </c>
      <c r="J6" s="147">
        <v>0.89287308693370471</v>
      </c>
      <c r="K6" s="148">
        <v>187</v>
      </c>
      <c r="M6" s="149">
        <f t="shared" ref="M6:M69" si="0">IF(ISERROR(I6/H6),$O$3,(I6/H6))</f>
        <v>0.65339285714285722</v>
      </c>
      <c r="N6" s="138">
        <f t="shared" ref="N6:N69" si="1">I6</f>
        <v>3.9808551231678857</v>
      </c>
      <c r="O6" s="149"/>
      <c r="V6" s="158">
        <f t="shared" ref="V6:V69" si="2">(((($O$5-N6))/M6)*G6)+((((($O$5-N6)/$T$2))*$T$3/M6)*G6)</f>
        <v>530.39142839926001</v>
      </c>
      <c r="W6" s="158">
        <f t="shared" ref="W6:W69" si="3">(((($P$5-N6))/M6)*G6)+((((($P$5-N6)/$T$2))*$T$3/M6)*G6)</f>
        <v>167.85473051996399</v>
      </c>
      <c r="X6" s="158">
        <f t="shared" ref="X6:X69" si="4">(((($Q$5-N6))/M6)*G6)+((((($Q$5-N6)/$T$2))*$T$3/M6)*G6)</f>
        <v>93.269211872634202</v>
      </c>
      <c r="Y6" s="158">
        <f t="shared" ref="Y6:Y69" si="5">(((($R$5-N6))/M6)*G6)+((((($R$5-N6)/$T$2))*$T$3/M6)*G6)</f>
        <v>72.243203083809433</v>
      </c>
      <c r="Z6" s="158">
        <f t="shared" ref="Z6:Z69" si="6">(((($S$5-N6))/M6)*G6)+((((($S$5-N6)/$T$2))*$T$3/M6)*G6)</f>
        <v>35.242258227068355</v>
      </c>
      <c r="AA6" s="158">
        <f t="shared" ref="AA6:AA69" si="7">(((($T$5-N6))/M6)*G6)+((((($T$5-N6)/$T$2))*$T$3/M6)*G6)</f>
        <v>10.058762982800564</v>
      </c>
    </row>
    <row r="7" spans="1:27" ht="19.5" thickBot="1" x14ac:dyDescent="0.35">
      <c r="A7" s="142">
        <v>50</v>
      </c>
      <c r="B7" s="143" t="s">
        <v>4</v>
      </c>
      <c r="C7" s="142">
        <v>21</v>
      </c>
      <c r="D7" s="143" t="s">
        <v>0</v>
      </c>
      <c r="E7" s="142">
        <v>510590</v>
      </c>
      <c r="F7" s="143" t="s">
        <v>57</v>
      </c>
      <c r="G7" s="144">
        <v>2.4137029144041779</v>
      </c>
      <c r="H7" s="145">
        <v>-1.2429035827470711</v>
      </c>
      <c r="I7" s="146">
        <v>-1.1683293677822468</v>
      </c>
      <c r="J7" s="147">
        <v>1.0314403601092645</v>
      </c>
      <c r="K7" s="148">
        <v>290</v>
      </c>
      <c r="M7" s="149">
        <f t="shared" si="0"/>
        <v>0.94</v>
      </c>
      <c r="N7" s="138">
        <f t="shared" si="1"/>
        <v>-1.1683293677822468</v>
      </c>
      <c r="O7" s="149"/>
      <c r="V7" s="158">
        <f t="shared" si="2"/>
        <v>111.83949365394886</v>
      </c>
      <c r="W7" s="158">
        <f t="shared" si="3"/>
        <v>45.664138413186748</v>
      </c>
      <c r="X7" s="158">
        <f t="shared" si="4"/>
        <v>32.049728558472253</v>
      </c>
      <c r="Y7" s="158">
        <f t="shared" si="5"/>
        <v>28.211762335921392</v>
      </c>
      <c r="Z7" s="158">
        <f t="shared" si="6"/>
        <v>21.45782353617561</v>
      </c>
      <c r="AA7" s="158">
        <f t="shared" si="7"/>
        <v>16.860973744852352</v>
      </c>
    </row>
    <row r="8" spans="1:27" ht="19.5" thickBot="1" x14ac:dyDescent="0.35">
      <c r="A8" s="142">
        <v>50</v>
      </c>
      <c r="B8" s="143" t="s">
        <v>4</v>
      </c>
      <c r="C8" s="142">
        <v>21</v>
      </c>
      <c r="D8" s="143" t="s">
        <v>0</v>
      </c>
      <c r="E8" s="142">
        <v>451154</v>
      </c>
      <c r="F8" s="143" t="s">
        <v>58</v>
      </c>
      <c r="G8" s="144">
        <v>2.8152337732047874</v>
      </c>
      <c r="H8" s="145">
        <v>0.35521028822470629</v>
      </c>
      <c r="I8" s="146">
        <v>4.6177337469211821E-2</v>
      </c>
      <c r="J8" s="147">
        <v>0.99875734346926937</v>
      </c>
      <c r="K8" s="148">
        <v>283</v>
      </c>
      <c r="M8" s="149">
        <f t="shared" si="0"/>
        <v>0.13</v>
      </c>
      <c r="N8" s="138">
        <f t="shared" si="1"/>
        <v>4.6177337469211821E-2</v>
      </c>
      <c r="O8" s="149"/>
      <c r="V8" s="158">
        <f t="shared" si="2"/>
        <v>913.32681123260954</v>
      </c>
      <c r="W8" s="158">
        <f t="shared" si="3"/>
        <v>355.22757043255399</v>
      </c>
      <c r="X8" s="158">
        <f t="shared" si="4"/>
        <v>240.40851466454393</v>
      </c>
      <c r="Y8" s="158">
        <f t="shared" si="5"/>
        <v>208.0404823777674</v>
      </c>
      <c r="Z8" s="158">
        <f t="shared" si="6"/>
        <v>151.08018193307353</v>
      </c>
      <c r="AA8" s="158">
        <f t="shared" si="7"/>
        <v>112.31199747413878</v>
      </c>
    </row>
    <row r="9" spans="1:27" ht="19.5" thickBot="1" x14ac:dyDescent="0.35">
      <c r="A9" s="142">
        <v>50</v>
      </c>
      <c r="B9" s="143" t="s">
        <v>4</v>
      </c>
      <c r="C9" s="142">
        <v>21</v>
      </c>
      <c r="D9" s="143" t="s">
        <v>0</v>
      </c>
      <c r="E9" s="142">
        <v>410541</v>
      </c>
      <c r="F9" s="143" t="s">
        <v>59</v>
      </c>
      <c r="G9" s="144">
        <v>6.6773487932149918</v>
      </c>
      <c r="H9" s="145">
        <v>10.333442528883992</v>
      </c>
      <c r="I9" s="146">
        <v>6.1446543037697134</v>
      </c>
      <c r="J9" s="147">
        <v>0.83464410860083071</v>
      </c>
      <c r="K9" s="148">
        <v>102</v>
      </c>
      <c r="M9" s="149">
        <f t="shared" si="0"/>
        <v>0.59463768115942028</v>
      </c>
      <c r="N9" s="138">
        <f t="shared" si="1"/>
        <v>6.1446543037697134</v>
      </c>
      <c r="O9" s="149"/>
      <c r="V9" s="158">
        <f t="shared" si="2"/>
        <v>395.77474521327184</v>
      </c>
      <c r="W9" s="158">
        <f t="shared" si="3"/>
        <v>106.37912359355252</v>
      </c>
      <c r="X9" s="158">
        <f t="shared" si="4"/>
        <v>46.841088798631873</v>
      </c>
      <c r="Y9" s="158">
        <f t="shared" si="5"/>
        <v>30.057036537943148</v>
      </c>
      <c r="Z9" s="158">
        <f t="shared" si="6"/>
        <v>0.52096060419405776</v>
      </c>
      <c r="AA9" s="158">
        <f t="shared" si="7"/>
        <v>-19.581813276089385</v>
      </c>
    </row>
    <row r="10" spans="1:27" ht="19.5" thickBot="1" x14ac:dyDescent="0.35">
      <c r="A10" s="142">
        <v>50</v>
      </c>
      <c r="B10" s="143" t="s">
        <v>4</v>
      </c>
      <c r="C10" s="142">
        <v>21</v>
      </c>
      <c r="D10" s="143" t="s">
        <v>0</v>
      </c>
      <c r="E10" s="142">
        <v>410582</v>
      </c>
      <c r="F10" s="143" t="s">
        <v>471</v>
      </c>
      <c r="G10" s="144">
        <v>2.0789473684210522</v>
      </c>
      <c r="H10" s="145">
        <v>9.1392405063291164</v>
      </c>
      <c r="I10" s="146">
        <v>6.3589873417721536</v>
      </c>
      <c r="J10" s="147">
        <v>0.82887629339055235</v>
      </c>
      <c r="K10" s="148">
        <v>94</v>
      </c>
      <c r="M10" s="149">
        <f t="shared" si="0"/>
        <v>0.69578947368421051</v>
      </c>
      <c r="N10" s="138">
        <f t="shared" si="1"/>
        <v>6.3589873417721536</v>
      </c>
      <c r="O10" s="149"/>
      <c r="V10" s="158">
        <f t="shared" si="2"/>
        <v>104.58044097332019</v>
      </c>
      <c r="W10" s="158">
        <f t="shared" si="3"/>
        <v>27.577739698166258</v>
      </c>
      <c r="X10" s="158">
        <f t="shared" si="4"/>
        <v>11.735794743493166</v>
      </c>
      <c r="Y10" s="158">
        <f t="shared" si="5"/>
        <v>7.2698758910141574</v>
      </c>
      <c r="Z10" s="158">
        <f t="shared" si="6"/>
        <v>-0.58911526869097042</v>
      </c>
      <c r="AA10" s="158">
        <f t="shared" si="7"/>
        <v>-5.9380831737394519</v>
      </c>
    </row>
    <row r="11" spans="1:27" ht="19.5" thickBot="1" x14ac:dyDescent="0.35">
      <c r="A11" s="142">
        <v>50</v>
      </c>
      <c r="B11" s="143" t="s">
        <v>4</v>
      </c>
      <c r="C11" s="142">
        <v>21</v>
      </c>
      <c r="D11" s="143" t="s">
        <v>0</v>
      </c>
      <c r="E11" s="142">
        <v>451156</v>
      </c>
      <c r="F11" s="143" t="s">
        <v>61</v>
      </c>
      <c r="G11" s="144">
        <v>5.4163613696573032</v>
      </c>
      <c r="H11" s="145">
        <v>8.6774121577810686</v>
      </c>
      <c r="I11" s="146">
        <v>5.0781323702078351</v>
      </c>
      <c r="J11" s="147">
        <v>0.86334477690575018</v>
      </c>
      <c r="K11" s="148">
        <v>135</v>
      </c>
      <c r="M11" s="149">
        <f t="shared" si="0"/>
        <v>0.58521276595744676</v>
      </c>
      <c r="N11" s="138">
        <f t="shared" si="1"/>
        <v>5.0781323702078351</v>
      </c>
      <c r="O11" s="149"/>
      <c r="V11" s="158">
        <f t="shared" si="2"/>
        <v>337.42186088157086</v>
      </c>
      <c r="W11" s="158">
        <f t="shared" si="3"/>
        <v>98.896720154297057</v>
      </c>
      <c r="X11" s="158">
        <f t="shared" si="4"/>
        <v>49.824387792803925</v>
      </c>
      <c r="Y11" s="158">
        <f t="shared" si="5"/>
        <v>35.990666311297218</v>
      </c>
      <c r="Z11" s="158">
        <f t="shared" si="6"/>
        <v>11.646494726398245</v>
      </c>
      <c r="AA11" s="158">
        <f t="shared" si="7"/>
        <v>-4.9225775420967839</v>
      </c>
    </row>
    <row r="12" spans="1:27" ht="19.5" thickBot="1" x14ac:dyDescent="0.35">
      <c r="A12" s="142">
        <v>50</v>
      </c>
      <c r="B12" s="143" t="s">
        <v>4</v>
      </c>
      <c r="C12" s="142">
        <v>21</v>
      </c>
      <c r="D12" s="143" t="s">
        <v>0</v>
      </c>
      <c r="E12" s="142">
        <v>551157</v>
      </c>
      <c r="F12" s="143" t="s">
        <v>62</v>
      </c>
      <c r="G12" s="144">
        <v>2.5347178251492424</v>
      </c>
      <c r="H12" s="145">
        <v>9.4685095760459639</v>
      </c>
      <c r="I12" s="146">
        <v>5.0912965032863813</v>
      </c>
      <c r="J12" s="147">
        <v>0.86299052313457136</v>
      </c>
      <c r="K12" s="148">
        <v>133</v>
      </c>
      <c r="M12" s="149">
        <f t="shared" si="0"/>
        <v>0.53770833333333323</v>
      </c>
      <c r="N12" s="138">
        <f t="shared" si="1"/>
        <v>5.0912965032863813</v>
      </c>
      <c r="O12" s="149"/>
      <c r="V12" s="158">
        <f t="shared" si="2"/>
        <v>171.78450509313799</v>
      </c>
      <c r="W12" s="158">
        <f t="shared" si="3"/>
        <v>50.299361336455327</v>
      </c>
      <c r="X12" s="158">
        <f t="shared" si="4"/>
        <v>25.305939958588649</v>
      </c>
      <c r="Y12" s="158">
        <f t="shared" si="5"/>
        <v>18.260176825417229</v>
      </c>
      <c r="Z12" s="158">
        <f t="shared" si="6"/>
        <v>5.8612524369381447</v>
      </c>
      <c r="AA12" s="158">
        <f t="shared" si="7"/>
        <v>-2.5776740440003945</v>
      </c>
    </row>
    <row r="13" spans="1:27" ht="19.5" thickBot="1" x14ac:dyDescent="0.35">
      <c r="A13" s="142">
        <v>50</v>
      </c>
      <c r="B13" s="143" t="s">
        <v>4</v>
      </c>
      <c r="C13" s="142">
        <v>21</v>
      </c>
      <c r="D13" s="143" t="s">
        <v>0</v>
      </c>
      <c r="E13" s="142">
        <v>451151</v>
      </c>
      <c r="F13" s="143" t="s">
        <v>63</v>
      </c>
      <c r="G13" s="144">
        <v>2.8184251680890458</v>
      </c>
      <c r="H13" s="145">
        <v>9.225009872314109</v>
      </c>
      <c r="I13" s="146">
        <v>6.4291222648589104</v>
      </c>
      <c r="J13" s="147">
        <v>0.82698892558238968</v>
      </c>
      <c r="K13" s="148">
        <v>93</v>
      </c>
      <c r="M13" s="149">
        <f t="shared" si="0"/>
        <v>0.69692307692307698</v>
      </c>
      <c r="N13" s="138">
        <f t="shared" si="1"/>
        <v>6.4291222648589104</v>
      </c>
      <c r="O13" s="149"/>
      <c r="V13" s="158">
        <f t="shared" si="2"/>
        <v>141.22658790853529</v>
      </c>
      <c r="W13" s="158">
        <f t="shared" si="3"/>
        <v>37.003968712193654</v>
      </c>
      <c r="X13" s="158">
        <f t="shared" si="4"/>
        <v>15.562006690102248</v>
      </c>
      <c r="Y13" s="158">
        <f t="shared" si="5"/>
        <v>9.5174166664290514</v>
      </c>
      <c r="Z13" s="158">
        <f t="shared" si="6"/>
        <v>-1.1196730634302416</v>
      </c>
      <c r="AA13" s="158">
        <f t="shared" si="7"/>
        <v>-8.3594638217994088</v>
      </c>
    </row>
    <row r="14" spans="1:27" ht="19.5" thickBot="1" x14ac:dyDescent="0.35">
      <c r="A14" s="142">
        <v>50</v>
      </c>
      <c r="B14" s="143" t="s">
        <v>4</v>
      </c>
      <c r="C14" s="142">
        <v>14</v>
      </c>
      <c r="D14" s="143" t="s">
        <v>64</v>
      </c>
      <c r="E14" s="142">
        <v>510530</v>
      </c>
      <c r="F14" s="143" t="s">
        <v>65</v>
      </c>
      <c r="G14" s="144">
        <v>3.6851069298474619</v>
      </c>
      <c r="H14" s="145">
        <v>6.7840636583739045</v>
      </c>
      <c r="I14" s="146">
        <v>4.6945720515947418</v>
      </c>
      <c r="J14" s="147">
        <v>0.87366658758120297</v>
      </c>
      <c r="K14" s="148">
        <v>147</v>
      </c>
      <c r="M14" s="149">
        <f t="shared" si="0"/>
        <v>0.69199999999999995</v>
      </c>
      <c r="N14" s="138">
        <f t="shared" si="1"/>
        <v>4.6945720515947418</v>
      </c>
      <c r="O14" s="149"/>
      <c r="V14" s="158">
        <f t="shared" si="2"/>
        <v>196.46483883891881</v>
      </c>
      <c r="W14" s="158">
        <f t="shared" si="3"/>
        <v>59.223697897325941</v>
      </c>
      <c r="X14" s="158">
        <f t="shared" si="4"/>
        <v>30.988758547025853</v>
      </c>
      <c r="Y14" s="158">
        <f t="shared" si="5"/>
        <v>23.029196239248062</v>
      </c>
      <c r="Z14" s="158">
        <f t="shared" si="6"/>
        <v>9.0221952438707369</v>
      </c>
      <c r="AA14" s="158">
        <f t="shared" si="7"/>
        <v>-0.51121651951220692</v>
      </c>
    </row>
    <row r="15" spans="1:27" ht="19.5" thickBot="1" x14ac:dyDescent="0.35">
      <c r="A15" s="142">
        <v>50</v>
      </c>
      <c r="B15" s="143" t="s">
        <v>4</v>
      </c>
      <c r="C15" s="142">
        <v>14</v>
      </c>
      <c r="D15" s="143" t="s">
        <v>64</v>
      </c>
      <c r="E15" s="142">
        <v>410550</v>
      </c>
      <c r="F15" s="143" t="s">
        <v>66</v>
      </c>
      <c r="G15" s="144">
        <v>2.9880840429759532</v>
      </c>
      <c r="H15" s="145">
        <v>2.6773008673586296</v>
      </c>
      <c r="I15" s="146">
        <v>1.8573774767300493</v>
      </c>
      <c r="J15" s="147">
        <v>0.95001699149437657</v>
      </c>
      <c r="K15" s="148">
        <v>244</v>
      </c>
      <c r="M15" s="149">
        <f t="shared" si="0"/>
        <v>0.69374999999999998</v>
      </c>
      <c r="N15" s="138">
        <f t="shared" si="1"/>
        <v>1.8573774767300493</v>
      </c>
      <c r="O15" s="149"/>
      <c r="V15" s="158">
        <f t="shared" si="2"/>
        <v>172.78908098384406</v>
      </c>
      <c r="W15" s="158">
        <f t="shared" si="3"/>
        <v>61.787252624833798</v>
      </c>
      <c r="X15" s="158">
        <f t="shared" si="4"/>
        <v>38.950588123313075</v>
      </c>
      <c r="Y15" s="158">
        <f t="shared" si="5"/>
        <v>32.512824905672609</v>
      </c>
      <c r="Z15" s="158">
        <f t="shared" si="6"/>
        <v>21.183840683841822</v>
      </c>
      <c r="AA15" s="158">
        <f t="shared" si="7"/>
        <v>13.473134338977179</v>
      </c>
    </row>
    <row r="16" spans="1:27" ht="19.5" thickBot="1" x14ac:dyDescent="0.35">
      <c r="A16" s="142">
        <v>50</v>
      </c>
      <c r="B16" s="143" t="s">
        <v>4</v>
      </c>
      <c r="C16" s="142">
        <v>14</v>
      </c>
      <c r="D16" s="143" t="s">
        <v>64</v>
      </c>
      <c r="E16" s="142">
        <v>510556</v>
      </c>
      <c r="F16" s="143" t="s">
        <v>67</v>
      </c>
      <c r="G16" s="144">
        <v>3.73188092915326</v>
      </c>
      <c r="H16" s="145">
        <v>4.5553436250328572</v>
      </c>
      <c r="I16" s="146">
        <v>2.8926432018958645</v>
      </c>
      <c r="J16" s="147">
        <v>0.92215744425918411</v>
      </c>
      <c r="K16" s="148">
        <v>218</v>
      </c>
      <c r="M16" s="149">
        <f t="shared" si="0"/>
        <v>0.63500000000000001</v>
      </c>
      <c r="N16" s="138">
        <f t="shared" si="1"/>
        <v>2.8926432018958645</v>
      </c>
      <c r="O16" s="149"/>
      <c r="V16" s="158">
        <f t="shared" si="2"/>
        <v>228.8517508662425</v>
      </c>
      <c r="W16" s="158">
        <f t="shared" si="3"/>
        <v>77.392999079519925</v>
      </c>
      <c r="X16" s="158">
        <f t="shared" si="4"/>
        <v>46.233037559014711</v>
      </c>
      <c r="Y16" s="158">
        <f t="shared" si="5"/>
        <v>37.448897733058843</v>
      </c>
      <c r="Z16" s="158">
        <f t="shared" si="6"/>
        <v>21.99082974790495</v>
      </c>
      <c r="AA16" s="158">
        <f t="shared" si="7"/>
        <v>11.469796214925635</v>
      </c>
    </row>
    <row r="17" spans="1:27" ht="19.5" thickBot="1" x14ac:dyDescent="0.35">
      <c r="A17" s="142">
        <v>50</v>
      </c>
      <c r="B17" s="143" t="s">
        <v>4</v>
      </c>
      <c r="C17" s="142">
        <v>14</v>
      </c>
      <c r="D17" s="143" t="s">
        <v>64</v>
      </c>
      <c r="E17" s="142">
        <v>410551</v>
      </c>
      <c r="F17" s="143" t="s">
        <v>472</v>
      </c>
      <c r="G17" s="144">
        <v>2.4135234435568145</v>
      </c>
      <c r="H17" s="145">
        <v>7.4579760341889871</v>
      </c>
      <c r="I17" s="146">
        <v>4.3069811597441401</v>
      </c>
      <c r="J17" s="147">
        <v>0.88409686311042779</v>
      </c>
      <c r="K17" s="148">
        <v>169</v>
      </c>
      <c r="M17" s="149">
        <f t="shared" si="0"/>
        <v>0.57750000000000001</v>
      </c>
      <c r="N17" s="138">
        <f t="shared" si="1"/>
        <v>4.3069811597441401</v>
      </c>
      <c r="O17" s="149"/>
      <c r="V17" s="158">
        <f t="shared" si="2"/>
        <v>156.0251081896325</v>
      </c>
      <c r="W17" s="158">
        <f t="shared" si="3"/>
        <v>48.319119121691259</v>
      </c>
      <c r="X17" s="158">
        <f t="shared" si="4"/>
        <v>26.160515308483202</v>
      </c>
      <c r="Y17" s="158">
        <f t="shared" si="5"/>
        <v>19.913900590583424</v>
      </c>
      <c r="Z17" s="158">
        <f t="shared" si="6"/>
        <v>8.9212938129641763</v>
      </c>
      <c r="AA17" s="158">
        <f t="shared" si="7"/>
        <v>1.4395318855834209</v>
      </c>
    </row>
    <row r="18" spans="1:27" ht="19.5" thickBot="1" x14ac:dyDescent="0.35">
      <c r="A18" s="142">
        <v>50</v>
      </c>
      <c r="B18" s="143" t="s">
        <v>4</v>
      </c>
      <c r="C18" s="142">
        <v>14</v>
      </c>
      <c r="D18" s="143" t="s">
        <v>64</v>
      </c>
      <c r="E18" s="142">
        <v>510523</v>
      </c>
      <c r="F18" s="143" t="s">
        <v>69</v>
      </c>
      <c r="G18" s="144">
        <v>5.7520380455864339</v>
      </c>
      <c r="H18" s="145">
        <v>7.9971654629955058</v>
      </c>
      <c r="I18" s="146">
        <v>4.5766387133338409</v>
      </c>
      <c r="J18" s="147">
        <v>0.87684023597698768</v>
      </c>
      <c r="K18" s="148">
        <v>151</v>
      </c>
      <c r="M18" s="149">
        <f t="shared" si="0"/>
        <v>0.57228260869565217</v>
      </c>
      <c r="N18" s="138">
        <f t="shared" si="1"/>
        <v>4.5766387133338409</v>
      </c>
      <c r="O18" s="149"/>
      <c r="V18" s="158">
        <f t="shared" si="2"/>
        <v>372.15750517689133</v>
      </c>
      <c r="W18" s="158">
        <f t="shared" si="3"/>
        <v>113.12663656191054</v>
      </c>
      <c r="X18" s="158">
        <f t="shared" si="4"/>
        <v>59.83561307565062</v>
      </c>
      <c r="Y18" s="158">
        <f t="shared" si="5"/>
        <v>44.812622708234542</v>
      </c>
      <c r="Z18" s="158">
        <f t="shared" si="6"/>
        <v>18.375611112217566</v>
      </c>
      <c r="AA18" s="158">
        <f t="shared" si="7"/>
        <v>0.38211504397729779</v>
      </c>
    </row>
    <row r="19" spans="1:27" ht="19.5" thickBot="1" x14ac:dyDescent="0.35">
      <c r="A19" s="142">
        <v>50</v>
      </c>
      <c r="B19" s="143" t="s">
        <v>4</v>
      </c>
      <c r="C19" s="142">
        <v>14</v>
      </c>
      <c r="D19" s="143" t="s">
        <v>64</v>
      </c>
      <c r="E19" s="142">
        <v>510570</v>
      </c>
      <c r="F19" s="143" t="s">
        <v>70</v>
      </c>
      <c r="G19" s="144">
        <v>3.7144129870129854</v>
      </c>
      <c r="H19" s="145">
        <v>5.6536524272944515</v>
      </c>
      <c r="I19" s="146">
        <v>4.3775423079908471</v>
      </c>
      <c r="J19" s="147">
        <v>0.88219802535818426</v>
      </c>
      <c r="K19" s="148">
        <v>163</v>
      </c>
      <c r="M19" s="149">
        <f t="shared" si="0"/>
        <v>0.77428571428571435</v>
      </c>
      <c r="N19" s="138">
        <f t="shared" si="1"/>
        <v>4.3775423079908471</v>
      </c>
      <c r="O19" s="149"/>
      <c r="V19" s="158">
        <f t="shared" si="2"/>
        <v>178.71052621891155</v>
      </c>
      <c r="W19" s="158">
        <f t="shared" si="3"/>
        <v>55.078990854760846</v>
      </c>
      <c r="X19" s="158">
        <f t="shared" si="4"/>
        <v>29.643987335831625</v>
      </c>
      <c r="Y19" s="158">
        <f t="shared" si="5"/>
        <v>22.473740118519547</v>
      </c>
      <c r="Z19" s="158">
        <f t="shared" si="6"/>
        <v>9.8557523414967143</v>
      </c>
      <c r="AA19" s="158">
        <f t="shared" si="7"/>
        <v>1.2677274571270141</v>
      </c>
    </row>
    <row r="20" spans="1:27" ht="19.5" thickBot="1" x14ac:dyDescent="0.35">
      <c r="A20" s="142">
        <v>50</v>
      </c>
      <c r="B20" s="143" t="s">
        <v>4</v>
      </c>
      <c r="C20" s="142">
        <v>14</v>
      </c>
      <c r="D20" s="143" t="s">
        <v>64</v>
      </c>
      <c r="E20" s="142">
        <v>410571</v>
      </c>
      <c r="F20" s="143" t="s">
        <v>473</v>
      </c>
      <c r="G20" s="144">
        <v>6.6311696410441163</v>
      </c>
      <c r="H20" s="145">
        <v>12.215039636242224</v>
      </c>
      <c r="I20" s="146">
        <v>7.520543539004934</v>
      </c>
      <c r="J20" s="147">
        <v>0.79761820287668539</v>
      </c>
      <c r="K20" s="148">
        <v>68</v>
      </c>
      <c r="M20" s="149">
        <f t="shared" si="0"/>
        <v>0.6156790123456789</v>
      </c>
      <c r="N20" s="138">
        <f t="shared" si="1"/>
        <v>7.520543539004934</v>
      </c>
      <c r="O20" s="149"/>
      <c r="V20" s="158">
        <f t="shared" si="2"/>
        <v>362.76548128870905</v>
      </c>
      <c r="W20" s="158">
        <f t="shared" si="3"/>
        <v>85.193190821158083</v>
      </c>
      <c r="X20" s="158">
        <f t="shared" si="4"/>
        <v>28.087597462599867</v>
      </c>
      <c r="Y20" s="158">
        <f t="shared" si="5"/>
        <v>11.989261892587924</v>
      </c>
      <c r="Z20" s="158">
        <f t="shared" si="6"/>
        <v>-16.340110205264185</v>
      </c>
      <c r="AA20" s="158">
        <f t="shared" si="7"/>
        <v>-35.621580185601005</v>
      </c>
    </row>
    <row r="21" spans="1:27" ht="19.5" thickBot="1" x14ac:dyDescent="0.35">
      <c r="A21" s="142">
        <v>50</v>
      </c>
      <c r="B21" s="143" t="s">
        <v>4</v>
      </c>
      <c r="C21" s="142">
        <v>14</v>
      </c>
      <c r="D21" s="143" t="s">
        <v>64</v>
      </c>
      <c r="E21" s="142">
        <v>510520</v>
      </c>
      <c r="F21" s="143" t="s">
        <v>72</v>
      </c>
      <c r="G21" s="144">
        <v>4.317006661822929</v>
      </c>
      <c r="H21" s="145">
        <v>8.1074695365933618</v>
      </c>
      <c r="I21" s="146">
        <v>5.3312403252770357</v>
      </c>
      <c r="J21" s="147">
        <v>0.85653350820589624</v>
      </c>
      <c r="K21" s="148">
        <v>123</v>
      </c>
      <c r="M21" s="149">
        <f t="shared" si="0"/>
        <v>0.6575714285714287</v>
      </c>
      <c r="N21" s="138">
        <f t="shared" si="1"/>
        <v>5.3312403252770357</v>
      </c>
      <c r="O21" s="149"/>
      <c r="V21" s="158">
        <f t="shared" si="2"/>
        <v>237.45386951202718</v>
      </c>
      <c r="W21" s="158">
        <f t="shared" si="3"/>
        <v>68.261760472400454</v>
      </c>
      <c r="X21" s="158">
        <f t="shared" si="4"/>
        <v>33.453474090430838</v>
      </c>
      <c r="Y21" s="158">
        <f t="shared" si="5"/>
        <v>23.640854312966507</v>
      </c>
      <c r="Z21" s="158">
        <f t="shared" si="6"/>
        <v>6.3728979008538147</v>
      </c>
      <c r="AA21" s="158">
        <f t="shared" si="7"/>
        <v>-5.3799775964170733</v>
      </c>
    </row>
    <row r="22" spans="1:27" ht="19.5" thickBot="1" x14ac:dyDescent="0.35">
      <c r="A22" s="142">
        <v>50</v>
      </c>
      <c r="B22" s="143" t="s">
        <v>4</v>
      </c>
      <c r="C22" s="142">
        <v>14</v>
      </c>
      <c r="D22" s="143" t="s">
        <v>64</v>
      </c>
      <c r="E22" s="142">
        <v>410524</v>
      </c>
      <c r="F22" s="143" t="s">
        <v>74</v>
      </c>
      <c r="G22" s="144">
        <v>5.2411436324383089</v>
      </c>
      <c r="H22" s="145">
        <v>5.3423454809945197</v>
      </c>
      <c r="I22" s="146">
        <v>3.3570917406463772</v>
      </c>
      <c r="J22" s="147">
        <v>0.90965888887470692</v>
      </c>
      <c r="K22" s="148">
        <v>205</v>
      </c>
      <c r="M22" s="149">
        <f t="shared" si="0"/>
        <v>0.62839285714285709</v>
      </c>
      <c r="N22" s="138">
        <f t="shared" si="1"/>
        <v>3.3570917406463772</v>
      </c>
      <c r="O22" s="149"/>
      <c r="V22" s="158">
        <f t="shared" si="2"/>
        <v>320.38228839801366</v>
      </c>
      <c r="W22" s="158">
        <f t="shared" si="3"/>
        <v>105.43343048993516</v>
      </c>
      <c r="X22" s="158">
        <f t="shared" si="4"/>
        <v>61.21150166588275</v>
      </c>
      <c r="Y22" s="158">
        <f t="shared" si="5"/>
        <v>48.745131772957187</v>
      </c>
      <c r="Z22" s="158">
        <f t="shared" si="6"/>
        <v>26.807184842342508</v>
      </c>
      <c r="AA22" s="158">
        <f t="shared" si="7"/>
        <v>11.875831485416525</v>
      </c>
    </row>
    <row r="23" spans="1:27" ht="19.5" thickBot="1" x14ac:dyDescent="0.35">
      <c r="A23" s="142">
        <v>50</v>
      </c>
      <c r="B23" s="143" t="s">
        <v>4</v>
      </c>
      <c r="C23" s="142">
        <v>14</v>
      </c>
      <c r="D23" s="143" t="s">
        <v>64</v>
      </c>
      <c r="E23" s="142">
        <v>410521</v>
      </c>
      <c r="F23" s="143" t="s">
        <v>73</v>
      </c>
      <c r="G23" s="144">
        <v>4.4760896212509138</v>
      </c>
      <c r="H23" s="145">
        <v>0.67022786714480542</v>
      </c>
      <c r="I23" s="146">
        <v>0.63001419511611711</v>
      </c>
      <c r="J23" s="147">
        <v>0.98304598539194565</v>
      </c>
      <c r="K23" s="148">
        <v>272</v>
      </c>
      <c r="M23" s="149">
        <f t="shared" si="0"/>
        <v>0.94000000000000006</v>
      </c>
      <c r="N23" s="138">
        <f t="shared" si="1"/>
        <v>0.63001419511611711</v>
      </c>
      <c r="O23" s="149"/>
      <c r="V23" s="158">
        <f t="shared" si="2"/>
        <v>197.6695909195393</v>
      </c>
      <c r="W23" s="158">
        <f t="shared" si="3"/>
        <v>74.950751327432286</v>
      </c>
      <c r="X23" s="158">
        <f t="shared" si="4"/>
        <v>49.703518833955982</v>
      </c>
      <c r="Y23" s="158">
        <f t="shared" si="5"/>
        <v>42.586205152577683</v>
      </c>
      <c r="Z23" s="158">
        <f t="shared" si="6"/>
        <v>30.061368237605279</v>
      </c>
      <c r="AA23" s="158">
        <f t="shared" si="7"/>
        <v>21.536743471814411</v>
      </c>
    </row>
    <row r="24" spans="1:27" ht="19.5" thickBot="1" x14ac:dyDescent="0.35">
      <c r="A24" s="142">
        <v>50</v>
      </c>
      <c r="B24" s="143" t="s">
        <v>4</v>
      </c>
      <c r="C24" s="142">
        <v>14</v>
      </c>
      <c r="D24" s="143" t="s">
        <v>64</v>
      </c>
      <c r="E24" s="142">
        <v>510513</v>
      </c>
      <c r="F24" s="143" t="s">
        <v>474</v>
      </c>
      <c r="G24" s="144">
        <v>4.2224398656301876</v>
      </c>
      <c r="H24" s="145">
        <v>1.1841494868166142</v>
      </c>
      <c r="I24" s="146">
        <v>0.54352461444882594</v>
      </c>
      <c r="J24" s="147">
        <v>0.98537346567008044</v>
      </c>
      <c r="K24" s="148">
        <v>274</v>
      </c>
      <c r="M24" s="149">
        <f t="shared" si="0"/>
        <v>0.45900000000000002</v>
      </c>
      <c r="N24" s="138">
        <f t="shared" si="1"/>
        <v>0.54352461444882594</v>
      </c>
      <c r="O24" s="149"/>
      <c r="V24" s="158">
        <f t="shared" si="2"/>
        <v>382.77781645600965</v>
      </c>
      <c r="W24" s="158">
        <f t="shared" si="3"/>
        <v>145.6998967203109</v>
      </c>
      <c r="X24" s="158">
        <f t="shared" si="4"/>
        <v>96.925304501775315</v>
      </c>
      <c r="Y24" s="158">
        <f t="shared" si="5"/>
        <v>83.175517368063538</v>
      </c>
      <c r="Z24" s="158">
        <f t="shared" si="6"/>
        <v>58.979050951822067</v>
      </c>
      <c r="AA24" s="158">
        <f t="shared" si="7"/>
        <v>42.51050942455111</v>
      </c>
    </row>
    <row r="25" spans="1:27" ht="19.5" thickBot="1" x14ac:dyDescent="0.35">
      <c r="A25" s="142">
        <v>50</v>
      </c>
      <c r="B25" s="143" t="s">
        <v>4</v>
      </c>
      <c r="C25" s="142">
        <v>14</v>
      </c>
      <c r="D25" s="143" t="s">
        <v>64</v>
      </c>
      <c r="E25" s="142">
        <v>510511</v>
      </c>
      <c r="F25" s="143" t="s">
        <v>76</v>
      </c>
      <c r="G25" s="144">
        <v>3.24608091615878</v>
      </c>
      <c r="H25" s="145">
        <v>14.478998279444314</v>
      </c>
      <c r="I25" s="146">
        <v>8.715124709052759</v>
      </c>
      <c r="J25" s="147">
        <v>0.76547139290875332</v>
      </c>
      <c r="K25" s="148">
        <v>47</v>
      </c>
      <c r="M25" s="149">
        <f t="shared" si="0"/>
        <v>0.60191489361702133</v>
      </c>
      <c r="N25" s="138">
        <f t="shared" si="1"/>
        <v>8.715124709052759</v>
      </c>
      <c r="O25" s="149"/>
      <c r="V25" s="158">
        <f t="shared" si="2"/>
        <v>174.32044525069767</v>
      </c>
      <c r="W25" s="158">
        <f t="shared" si="3"/>
        <v>35.336520330224616</v>
      </c>
      <c r="X25" s="158">
        <f t="shared" si="4"/>
        <v>6.7430339756752904</v>
      </c>
      <c r="Y25" s="158">
        <f t="shared" si="5"/>
        <v>-1.3176044203200812</v>
      </c>
      <c r="Z25" s="158">
        <f t="shared" si="6"/>
        <v>-15.502476109276754</v>
      </c>
      <c r="AA25" s="158">
        <f t="shared" si="7"/>
        <v>-25.156949801839978</v>
      </c>
    </row>
    <row r="26" spans="1:27" ht="19.5" thickBot="1" x14ac:dyDescent="0.35">
      <c r="A26" s="142">
        <v>50</v>
      </c>
      <c r="B26" s="143" t="s">
        <v>4</v>
      </c>
      <c r="C26" s="142">
        <v>14</v>
      </c>
      <c r="D26" s="143" t="s">
        <v>64</v>
      </c>
      <c r="E26" s="142">
        <v>510522</v>
      </c>
      <c r="F26" s="143" t="s">
        <v>77</v>
      </c>
      <c r="G26" s="144">
        <v>2.5803141951809545</v>
      </c>
      <c r="H26" s="145">
        <v>6.9758946540762956</v>
      </c>
      <c r="I26" s="146">
        <v>4.2301050082912646</v>
      </c>
      <c r="J26" s="147">
        <v>0.88616564093297012</v>
      </c>
      <c r="K26" s="148">
        <v>170</v>
      </c>
      <c r="M26" s="149">
        <f t="shared" si="0"/>
        <v>0.60638888888888887</v>
      </c>
      <c r="N26" s="138">
        <f t="shared" si="1"/>
        <v>4.2301050082912646</v>
      </c>
      <c r="O26" s="149"/>
      <c r="V26" s="158">
        <f t="shared" si="2"/>
        <v>159.23237528000226</v>
      </c>
      <c r="W26" s="158">
        <f t="shared" si="3"/>
        <v>49.568982811497804</v>
      </c>
      <c r="X26" s="158">
        <f t="shared" si="4"/>
        <v>27.007677840897774</v>
      </c>
      <c r="Y26" s="158">
        <f t="shared" si="5"/>
        <v>20.647539771171083</v>
      </c>
      <c r="Z26" s="158">
        <f t="shared" si="6"/>
        <v>9.455157975711435</v>
      </c>
      <c r="AA26" s="158">
        <f t="shared" si="7"/>
        <v>1.8374256499750081</v>
      </c>
    </row>
    <row r="27" spans="1:27" ht="19.5" thickBot="1" x14ac:dyDescent="0.35">
      <c r="A27" s="142">
        <v>50</v>
      </c>
      <c r="B27" s="143" t="s">
        <v>4</v>
      </c>
      <c r="C27" s="142">
        <v>14</v>
      </c>
      <c r="D27" s="143" t="s">
        <v>64</v>
      </c>
      <c r="E27" s="142">
        <v>410510</v>
      </c>
      <c r="F27" s="143" t="s">
        <v>78</v>
      </c>
      <c r="G27" s="144">
        <v>9.6894159427710651</v>
      </c>
      <c r="H27" s="145">
        <v>6.0891183068694499</v>
      </c>
      <c r="I27" s="146">
        <v>3.3939094156169802</v>
      </c>
      <c r="J27" s="147">
        <v>0.90866810580326951</v>
      </c>
      <c r="K27" s="148">
        <v>204</v>
      </c>
      <c r="M27" s="149">
        <f t="shared" si="0"/>
        <v>0.5573728813559321</v>
      </c>
      <c r="N27" s="138">
        <f t="shared" si="1"/>
        <v>3.3939094156169802</v>
      </c>
      <c r="O27" s="149"/>
      <c r="V27" s="158">
        <f t="shared" si="2"/>
        <v>667.04043226466172</v>
      </c>
      <c r="W27" s="158">
        <f t="shared" si="3"/>
        <v>219.02591689671021</v>
      </c>
      <c r="X27" s="158">
        <f t="shared" si="4"/>
        <v>126.85484791054049</v>
      </c>
      <c r="Y27" s="158">
        <f t="shared" si="5"/>
        <v>100.87138970410003</v>
      </c>
      <c r="Z27" s="158">
        <f t="shared" si="6"/>
        <v>55.146472819497255</v>
      </c>
      <c r="AA27" s="158">
        <f t="shared" si="7"/>
        <v>24.025288445251654</v>
      </c>
    </row>
    <row r="28" spans="1:27" ht="19.5" thickBot="1" x14ac:dyDescent="0.35">
      <c r="A28" s="142">
        <v>50</v>
      </c>
      <c r="B28" s="143" t="s">
        <v>4</v>
      </c>
      <c r="C28" s="142">
        <v>14</v>
      </c>
      <c r="D28" s="143" t="s">
        <v>64</v>
      </c>
      <c r="E28" s="142">
        <v>410512</v>
      </c>
      <c r="F28" s="143" t="s">
        <v>79</v>
      </c>
      <c r="G28" s="144">
        <v>4.4281860372366975</v>
      </c>
      <c r="H28" s="145">
        <v>5.6456525967460589</v>
      </c>
      <c r="I28" s="146">
        <v>3.0994632756135863</v>
      </c>
      <c r="J28" s="147">
        <v>0.91659180688429476</v>
      </c>
      <c r="K28" s="148">
        <v>209</v>
      </c>
      <c r="M28" s="149">
        <f t="shared" si="0"/>
        <v>0.54899999999999993</v>
      </c>
      <c r="N28" s="138">
        <f t="shared" si="1"/>
        <v>3.0994632756135863</v>
      </c>
      <c r="O28" s="149"/>
      <c r="V28" s="158">
        <f t="shared" si="2"/>
        <v>312.19403029365878</v>
      </c>
      <c r="W28" s="158">
        <f t="shared" si="3"/>
        <v>104.32306448399613</v>
      </c>
      <c r="X28" s="158">
        <f t="shared" si="4"/>
        <v>61.55728687491932</v>
      </c>
      <c r="Y28" s="158">
        <f t="shared" si="5"/>
        <v>49.501412863757423</v>
      </c>
      <c r="Z28" s="158">
        <f t="shared" si="6"/>
        <v>28.285844375842181</v>
      </c>
      <c r="AA28" s="158">
        <f t="shared" si="7"/>
        <v>13.846154519584045</v>
      </c>
    </row>
    <row r="29" spans="1:27" ht="19.5" thickBot="1" x14ac:dyDescent="0.35">
      <c r="A29" s="142">
        <v>262</v>
      </c>
      <c r="B29" s="143" t="s">
        <v>475</v>
      </c>
      <c r="C29" s="142">
        <v>5060</v>
      </c>
      <c r="D29" s="143" t="s">
        <v>81</v>
      </c>
      <c r="E29" s="142">
        <v>4057</v>
      </c>
      <c r="F29" s="143" t="s">
        <v>82</v>
      </c>
      <c r="G29" s="144">
        <v>6.243624835140964</v>
      </c>
      <c r="H29" s="145">
        <v>10.570782476956737</v>
      </c>
      <c r="I29" s="146">
        <v>7.849606805994692</v>
      </c>
      <c r="J29" s="147">
        <v>0.78876293663226338</v>
      </c>
      <c r="K29" s="148">
        <v>60</v>
      </c>
      <c r="M29" s="149">
        <f t="shared" si="0"/>
        <v>0.74257575757575756</v>
      </c>
      <c r="N29" s="138">
        <f t="shared" si="1"/>
        <v>7.849606805994692</v>
      </c>
      <c r="O29" s="149"/>
      <c r="V29" s="158">
        <f t="shared" si="2"/>
        <v>280.05132860815536</v>
      </c>
      <c r="W29" s="158">
        <f t="shared" si="3"/>
        <v>63.362584449972552</v>
      </c>
      <c r="X29" s="158">
        <f t="shared" si="4"/>
        <v>18.782704778156312</v>
      </c>
      <c r="Y29" s="158">
        <f t="shared" si="5"/>
        <v>6.2154268563325923</v>
      </c>
      <c r="Z29" s="158">
        <f t="shared" si="6"/>
        <v>-15.900095022069991</v>
      </c>
      <c r="AA29" s="158">
        <f t="shared" si="7"/>
        <v>-30.952309018377804</v>
      </c>
    </row>
    <row r="30" spans="1:27" ht="19.5" thickBot="1" x14ac:dyDescent="0.35">
      <c r="A30" s="142">
        <v>262</v>
      </c>
      <c r="B30" s="143" t="s">
        <v>475</v>
      </c>
      <c r="C30" s="142">
        <v>5060</v>
      </c>
      <c r="D30" s="143" t="s">
        <v>81</v>
      </c>
      <c r="E30" s="142">
        <v>4082</v>
      </c>
      <c r="F30" s="143" t="s">
        <v>476</v>
      </c>
      <c r="G30" s="144">
        <v>2.8402116402116402</v>
      </c>
      <c r="H30" s="145">
        <v>12.323025335320418</v>
      </c>
      <c r="I30" s="146">
        <v>7.2441784649776455</v>
      </c>
      <c r="J30" s="147">
        <v>0.80505533292635212</v>
      </c>
      <c r="K30" s="148">
        <v>75</v>
      </c>
      <c r="M30" s="149">
        <f t="shared" si="0"/>
        <v>0.58785714285714286</v>
      </c>
      <c r="N30" s="138">
        <f t="shared" si="1"/>
        <v>7.2441784649776455</v>
      </c>
      <c r="O30" s="149"/>
      <c r="V30" s="158">
        <f t="shared" si="2"/>
        <v>164.2478692881501</v>
      </c>
      <c r="W30" s="158">
        <f t="shared" si="3"/>
        <v>39.733571525952314</v>
      </c>
      <c r="X30" s="158">
        <f t="shared" si="4"/>
        <v>14.116955244271493</v>
      </c>
      <c r="Y30" s="158">
        <f t="shared" si="5"/>
        <v>6.8955105342687233</v>
      </c>
      <c r="Z30" s="158">
        <f t="shared" si="6"/>
        <v>-5.8125730675431839</v>
      </c>
      <c r="AA30" s="158">
        <f t="shared" si="7"/>
        <v>-14.461918758283881</v>
      </c>
    </row>
    <row r="31" spans="1:27" ht="19.5" thickBot="1" x14ac:dyDescent="0.35">
      <c r="A31" s="142">
        <v>262</v>
      </c>
      <c r="B31" s="143" t="s">
        <v>475</v>
      </c>
      <c r="C31" s="142">
        <v>5060</v>
      </c>
      <c r="D31" s="143" t="s">
        <v>81</v>
      </c>
      <c r="E31" s="142">
        <v>4030</v>
      </c>
      <c r="F31" s="143" t="s">
        <v>477</v>
      </c>
      <c r="G31" s="144">
        <v>7.4919696310260804</v>
      </c>
      <c r="H31" s="145">
        <v>4.5381924479775888</v>
      </c>
      <c r="I31" s="146">
        <v>3.0786296709589145</v>
      </c>
      <c r="J31" s="147">
        <v>0.91715245018470259</v>
      </c>
      <c r="K31" s="148">
        <v>211</v>
      </c>
      <c r="M31" s="149">
        <f t="shared" si="0"/>
        <v>0.67838235294117655</v>
      </c>
      <c r="N31" s="138">
        <f t="shared" si="1"/>
        <v>3.0786296709589145</v>
      </c>
      <c r="O31" s="149"/>
      <c r="V31" s="158">
        <f t="shared" si="2"/>
        <v>427.71857048662037</v>
      </c>
      <c r="W31" s="158">
        <f t="shared" si="3"/>
        <v>143.10094800587936</v>
      </c>
      <c r="X31" s="158">
        <f t="shared" si="4"/>
        <v>84.545902094461582</v>
      </c>
      <c r="Y31" s="158">
        <f t="shared" si="5"/>
        <v>68.038959027067833</v>
      </c>
      <c r="Z31" s="158">
        <f t="shared" si="6"/>
        <v>38.990531609182248</v>
      </c>
      <c r="AA31" s="158">
        <f t="shared" si="7"/>
        <v>19.219659904037051</v>
      </c>
    </row>
    <row r="32" spans="1:27" ht="19.5" thickBot="1" x14ac:dyDescent="0.35">
      <c r="A32" s="142">
        <v>262</v>
      </c>
      <c r="B32" s="143" t="s">
        <v>475</v>
      </c>
      <c r="C32" s="142">
        <v>5060</v>
      </c>
      <c r="D32" s="143" t="s">
        <v>81</v>
      </c>
      <c r="E32" s="142">
        <v>4060</v>
      </c>
      <c r="F32" s="143" t="s">
        <v>478</v>
      </c>
      <c r="G32" s="144">
        <v>8.0712319790393234</v>
      </c>
      <c r="H32" s="145">
        <v>7.1860157347259692</v>
      </c>
      <c r="I32" s="146">
        <v>4.1963853954339401</v>
      </c>
      <c r="J32" s="147">
        <v>0.8870730535173097</v>
      </c>
      <c r="K32" s="148">
        <v>174</v>
      </c>
      <c r="M32" s="149">
        <f t="shared" si="0"/>
        <v>0.58396551724137913</v>
      </c>
      <c r="N32" s="138">
        <f t="shared" si="1"/>
        <v>4.1963853954339401</v>
      </c>
      <c r="O32" s="149"/>
      <c r="V32" s="158">
        <f t="shared" si="2"/>
        <v>517.73452084121561</v>
      </c>
      <c r="W32" s="158">
        <f t="shared" si="3"/>
        <v>161.53531504780568</v>
      </c>
      <c r="X32" s="158">
        <f t="shared" si="4"/>
        <v>88.253623397616309</v>
      </c>
      <c r="Y32" s="158">
        <f t="shared" si="5"/>
        <v>67.595169576540798</v>
      </c>
      <c r="Z32" s="158">
        <f t="shared" si="6"/>
        <v>31.24103701927616</v>
      </c>
      <c r="AA32" s="158">
        <f t="shared" si="7"/>
        <v>6.4977736266777253</v>
      </c>
    </row>
    <row r="33" spans="1:27" ht="19.5" thickBot="1" x14ac:dyDescent="0.35">
      <c r="A33" s="142">
        <v>262</v>
      </c>
      <c r="B33" s="143" t="s">
        <v>475</v>
      </c>
      <c r="C33" s="142">
        <v>5060</v>
      </c>
      <c r="D33" s="143" t="s">
        <v>81</v>
      </c>
      <c r="E33" s="142">
        <v>4064</v>
      </c>
      <c r="F33" s="143" t="s">
        <v>86</v>
      </c>
      <c r="G33" s="144">
        <v>1.4323658323796258</v>
      </c>
      <c r="H33" s="145">
        <v>-2.0944370021840188</v>
      </c>
      <c r="I33" s="146">
        <v>-1.3613840514196121</v>
      </c>
      <c r="J33" s="147">
        <v>1.0366355635696214</v>
      </c>
      <c r="K33" s="148">
        <v>291</v>
      </c>
      <c r="M33" s="149">
        <f t="shared" si="0"/>
        <v>0.64999999999999991</v>
      </c>
      <c r="N33" s="138">
        <f t="shared" si="1"/>
        <v>-1.3613840514196121</v>
      </c>
      <c r="O33" s="149"/>
      <c r="V33" s="158">
        <f t="shared" si="2"/>
        <v>96.463232211226426</v>
      </c>
      <c r="W33" s="158">
        <f t="shared" si="3"/>
        <v>39.672049098287971</v>
      </c>
      <c r="X33" s="158">
        <f t="shared" si="4"/>
        <v>27.98826681679251</v>
      </c>
      <c r="Y33" s="158">
        <f t="shared" si="5"/>
        <v>24.694553594805907</v>
      </c>
      <c r="Z33" s="158">
        <f t="shared" si="6"/>
        <v>18.898375036875354</v>
      </c>
      <c r="AA33" s="158">
        <f t="shared" si="7"/>
        <v>14.953393747513028</v>
      </c>
    </row>
    <row r="34" spans="1:27" ht="19.5" thickBot="1" x14ac:dyDescent="0.35">
      <c r="A34" s="142">
        <v>262</v>
      </c>
      <c r="B34" s="143" t="s">
        <v>475</v>
      </c>
      <c r="C34" s="142">
        <v>5060</v>
      </c>
      <c r="D34" s="143" t="s">
        <v>81</v>
      </c>
      <c r="E34" s="142">
        <v>4092</v>
      </c>
      <c r="F34" s="143" t="s">
        <v>479</v>
      </c>
      <c r="G34" s="144">
        <v>2.4192814679252703</v>
      </c>
      <c r="H34" s="145">
        <v>0.41334586870438889</v>
      </c>
      <c r="I34" s="146">
        <v>0.6282857204306711</v>
      </c>
      <c r="J34" s="147">
        <v>0.98309249955828337</v>
      </c>
      <c r="K34" s="148">
        <v>273</v>
      </c>
      <c r="M34" s="149">
        <f t="shared" si="0"/>
        <v>1.52</v>
      </c>
      <c r="N34" s="138">
        <f t="shared" si="1"/>
        <v>0.6282857204306711</v>
      </c>
      <c r="O34" s="149"/>
      <c r="V34" s="158">
        <f t="shared" si="2"/>
        <v>66.074259263271514</v>
      </c>
      <c r="W34" s="158">
        <f t="shared" si="3"/>
        <v>25.055442273336663</v>
      </c>
      <c r="X34" s="158">
        <f t="shared" si="4"/>
        <v>16.61654558400674</v>
      </c>
      <c r="Y34" s="158">
        <f t="shared" si="5"/>
        <v>14.237580884480749</v>
      </c>
      <c r="Z34" s="158">
        <f t="shared" si="6"/>
        <v>10.051149567564382</v>
      </c>
      <c r="AA34" s="158">
        <f t="shared" si="7"/>
        <v>7.2017906236721849</v>
      </c>
    </row>
    <row r="35" spans="1:27" ht="19.5" thickBot="1" x14ac:dyDescent="0.35">
      <c r="A35" s="142">
        <v>262</v>
      </c>
      <c r="B35" s="143" t="s">
        <v>475</v>
      </c>
      <c r="C35" s="142">
        <v>5060</v>
      </c>
      <c r="D35" s="143" t="s">
        <v>81</v>
      </c>
      <c r="E35" s="142">
        <v>4041</v>
      </c>
      <c r="F35" s="143" t="s">
        <v>480</v>
      </c>
      <c r="G35" s="144">
        <v>2.4492784858856167</v>
      </c>
      <c r="H35" s="145">
        <v>7.3491030537066555</v>
      </c>
      <c r="I35" s="146">
        <v>4.6340177588650304</v>
      </c>
      <c r="J35" s="147">
        <v>0.87529613556834118</v>
      </c>
      <c r="K35" s="148">
        <v>149</v>
      </c>
      <c r="M35" s="149">
        <f t="shared" si="0"/>
        <v>0.63055555555555565</v>
      </c>
      <c r="N35" s="138">
        <f t="shared" si="1"/>
        <v>4.6340177588650304</v>
      </c>
      <c r="O35" s="149"/>
      <c r="V35" s="158">
        <f t="shared" si="2"/>
        <v>143.57040716234073</v>
      </c>
      <c r="W35" s="158">
        <f t="shared" si="3"/>
        <v>43.46555434433013</v>
      </c>
      <c r="X35" s="158">
        <f t="shared" si="4"/>
        <v>22.870749983222918</v>
      </c>
      <c r="Y35" s="158">
        <f t="shared" si="5"/>
        <v>17.064977691844348</v>
      </c>
      <c r="Z35" s="158">
        <f t="shared" si="6"/>
        <v>6.8481523037436318</v>
      </c>
      <c r="AA35" s="158">
        <f t="shared" si="7"/>
        <v>-0.10559913608948086</v>
      </c>
    </row>
    <row r="36" spans="1:27" ht="19.5" thickBot="1" x14ac:dyDescent="0.35">
      <c r="A36" s="142">
        <v>262</v>
      </c>
      <c r="B36" s="143" t="s">
        <v>475</v>
      </c>
      <c r="C36" s="142">
        <v>5060</v>
      </c>
      <c r="D36" s="143" t="s">
        <v>81</v>
      </c>
      <c r="E36" s="142">
        <v>4085</v>
      </c>
      <c r="F36" s="143" t="s">
        <v>481</v>
      </c>
      <c r="G36" s="144">
        <v>3.7485407748762594</v>
      </c>
      <c r="H36" s="145">
        <v>2.6677047418085249</v>
      </c>
      <c r="I36" s="146">
        <v>2.1981887072502246</v>
      </c>
      <c r="J36" s="147">
        <v>0.94084558134898599</v>
      </c>
      <c r="K36" s="148">
        <v>238</v>
      </c>
      <c r="M36" s="149">
        <f t="shared" si="0"/>
        <v>0.82400000000000007</v>
      </c>
      <c r="N36" s="138">
        <f t="shared" si="1"/>
        <v>2.1981887072502246</v>
      </c>
      <c r="O36" s="149"/>
      <c r="V36" s="158">
        <f t="shared" si="2"/>
        <v>180.73758993151162</v>
      </c>
      <c r="W36" s="158">
        <f t="shared" si="3"/>
        <v>63.497714670877642</v>
      </c>
      <c r="X36" s="158">
        <f t="shared" si="4"/>
        <v>39.377682261430309</v>
      </c>
      <c r="Y36" s="158">
        <f t="shared" si="5"/>
        <v>32.578131589593106</v>
      </c>
      <c r="Z36" s="158">
        <f t="shared" si="6"/>
        <v>20.612484567083342</v>
      </c>
      <c r="AA36" s="158">
        <f t="shared" si="7"/>
        <v>12.468454298324888</v>
      </c>
    </row>
    <row r="37" spans="1:27" ht="19.5" thickBot="1" x14ac:dyDescent="0.35">
      <c r="A37" s="142">
        <v>262</v>
      </c>
      <c r="B37" s="143" t="s">
        <v>475</v>
      </c>
      <c r="C37" s="142">
        <v>5060</v>
      </c>
      <c r="D37" s="143" t="s">
        <v>81</v>
      </c>
      <c r="E37" s="142">
        <v>4066</v>
      </c>
      <c r="F37" s="143" t="s">
        <v>482</v>
      </c>
      <c r="G37" s="144">
        <v>5.8039269676717034</v>
      </c>
      <c r="H37" s="145">
        <v>2.2398627812532701</v>
      </c>
      <c r="I37" s="146">
        <v>0.96055653888361392</v>
      </c>
      <c r="J37" s="147">
        <v>0.97415091641055263</v>
      </c>
      <c r="K37" s="148">
        <v>266</v>
      </c>
      <c r="M37" s="149">
        <f t="shared" si="0"/>
        <v>0.42884615384615388</v>
      </c>
      <c r="N37" s="138">
        <f t="shared" si="1"/>
        <v>0.96055653888361392</v>
      </c>
      <c r="O37" s="149"/>
      <c r="V37" s="158">
        <f t="shared" si="2"/>
        <v>556.72634431362837</v>
      </c>
      <c r="W37" s="158">
        <f t="shared" si="3"/>
        <v>207.93898279304869</v>
      </c>
      <c r="X37" s="158">
        <f t="shared" si="4"/>
        <v>136.18214711594027</v>
      </c>
      <c r="Y37" s="158">
        <f t="shared" si="5"/>
        <v>115.95355737133906</v>
      </c>
      <c r="Z37" s="158">
        <f t="shared" si="6"/>
        <v>80.355886829726842</v>
      </c>
      <c r="AA37" s="158">
        <f t="shared" si="7"/>
        <v>56.127484818301532</v>
      </c>
    </row>
    <row r="38" spans="1:27" ht="19.5" thickBot="1" x14ac:dyDescent="0.35">
      <c r="A38" s="142">
        <v>262</v>
      </c>
      <c r="B38" s="143" t="s">
        <v>475</v>
      </c>
      <c r="C38" s="142">
        <v>5060</v>
      </c>
      <c r="D38" s="143" t="s">
        <v>81</v>
      </c>
      <c r="E38" s="142">
        <v>4067</v>
      </c>
      <c r="F38" s="143" t="s">
        <v>483</v>
      </c>
      <c r="G38" s="144">
        <v>2.9206349206349214</v>
      </c>
      <c r="H38" s="145">
        <v>3.4239130434782599</v>
      </c>
      <c r="I38" s="146">
        <v>2.076603260869565</v>
      </c>
      <c r="J38" s="147">
        <v>0.9441175099024125</v>
      </c>
      <c r="K38" s="148">
        <v>242</v>
      </c>
      <c r="M38" s="149">
        <f t="shared" si="0"/>
        <v>0.60650000000000015</v>
      </c>
      <c r="N38" s="138">
        <f t="shared" si="1"/>
        <v>2.076603260869565</v>
      </c>
      <c r="O38" s="149"/>
      <c r="V38" s="158">
        <f t="shared" si="2"/>
        <v>191.98514683825903</v>
      </c>
      <c r="W38" s="158">
        <f t="shared" si="3"/>
        <v>67.880858506633345</v>
      </c>
      <c r="X38" s="158">
        <f t="shared" si="4"/>
        <v>42.348594419388029</v>
      </c>
      <c r="Y38" s="158">
        <f t="shared" si="5"/>
        <v>35.150928990051568</v>
      </c>
      <c r="Z38" s="158">
        <f t="shared" si="6"/>
        <v>22.484691459051476</v>
      </c>
      <c r="AA38" s="158">
        <f t="shared" si="7"/>
        <v>13.863826941679758</v>
      </c>
    </row>
    <row r="39" spans="1:27" ht="19.5" thickBot="1" x14ac:dyDescent="0.35">
      <c r="A39" s="142">
        <v>262</v>
      </c>
      <c r="B39" s="143" t="s">
        <v>475</v>
      </c>
      <c r="C39" s="142">
        <v>5060</v>
      </c>
      <c r="D39" s="143" t="s">
        <v>81</v>
      </c>
      <c r="E39" s="142">
        <v>4095</v>
      </c>
      <c r="F39" s="143" t="s">
        <v>92</v>
      </c>
      <c r="G39" s="144">
        <v>4.1371847501813255</v>
      </c>
      <c r="H39" s="145">
        <v>3.6256538940743646</v>
      </c>
      <c r="I39" s="146">
        <v>2.2515310682201801</v>
      </c>
      <c r="J39" s="147">
        <v>0.93941011025305921</v>
      </c>
      <c r="K39" s="148">
        <v>237</v>
      </c>
      <c r="M39" s="149">
        <f t="shared" si="0"/>
        <v>0.62099999999999989</v>
      </c>
      <c r="N39" s="138">
        <f t="shared" si="1"/>
        <v>2.2515310682201801</v>
      </c>
      <c r="O39" s="149"/>
      <c r="V39" s="158">
        <f t="shared" si="2"/>
        <v>264.27960837587545</v>
      </c>
      <c r="W39" s="158">
        <f t="shared" si="3"/>
        <v>92.586194852779172</v>
      </c>
      <c r="X39" s="158">
        <f t="shared" si="4"/>
        <v>57.263309277718832</v>
      </c>
      <c r="Y39" s="158">
        <f t="shared" si="5"/>
        <v>47.305621565447893</v>
      </c>
      <c r="Z39" s="158">
        <f t="shared" si="6"/>
        <v>29.782378916647541</v>
      </c>
      <c r="AA39" s="158">
        <f t="shared" si="7"/>
        <v>17.855751107038625</v>
      </c>
    </row>
    <row r="40" spans="1:27" ht="19.5" thickBot="1" x14ac:dyDescent="0.35">
      <c r="A40" s="142">
        <v>262</v>
      </c>
      <c r="B40" s="143" t="s">
        <v>475</v>
      </c>
      <c r="C40" s="142">
        <v>5060</v>
      </c>
      <c r="D40" s="143" t="s">
        <v>81</v>
      </c>
      <c r="E40" s="142">
        <v>4087</v>
      </c>
      <c r="F40" s="143" t="s">
        <v>93</v>
      </c>
      <c r="G40" s="144">
        <v>7.6785695594795067</v>
      </c>
      <c r="H40" s="145">
        <v>6.1209317224946656</v>
      </c>
      <c r="I40" s="146">
        <v>4.7730244176474352</v>
      </c>
      <c r="J40" s="147">
        <v>0.87155539299161333</v>
      </c>
      <c r="K40" s="148">
        <v>145</v>
      </c>
      <c r="M40" s="149">
        <f t="shared" si="0"/>
        <v>0.77978723404255301</v>
      </c>
      <c r="N40" s="138">
        <f t="shared" si="1"/>
        <v>4.7730244176474352</v>
      </c>
      <c r="O40" s="149"/>
      <c r="V40" s="158">
        <f t="shared" si="2"/>
        <v>362.4051044319686</v>
      </c>
      <c r="W40" s="158">
        <f t="shared" si="3"/>
        <v>108.63262554895365</v>
      </c>
      <c r="X40" s="158">
        <f t="shared" si="4"/>
        <v>56.423422820985785</v>
      </c>
      <c r="Y40" s="158">
        <f t="shared" si="5"/>
        <v>41.705402817580122</v>
      </c>
      <c r="Z40" s="158">
        <f t="shared" si="6"/>
        <v>15.805068996932814</v>
      </c>
      <c r="AA40" s="158">
        <f t="shared" si="7"/>
        <v>-1.8231547179647358</v>
      </c>
    </row>
    <row r="41" spans="1:27" ht="19.5" thickBot="1" x14ac:dyDescent="0.35">
      <c r="A41" s="142">
        <v>262</v>
      </c>
      <c r="B41" s="143" t="s">
        <v>475</v>
      </c>
      <c r="C41" s="142">
        <v>5060</v>
      </c>
      <c r="D41" s="143" t="s">
        <v>81</v>
      </c>
      <c r="E41" s="142">
        <v>4073</v>
      </c>
      <c r="F41" s="143" t="s">
        <v>484</v>
      </c>
      <c r="G41" s="144">
        <v>2.4205745913741672</v>
      </c>
      <c r="H41" s="145">
        <v>2.0656252518793421</v>
      </c>
      <c r="I41" s="146">
        <v>2.5655065628341429</v>
      </c>
      <c r="J41" s="147">
        <v>0.93096086392889488</v>
      </c>
      <c r="K41" s="148">
        <v>227</v>
      </c>
      <c r="M41" s="149">
        <f t="shared" si="0"/>
        <v>1.242</v>
      </c>
      <c r="N41" s="138">
        <f t="shared" si="1"/>
        <v>2.5655065628341429</v>
      </c>
      <c r="O41" s="149"/>
      <c r="V41" s="158">
        <f t="shared" si="2"/>
        <v>76.616694012284867</v>
      </c>
      <c r="W41" s="158">
        <f t="shared" si="3"/>
        <v>26.389699162454971</v>
      </c>
      <c r="X41" s="158">
        <f t="shared" si="4"/>
        <v>16.056382610268027</v>
      </c>
      <c r="Y41" s="158">
        <f t="shared" si="5"/>
        <v>13.143372034162457</v>
      </c>
      <c r="Z41" s="158">
        <f t="shared" si="6"/>
        <v>8.0171426686124594</v>
      </c>
      <c r="AA41" s="158">
        <f t="shared" si="7"/>
        <v>4.5281406080384672</v>
      </c>
    </row>
    <row r="42" spans="1:27" ht="19.5" thickBot="1" x14ac:dyDescent="0.35">
      <c r="A42" s="142">
        <v>262</v>
      </c>
      <c r="B42" s="143" t="s">
        <v>475</v>
      </c>
      <c r="C42" s="142">
        <v>5060</v>
      </c>
      <c r="D42" s="143" t="s">
        <v>81</v>
      </c>
      <c r="E42" s="142">
        <v>4074</v>
      </c>
      <c r="F42" s="143" t="s">
        <v>485</v>
      </c>
      <c r="G42" s="144">
        <v>1.6157698529477824</v>
      </c>
      <c r="H42" s="145">
        <v>7.4268002822972647</v>
      </c>
      <c r="I42" s="146">
        <v>5.6350847141930496</v>
      </c>
      <c r="J42" s="147">
        <v>0.84835689528480496</v>
      </c>
      <c r="K42" s="148">
        <v>115</v>
      </c>
      <c r="M42" s="149">
        <f t="shared" si="0"/>
        <v>0.75875000000000004</v>
      </c>
      <c r="N42" s="138">
        <f t="shared" si="1"/>
        <v>5.6350847141930496</v>
      </c>
      <c r="O42" s="149"/>
      <c r="V42" s="158">
        <f t="shared" si="2"/>
        <v>76.287696293525343</v>
      </c>
      <c r="W42" s="158">
        <f t="shared" si="3"/>
        <v>21.406809937745521</v>
      </c>
      <c r="X42" s="158">
        <f t="shared" si="4"/>
        <v>10.116037454255194</v>
      </c>
      <c r="Y42" s="158">
        <f t="shared" si="5"/>
        <v>6.9331155442660677</v>
      </c>
      <c r="Z42" s="158">
        <f t="shared" si="6"/>
        <v>1.3319042417474689</v>
      </c>
      <c r="AA42" s="158">
        <f t="shared" si="7"/>
        <v>-2.480378897109111</v>
      </c>
    </row>
    <row r="43" spans="1:27" ht="19.5" thickBot="1" x14ac:dyDescent="0.35">
      <c r="A43" s="142">
        <v>262</v>
      </c>
      <c r="B43" s="143" t="s">
        <v>475</v>
      </c>
      <c r="C43" s="142">
        <v>5060</v>
      </c>
      <c r="D43" s="143" t="s">
        <v>81</v>
      </c>
      <c r="E43" s="142">
        <v>4079</v>
      </c>
      <c r="F43" s="143" t="s">
        <v>486</v>
      </c>
      <c r="G43" s="144">
        <v>2.3852260407453945</v>
      </c>
      <c r="H43" s="145">
        <v>10.061939451449174</v>
      </c>
      <c r="I43" s="146">
        <v>6.7226332959994792</v>
      </c>
      <c r="J43" s="147">
        <v>0.81909038877455609</v>
      </c>
      <c r="K43" s="148">
        <v>87</v>
      </c>
      <c r="M43" s="149">
        <f t="shared" si="0"/>
        <v>0.66812499999999997</v>
      </c>
      <c r="N43" s="138">
        <f t="shared" si="1"/>
        <v>6.7226332959994792</v>
      </c>
      <c r="O43" s="149"/>
      <c r="V43" s="158">
        <f t="shared" si="2"/>
        <v>123.4806079867292</v>
      </c>
      <c r="W43" s="158">
        <f t="shared" si="3"/>
        <v>31.475457567813713</v>
      </c>
      <c r="X43" s="158">
        <f t="shared" si="4"/>
        <v>12.547023833071808</v>
      </c>
      <c r="Y43" s="158">
        <f t="shared" si="5"/>
        <v>7.2110092650532627</v>
      </c>
      <c r="Z43" s="158">
        <f t="shared" si="6"/>
        <v>-2.1791504542253888</v>
      </c>
      <c r="AA43" s="158">
        <f t="shared" si="7"/>
        <v>-8.5702586691359048</v>
      </c>
    </row>
    <row r="44" spans="1:27" ht="19.5" thickBot="1" x14ac:dyDescent="0.35">
      <c r="A44" s="142">
        <v>262</v>
      </c>
      <c r="B44" s="143" t="s">
        <v>475</v>
      </c>
      <c r="C44" s="142">
        <v>5060</v>
      </c>
      <c r="D44" s="143" t="s">
        <v>81</v>
      </c>
      <c r="E44" s="142">
        <v>4031</v>
      </c>
      <c r="F44" s="143" t="s">
        <v>487</v>
      </c>
      <c r="G44" s="144">
        <v>2.9406015037593991</v>
      </c>
      <c r="H44" s="145">
        <v>13.262592687292249</v>
      </c>
      <c r="I44" s="146">
        <v>8.2381104576834563</v>
      </c>
      <c r="J44" s="147">
        <v>0.7783080982538999</v>
      </c>
      <c r="K44" s="148">
        <v>55</v>
      </c>
      <c r="M44" s="149">
        <f t="shared" si="0"/>
        <v>0.62115384615384628</v>
      </c>
      <c r="N44" s="138">
        <f t="shared" si="1"/>
        <v>8.2381104576834563</v>
      </c>
      <c r="O44" s="149"/>
      <c r="V44" s="158">
        <f t="shared" si="2"/>
        <v>155.59070736144486</v>
      </c>
      <c r="W44" s="158">
        <f t="shared" si="3"/>
        <v>33.58579524858915</v>
      </c>
      <c r="X44" s="158">
        <f t="shared" si="4"/>
        <v>8.4854407170626871</v>
      </c>
      <c r="Y44" s="158">
        <f t="shared" si="5"/>
        <v>1.4095326245285991</v>
      </c>
      <c r="Z44" s="158">
        <f t="shared" si="6"/>
        <v>-11.042439966787711</v>
      </c>
      <c r="AA44" s="158">
        <f t="shared" si="7"/>
        <v>-19.517471989599319</v>
      </c>
    </row>
    <row r="45" spans="1:27" ht="19.5" thickBot="1" x14ac:dyDescent="0.35">
      <c r="A45" s="142">
        <v>262</v>
      </c>
      <c r="B45" s="143" t="s">
        <v>475</v>
      </c>
      <c r="C45" s="142">
        <v>5060</v>
      </c>
      <c r="D45" s="143" t="s">
        <v>81</v>
      </c>
      <c r="E45" s="142">
        <v>4071</v>
      </c>
      <c r="F45" s="143" t="s">
        <v>98</v>
      </c>
      <c r="G45" s="144">
        <v>8.6630214135911014</v>
      </c>
      <c r="H45" s="145">
        <v>6.117957865930034</v>
      </c>
      <c r="I45" s="146">
        <v>4.0268860406220606</v>
      </c>
      <c r="J45" s="147">
        <v>0.89163437064288142</v>
      </c>
      <c r="K45" s="148">
        <v>184</v>
      </c>
      <c r="M45" s="149">
        <f t="shared" si="0"/>
        <v>0.65820754716981122</v>
      </c>
      <c r="N45" s="138">
        <f t="shared" si="1"/>
        <v>4.0268860406220606</v>
      </c>
      <c r="O45" s="149"/>
      <c r="V45" s="158">
        <f t="shared" si="2"/>
        <v>495.551096157514</v>
      </c>
      <c r="W45" s="158">
        <f t="shared" si="3"/>
        <v>156.3581201558986</v>
      </c>
      <c r="X45" s="158">
        <f t="shared" si="4"/>
        <v>86.575159742233538</v>
      </c>
      <c r="Y45" s="158">
        <f t="shared" si="5"/>
        <v>66.903014725642421</v>
      </c>
      <c r="Z45" s="158">
        <f t="shared" si="6"/>
        <v>32.284559065166761</v>
      </c>
      <c r="AA45" s="158">
        <f t="shared" si="7"/>
        <v>8.7226279613816757</v>
      </c>
    </row>
    <row r="46" spans="1:27" ht="19.5" thickBot="1" x14ac:dyDescent="0.35">
      <c r="A46" s="142">
        <v>262</v>
      </c>
      <c r="B46" s="143" t="s">
        <v>475</v>
      </c>
      <c r="C46" s="142">
        <v>5060</v>
      </c>
      <c r="D46" s="143" t="s">
        <v>81</v>
      </c>
      <c r="E46" s="142">
        <v>4080</v>
      </c>
      <c r="F46" s="143" t="s">
        <v>488</v>
      </c>
      <c r="G46" s="144">
        <v>2.3098195906539942</v>
      </c>
      <c r="H46" s="145">
        <v>0.43293424475496095</v>
      </c>
      <c r="I46" s="146">
        <v>0.12988027342648828</v>
      </c>
      <c r="J46" s="147">
        <v>0.99650485327149663</v>
      </c>
      <c r="K46" s="148">
        <v>281</v>
      </c>
      <c r="M46" s="149">
        <f t="shared" si="0"/>
        <v>0.3</v>
      </c>
      <c r="N46" s="138">
        <f t="shared" si="1"/>
        <v>0.12988027342648828</v>
      </c>
      <c r="O46" s="149"/>
      <c r="V46" s="158">
        <f t="shared" si="2"/>
        <v>323.98979690403604</v>
      </c>
      <c r="W46" s="158">
        <f t="shared" si="3"/>
        <v>125.56446021638531</v>
      </c>
      <c r="X46" s="158">
        <f t="shared" si="4"/>
        <v>84.741953870981092</v>
      </c>
      <c r="Y46" s="158">
        <f t="shared" si="5"/>
        <v>73.233897176237519</v>
      </c>
      <c r="Z46" s="158">
        <f t="shared" si="6"/>
        <v>52.982361307158449</v>
      </c>
      <c r="AA46" s="158">
        <f t="shared" si="7"/>
        <v>39.198809043217942</v>
      </c>
    </row>
    <row r="47" spans="1:27" ht="19.5" thickBot="1" x14ac:dyDescent="0.35">
      <c r="A47" s="142">
        <v>262</v>
      </c>
      <c r="B47" s="143" t="s">
        <v>475</v>
      </c>
      <c r="C47" s="142">
        <v>5101</v>
      </c>
      <c r="D47" s="143" t="s">
        <v>100</v>
      </c>
      <c r="E47" s="142">
        <v>4113</v>
      </c>
      <c r="F47" s="143" t="s">
        <v>489</v>
      </c>
      <c r="G47" s="144">
        <v>2.9631336405529956</v>
      </c>
      <c r="H47" s="145">
        <v>13.161741835147744</v>
      </c>
      <c r="I47" s="146">
        <v>8.526446345256609</v>
      </c>
      <c r="J47" s="147">
        <v>0.77054882729169472</v>
      </c>
      <c r="K47" s="148">
        <v>49</v>
      </c>
      <c r="M47" s="149">
        <f t="shared" si="0"/>
        <v>0.64782051282051278</v>
      </c>
      <c r="N47" s="138">
        <f t="shared" si="1"/>
        <v>8.526446345256609</v>
      </c>
      <c r="O47" s="149"/>
      <c r="V47" s="158">
        <f t="shared" si="2"/>
        <v>148.83045758547141</v>
      </c>
      <c r="W47" s="158">
        <f t="shared" si="3"/>
        <v>30.951343395675991</v>
      </c>
      <c r="X47" s="158">
        <f t="shared" si="4"/>
        <v>6.6997988735240321</v>
      </c>
      <c r="Y47" s="158">
        <f t="shared" si="5"/>
        <v>-0.13682568192641853</v>
      </c>
      <c r="Z47" s="158">
        <f t="shared" si="6"/>
        <v>-12.16771422207162</v>
      </c>
      <c r="AA47" s="158">
        <f t="shared" si="7"/>
        <v>-20.356149017672887</v>
      </c>
    </row>
    <row r="48" spans="1:27" ht="19.5" thickBot="1" x14ac:dyDescent="0.35">
      <c r="A48" s="142">
        <v>262</v>
      </c>
      <c r="B48" s="143" t="s">
        <v>475</v>
      </c>
      <c r="C48" s="142">
        <v>5101</v>
      </c>
      <c r="D48" s="143" t="s">
        <v>100</v>
      </c>
      <c r="E48" s="142">
        <v>4111</v>
      </c>
      <c r="F48" s="143" t="s">
        <v>490</v>
      </c>
      <c r="G48" s="144">
        <v>3.6627518924840063</v>
      </c>
      <c r="H48" s="145">
        <v>0.54603753098974972</v>
      </c>
      <c r="I48" s="146">
        <v>0.78083366931534204</v>
      </c>
      <c r="J48" s="147">
        <v>0.97898735371574752</v>
      </c>
      <c r="K48" s="148">
        <v>270</v>
      </c>
      <c r="M48" s="149">
        <f t="shared" si="0"/>
        <v>1.43</v>
      </c>
      <c r="N48" s="138">
        <f t="shared" si="1"/>
        <v>0.78083366931534204</v>
      </c>
      <c r="O48" s="149"/>
      <c r="V48" s="158">
        <f t="shared" si="2"/>
        <v>105.88724658218533</v>
      </c>
      <c r="W48" s="158">
        <f t="shared" si="3"/>
        <v>39.87693479239708</v>
      </c>
      <c r="X48" s="158">
        <f t="shared" si="4"/>
        <v>26.296479710984826</v>
      </c>
      <c r="Y48" s="158">
        <f t="shared" si="5"/>
        <v>22.46808549885667</v>
      </c>
      <c r="Z48" s="158">
        <f t="shared" si="6"/>
        <v>15.73099123833733</v>
      </c>
      <c r="AA48" s="158">
        <f t="shared" si="7"/>
        <v>11.145606137311665</v>
      </c>
    </row>
    <row r="49" spans="1:27" ht="19.5" thickBot="1" x14ac:dyDescent="0.35">
      <c r="A49" s="142">
        <v>262</v>
      </c>
      <c r="B49" s="143" t="s">
        <v>475</v>
      </c>
      <c r="C49" s="142">
        <v>5101</v>
      </c>
      <c r="D49" s="143" t="s">
        <v>100</v>
      </c>
      <c r="E49" s="142">
        <v>4104</v>
      </c>
      <c r="F49" s="143" t="s">
        <v>491</v>
      </c>
      <c r="G49" s="144">
        <v>4.5139963627053952</v>
      </c>
      <c r="H49" s="145">
        <v>-0.44306637385089304</v>
      </c>
      <c r="I49" s="146">
        <v>1.1076659346272327E-3</v>
      </c>
      <c r="J49" s="147">
        <v>0.99997019212490434</v>
      </c>
      <c r="K49" s="148">
        <v>285</v>
      </c>
      <c r="M49" s="149">
        <f t="shared" si="0"/>
        <v>-2.5000000000000001E-3</v>
      </c>
      <c r="N49" s="138">
        <f t="shared" si="1"/>
        <v>1.1076659346272327E-3</v>
      </c>
      <c r="O49" s="149"/>
      <c r="V49" s="158">
        <f t="shared" si="2"/>
        <v>-76243.594025508501</v>
      </c>
      <c r="W49" s="158">
        <f t="shared" si="3"/>
        <v>-29710.544343145433</v>
      </c>
      <c r="X49" s="158">
        <f t="shared" si="4"/>
        <v>-20137.191727801222</v>
      </c>
      <c r="Y49" s="158">
        <f t="shared" si="5"/>
        <v>-17438.418562724459</v>
      </c>
      <c r="Z49" s="158">
        <f t="shared" si="6"/>
        <v>-12689.197820700823</v>
      </c>
      <c r="AA49" s="158">
        <f t="shared" si="7"/>
        <v>-9456.7944744132965</v>
      </c>
    </row>
    <row r="50" spans="1:27" ht="19.5" thickBot="1" x14ac:dyDescent="0.35">
      <c r="A50" s="142">
        <v>262</v>
      </c>
      <c r="B50" s="143" t="s">
        <v>475</v>
      </c>
      <c r="C50" s="142">
        <v>5101</v>
      </c>
      <c r="D50" s="143" t="s">
        <v>100</v>
      </c>
      <c r="E50" s="142">
        <v>4008</v>
      </c>
      <c r="F50" s="143" t="s">
        <v>492</v>
      </c>
      <c r="G50" s="144">
        <v>2.2098362646270302</v>
      </c>
      <c r="H50" s="145">
        <v>3.6201777154517902</v>
      </c>
      <c r="I50" s="146">
        <v>2.1947327399926477</v>
      </c>
      <c r="J50" s="147">
        <v>0.94093858325247348</v>
      </c>
      <c r="K50" s="148">
        <v>239</v>
      </c>
      <c r="M50" s="149">
        <f t="shared" si="0"/>
        <v>0.60624999999999996</v>
      </c>
      <c r="N50" s="138">
        <f t="shared" si="1"/>
        <v>2.1947327399926477</v>
      </c>
      <c r="O50" s="149"/>
      <c r="V50" s="158">
        <f t="shared" si="2"/>
        <v>144.83206789710593</v>
      </c>
      <c r="W50" s="158">
        <f t="shared" si="3"/>
        <v>50.892476933255253</v>
      </c>
      <c r="X50" s="158">
        <f t="shared" si="4"/>
        <v>31.566066242855047</v>
      </c>
      <c r="Y50" s="158">
        <f t="shared" si="5"/>
        <v>26.117860097715646</v>
      </c>
      <c r="Z50" s="158">
        <f t="shared" si="6"/>
        <v>16.53026897811122</v>
      </c>
      <c r="AA50" s="158">
        <f t="shared" si="7"/>
        <v>10.004785472233849</v>
      </c>
    </row>
    <row r="51" spans="1:27" ht="19.5" thickBot="1" x14ac:dyDescent="0.35">
      <c r="A51" s="142">
        <v>262</v>
      </c>
      <c r="B51" s="143" t="s">
        <v>475</v>
      </c>
      <c r="C51" s="142">
        <v>5101</v>
      </c>
      <c r="D51" s="143" t="s">
        <v>100</v>
      </c>
      <c r="E51" s="142">
        <v>4007</v>
      </c>
      <c r="F51" s="143" t="s">
        <v>493</v>
      </c>
      <c r="G51" s="144">
        <v>7.7514398573821319</v>
      </c>
      <c r="H51" s="145">
        <v>13.674878725795729</v>
      </c>
      <c r="I51" s="146">
        <v>9.3266543158622852</v>
      </c>
      <c r="J51" s="147">
        <v>0.74901480833101131</v>
      </c>
      <c r="K51" s="148">
        <v>37</v>
      </c>
      <c r="M51" s="149">
        <f t="shared" si="0"/>
        <v>0.68202830188679242</v>
      </c>
      <c r="N51" s="138">
        <f t="shared" si="1"/>
        <v>9.3266543158622852</v>
      </c>
      <c r="O51" s="149"/>
      <c r="V51" s="158">
        <f t="shared" si="2"/>
        <v>359.47235642182778</v>
      </c>
      <c r="W51" s="158">
        <f t="shared" si="3"/>
        <v>66.571726918508006</v>
      </c>
      <c r="X51" s="158">
        <f t="shared" si="4"/>
        <v>6.3125986938999743</v>
      </c>
      <c r="Y51" s="158">
        <f t="shared" si="5"/>
        <v>-10.674733198882766</v>
      </c>
      <c r="Z51" s="158">
        <f t="shared" si="6"/>
        <v>-40.568534582723309</v>
      </c>
      <c r="AA51" s="158">
        <f t="shared" si="7"/>
        <v>-60.914782709570233</v>
      </c>
    </row>
    <row r="52" spans="1:27" ht="19.5" thickBot="1" x14ac:dyDescent="0.35">
      <c r="A52" s="142">
        <v>262</v>
      </c>
      <c r="B52" s="143" t="s">
        <v>475</v>
      </c>
      <c r="C52" s="142">
        <v>5101</v>
      </c>
      <c r="D52" s="143" t="s">
        <v>100</v>
      </c>
      <c r="E52" s="142">
        <v>4015</v>
      </c>
      <c r="F52" s="143" t="s">
        <v>106</v>
      </c>
      <c r="G52" s="144">
        <v>4.7798890689306095</v>
      </c>
      <c r="H52" s="145">
        <v>3.5565678941171242</v>
      </c>
      <c r="I52" s="146">
        <v>2.8557148090999265</v>
      </c>
      <c r="J52" s="147">
        <v>0.9231512068057548</v>
      </c>
      <c r="K52" s="148">
        <v>220</v>
      </c>
      <c r="M52" s="149">
        <f t="shared" si="0"/>
        <v>0.80294117647058838</v>
      </c>
      <c r="N52" s="138">
        <f t="shared" si="1"/>
        <v>2.8557148090999265</v>
      </c>
      <c r="O52" s="149"/>
      <c r="V52" s="158">
        <f t="shared" si="2"/>
        <v>232.06093573481149</v>
      </c>
      <c r="W52" s="158">
        <f t="shared" si="3"/>
        <v>78.643610122530546</v>
      </c>
      <c r="X52" s="158">
        <f t="shared" si="4"/>
        <v>47.080706650374992</v>
      </c>
      <c r="Y52" s="158">
        <f t="shared" si="5"/>
        <v>38.182975591557323</v>
      </c>
      <c r="Z52" s="158">
        <f t="shared" si="6"/>
        <v>22.525013133536927</v>
      </c>
      <c r="AA52" s="158">
        <f t="shared" si="7"/>
        <v>11.867927899005689</v>
      </c>
    </row>
    <row r="53" spans="1:27" ht="19.5" thickBot="1" x14ac:dyDescent="0.35">
      <c r="A53" s="142">
        <v>262</v>
      </c>
      <c r="B53" s="143" t="s">
        <v>475</v>
      </c>
      <c r="C53" s="142">
        <v>5101</v>
      </c>
      <c r="D53" s="143" t="s">
        <v>100</v>
      </c>
      <c r="E53" s="142">
        <v>4109</v>
      </c>
      <c r="F53" s="143" t="s">
        <v>494</v>
      </c>
      <c r="G53" s="144">
        <v>2.5187938061803754</v>
      </c>
      <c r="H53" s="145">
        <v>3.1761234208097404</v>
      </c>
      <c r="I53" s="146">
        <v>2.5825853565459203</v>
      </c>
      <c r="J53" s="147">
        <v>0.93050126457332161</v>
      </c>
      <c r="K53" s="148">
        <v>226</v>
      </c>
      <c r="M53" s="149">
        <f t="shared" si="0"/>
        <v>0.81312499999999999</v>
      </c>
      <c r="N53" s="138">
        <f t="shared" si="1"/>
        <v>2.5825853565459203</v>
      </c>
      <c r="O53" s="149"/>
      <c r="V53" s="158">
        <f t="shared" si="2"/>
        <v>121.71591832971437</v>
      </c>
      <c r="W53" s="158">
        <f t="shared" si="3"/>
        <v>41.884173234703916</v>
      </c>
      <c r="X53" s="158">
        <f t="shared" si="4"/>
        <v>25.46020251046232</v>
      </c>
      <c r="Y53" s="158">
        <f t="shared" si="5"/>
        <v>20.830207853883401</v>
      </c>
      <c r="Z53" s="158">
        <f t="shared" si="6"/>
        <v>12.682480974489371</v>
      </c>
      <c r="AA53" s="158">
        <f t="shared" si="7"/>
        <v>7.1369944493951412</v>
      </c>
    </row>
    <row r="54" spans="1:27" ht="19.5" thickBot="1" x14ac:dyDescent="0.35">
      <c r="A54" s="142">
        <v>262</v>
      </c>
      <c r="B54" s="143" t="s">
        <v>475</v>
      </c>
      <c r="C54" s="142">
        <v>5101</v>
      </c>
      <c r="D54" s="143" t="s">
        <v>100</v>
      </c>
      <c r="E54" s="142">
        <v>4129</v>
      </c>
      <c r="F54" s="143" t="s">
        <v>495</v>
      </c>
      <c r="G54" s="144">
        <v>2.5697043736581602</v>
      </c>
      <c r="H54" s="145">
        <v>12.063644486805016</v>
      </c>
      <c r="I54" s="146">
        <v>8.1468515268149346</v>
      </c>
      <c r="J54" s="147">
        <v>0.78076392426393948</v>
      </c>
      <c r="K54" s="148">
        <v>57</v>
      </c>
      <c r="M54" s="149">
        <f t="shared" si="0"/>
        <v>0.67532258064516115</v>
      </c>
      <c r="N54" s="138">
        <f t="shared" si="1"/>
        <v>8.1468515268149346</v>
      </c>
      <c r="O54" s="149"/>
      <c r="V54" s="158">
        <f t="shared" si="2"/>
        <v>125.45464337162258</v>
      </c>
      <c r="W54" s="158">
        <f t="shared" si="3"/>
        <v>27.390054387007886</v>
      </c>
      <c r="X54" s="158">
        <f t="shared" si="4"/>
        <v>7.2149982529943397</v>
      </c>
      <c r="Y54" s="158">
        <f t="shared" si="5"/>
        <v>1.5275549626339966</v>
      </c>
      <c r="Z54" s="158">
        <f t="shared" si="6"/>
        <v>-8.4810385691214663</v>
      </c>
      <c r="AA54" s="158">
        <f t="shared" si="7"/>
        <v>-15.293063737253156</v>
      </c>
    </row>
    <row r="55" spans="1:27" ht="19.5" thickBot="1" x14ac:dyDescent="0.35">
      <c r="A55" s="142">
        <v>262</v>
      </c>
      <c r="B55" s="143" t="s">
        <v>475</v>
      </c>
      <c r="C55" s="142">
        <v>5101</v>
      </c>
      <c r="D55" s="143" t="s">
        <v>100</v>
      </c>
      <c r="E55" s="142">
        <v>4116</v>
      </c>
      <c r="F55" s="143" t="s">
        <v>109</v>
      </c>
      <c r="G55" s="144">
        <v>5.2395012254440703</v>
      </c>
      <c r="H55" s="145">
        <v>4.0080150946467539</v>
      </c>
      <c r="I55" s="146">
        <v>2.5384095599429446</v>
      </c>
      <c r="J55" s="147">
        <v>0.93169005858262366</v>
      </c>
      <c r="K55" s="148">
        <v>231</v>
      </c>
      <c r="M55" s="149">
        <f t="shared" si="0"/>
        <v>0.63333333333333341</v>
      </c>
      <c r="N55" s="138">
        <f t="shared" si="1"/>
        <v>2.5384095599429446</v>
      </c>
      <c r="O55" s="149"/>
      <c r="V55" s="158">
        <f t="shared" si="2"/>
        <v>325.47989795194195</v>
      </c>
      <c r="W55" s="158">
        <f t="shared" si="3"/>
        <v>112.27463541322024</v>
      </c>
      <c r="X55" s="158">
        <f t="shared" si="4"/>
        <v>68.411420522668308</v>
      </c>
      <c r="Y55" s="158">
        <f t="shared" si="5"/>
        <v>56.046173776102023</v>
      </c>
      <c r="Z55" s="158">
        <f t="shared" si="6"/>
        <v>34.286180350584694</v>
      </c>
      <c r="AA55" s="158">
        <f t="shared" si="7"/>
        <v>19.475945285817772</v>
      </c>
    </row>
    <row r="56" spans="1:27" ht="19.5" thickBot="1" x14ac:dyDescent="0.35">
      <c r="A56" s="142">
        <v>262</v>
      </c>
      <c r="B56" s="143" t="s">
        <v>475</v>
      </c>
      <c r="C56" s="142">
        <v>5101</v>
      </c>
      <c r="D56" s="143" t="s">
        <v>100</v>
      </c>
      <c r="E56" s="142">
        <v>4126</v>
      </c>
      <c r="F56" s="143" t="s">
        <v>496</v>
      </c>
      <c r="G56" s="144">
        <v>2.6352440240385908</v>
      </c>
      <c r="H56" s="145">
        <v>11.76361646861514</v>
      </c>
      <c r="I56" s="146">
        <v>6.953815218947498</v>
      </c>
      <c r="J56" s="147">
        <v>0.81286916117498365</v>
      </c>
      <c r="K56" s="148">
        <v>81</v>
      </c>
      <c r="M56" s="149">
        <f t="shared" si="0"/>
        <v>0.59112903225806446</v>
      </c>
      <c r="N56" s="138">
        <f t="shared" si="1"/>
        <v>6.953815218947498</v>
      </c>
      <c r="O56" s="149"/>
      <c r="V56" s="158">
        <f t="shared" si="2"/>
        <v>153.02215183824904</v>
      </c>
      <c r="W56" s="158">
        <f t="shared" si="3"/>
        <v>38.133041135547899</v>
      </c>
      <c r="X56" s="158">
        <f t="shared" si="4"/>
        <v>14.496636989933773</v>
      </c>
      <c r="Y56" s="158">
        <f t="shared" si="5"/>
        <v>7.8334234021619435</v>
      </c>
      <c r="Z56" s="158">
        <f t="shared" si="6"/>
        <v>-3.8923016750990853</v>
      </c>
      <c r="AA56" s="158">
        <f t="shared" si="7"/>
        <v>-11.873036839082227</v>
      </c>
    </row>
    <row r="57" spans="1:27" ht="19.5" thickBot="1" x14ac:dyDescent="0.35">
      <c r="A57" s="142">
        <v>262</v>
      </c>
      <c r="B57" s="143" t="s">
        <v>475</v>
      </c>
      <c r="C57" s="142">
        <v>5101</v>
      </c>
      <c r="D57" s="143" t="s">
        <v>100</v>
      </c>
      <c r="E57" s="142">
        <v>4119</v>
      </c>
      <c r="F57" s="143" t="s">
        <v>497</v>
      </c>
      <c r="G57" s="144">
        <v>5.3559300765240208</v>
      </c>
      <c r="H57" s="145">
        <v>9.8955735498318553</v>
      </c>
      <c r="I57" s="146">
        <v>6.2342113363940683</v>
      </c>
      <c r="J57" s="147">
        <v>0.83223408157106282</v>
      </c>
      <c r="K57" s="148">
        <v>97</v>
      </c>
      <c r="M57" s="149">
        <f t="shared" si="0"/>
        <v>0.62999999999999989</v>
      </c>
      <c r="N57" s="138">
        <f t="shared" si="1"/>
        <v>6.2342113363940683</v>
      </c>
      <c r="O57" s="149"/>
      <c r="V57" s="158">
        <f t="shared" si="2"/>
        <v>298.76860254511746</v>
      </c>
      <c r="W57" s="158">
        <f t="shared" si="3"/>
        <v>79.672491355533651</v>
      </c>
      <c r="X57" s="158">
        <f t="shared" si="4"/>
        <v>34.597338461277161</v>
      </c>
      <c r="Y57" s="158">
        <f t="shared" si="5"/>
        <v>21.89044068674265</v>
      </c>
      <c r="Z57" s="158">
        <f t="shared" si="6"/>
        <v>-0.4707800555262926</v>
      </c>
      <c r="AA57" s="158">
        <f t="shared" si="7"/>
        <v>-15.690221029243933</v>
      </c>
    </row>
    <row r="58" spans="1:27" ht="19.5" thickBot="1" x14ac:dyDescent="0.35">
      <c r="A58" s="142">
        <v>262</v>
      </c>
      <c r="B58" s="143" t="s">
        <v>475</v>
      </c>
      <c r="C58" s="142">
        <v>5101</v>
      </c>
      <c r="D58" s="143" t="s">
        <v>100</v>
      </c>
      <c r="E58" s="142">
        <v>4127</v>
      </c>
      <c r="F58" s="143" t="s">
        <v>498</v>
      </c>
      <c r="G58" s="144">
        <v>1.3827908004778966</v>
      </c>
      <c r="H58" s="145">
        <v>7.2317519009701039</v>
      </c>
      <c r="I58" s="146">
        <v>5.3912710421732122</v>
      </c>
      <c r="J58" s="147">
        <v>0.85491804992086162</v>
      </c>
      <c r="K58" s="148">
        <v>122</v>
      </c>
      <c r="M58" s="149">
        <f t="shared" si="0"/>
        <v>0.74549999999999994</v>
      </c>
      <c r="N58" s="138">
        <f t="shared" si="1"/>
        <v>5.3912710421732122</v>
      </c>
      <c r="O58" s="149"/>
      <c r="V58" s="158">
        <f t="shared" si="2"/>
        <v>66.962002059598262</v>
      </c>
      <c r="W58" s="158">
        <f t="shared" si="3"/>
        <v>19.159662347613374</v>
      </c>
      <c r="X58" s="158">
        <f t="shared" si="4"/>
        <v>9.3251757402429298</v>
      </c>
      <c r="Y58" s="158">
        <f t="shared" si="5"/>
        <v>6.5527876736278925</v>
      </c>
      <c r="Z58" s="158">
        <f t="shared" si="6"/>
        <v>1.6740216175216389</v>
      </c>
      <c r="AA58" s="158">
        <f t="shared" si="7"/>
        <v>-1.6465525528826248</v>
      </c>
    </row>
    <row r="59" spans="1:27" ht="19.5" thickBot="1" x14ac:dyDescent="0.35">
      <c r="A59" s="142">
        <v>262</v>
      </c>
      <c r="B59" s="143" t="s">
        <v>475</v>
      </c>
      <c r="C59" s="142">
        <v>5101</v>
      </c>
      <c r="D59" s="143" t="s">
        <v>100</v>
      </c>
      <c r="E59" s="142">
        <v>4121</v>
      </c>
      <c r="F59" s="143" t="s">
        <v>499</v>
      </c>
      <c r="G59" s="144">
        <v>3.0026688585262442</v>
      </c>
      <c r="H59" s="145">
        <v>8.3259264267556912</v>
      </c>
      <c r="I59" s="146">
        <v>5.5567232972167471</v>
      </c>
      <c r="J59" s="147">
        <v>0.85046564238673195</v>
      </c>
      <c r="K59" s="148">
        <v>117</v>
      </c>
      <c r="M59" s="149">
        <f t="shared" si="0"/>
        <v>0.66739999999999988</v>
      </c>
      <c r="N59" s="138">
        <f t="shared" si="1"/>
        <v>5.5567232972167471</v>
      </c>
      <c r="O59" s="149"/>
      <c r="V59" s="158">
        <f t="shared" si="2"/>
        <v>161.57461158263806</v>
      </c>
      <c r="W59" s="158">
        <f t="shared" si="3"/>
        <v>45.627066576017342</v>
      </c>
      <c r="X59" s="158">
        <f t="shared" si="4"/>
        <v>21.772908277585689</v>
      </c>
      <c r="Y59" s="158">
        <f t="shared" si="5"/>
        <v>15.048308769142134</v>
      </c>
      <c r="Z59" s="158">
        <f t="shared" si="6"/>
        <v>3.2145585745815315</v>
      </c>
      <c r="AA59" s="158">
        <f t="shared" si="7"/>
        <v>-4.8397003882750766</v>
      </c>
    </row>
    <row r="60" spans="1:27" ht="19.5" thickBot="1" x14ac:dyDescent="0.35">
      <c r="A60" s="142">
        <v>262</v>
      </c>
      <c r="B60" s="143" t="s">
        <v>475</v>
      </c>
      <c r="C60" s="142">
        <v>5101</v>
      </c>
      <c r="D60" s="143" t="s">
        <v>100</v>
      </c>
      <c r="E60" s="142">
        <v>4101</v>
      </c>
      <c r="F60" s="143" t="s">
        <v>500</v>
      </c>
      <c r="G60" s="144">
        <v>8.0969419466873145</v>
      </c>
      <c r="H60" s="145">
        <v>2.4700683457638668</v>
      </c>
      <c r="I60" s="146">
        <v>4.4603259153631027</v>
      </c>
      <c r="J60" s="147">
        <v>0.87997027477799628</v>
      </c>
      <c r="K60" s="148">
        <v>155</v>
      </c>
      <c r="M60" s="149">
        <f t="shared" si="0"/>
        <v>1.8057500000000002</v>
      </c>
      <c r="N60" s="138">
        <f t="shared" si="1"/>
        <v>4.4603259153631027</v>
      </c>
      <c r="O60" s="149"/>
      <c r="V60" s="158">
        <f t="shared" si="2"/>
        <v>166.61976347760876</v>
      </c>
      <c r="W60" s="158">
        <f t="shared" si="3"/>
        <v>51.060777552531675</v>
      </c>
      <c r="X60" s="158">
        <f t="shared" si="4"/>
        <v>27.286558418304889</v>
      </c>
      <c r="Y60" s="158">
        <f t="shared" si="5"/>
        <v>20.584494136533024</v>
      </c>
      <c r="Z60" s="158">
        <f t="shared" si="6"/>
        <v>8.7904007635683659</v>
      </c>
      <c r="AA60" s="158">
        <f t="shared" si="7"/>
        <v>0.76313293247693315</v>
      </c>
    </row>
    <row r="61" spans="1:27" ht="19.5" thickBot="1" x14ac:dyDescent="0.35">
      <c r="A61" s="142">
        <v>262</v>
      </c>
      <c r="B61" s="143" t="s">
        <v>475</v>
      </c>
      <c r="C61" s="142">
        <v>5101</v>
      </c>
      <c r="D61" s="143" t="s">
        <v>100</v>
      </c>
      <c r="E61" s="142">
        <v>4110</v>
      </c>
      <c r="F61" s="143" t="s">
        <v>115</v>
      </c>
      <c r="G61" s="144">
        <v>1.8954203691045792</v>
      </c>
      <c r="H61" s="145">
        <v>6.3310494049765609</v>
      </c>
      <c r="I61" s="146">
        <v>4.7588388027407147</v>
      </c>
      <c r="J61" s="147">
        <v>0.87193713537808204</v>
      </c>
      <c r="K61" s="148">
        <v>146</v>
      </c>
      <c r="M61" s="149">
        <f t="shared" si="0"/>
        <v>0.75166666666666659</v>
      </c>
      <c r="N61" s="138">
        <f t="shared" si="1"/>
        <v>4.7588388027407147</v>
      </c>
      <c r="O61" s="149"/>
      <c r="V61" s="158">
        <f t="shared" si="2"/>
        <v>92.845430884026712</v>
      </c>
      <c r="W61" s="158">
        <f t="shared" si="3"/>
        <v>27.859316282558716</v>
      </c>
      <c r="X61" s="158">
        <f t="shared" si="4"/>
        <v>14.489571672485935</v>
      </c>
      <c r="Y61" s="158">
        <f t="shared" si="5"/>
        <v>10.720577734065467</v>
      </c>
      <c r="Z61" s="158">
        <f t="shared" si="6"/>
        <v>4.088014308380628</v>
      </c>
      <c r="AA61" s="158">
        <f t="shared" si="7"/>
        <v>-0.42622526400715138</v>
      </c>
    </row>
    <row r="62" spans="1:27" ht="19.5" thickBot="1" x14ac:dyDescent="0.35">
      <c r="A62" s="142">
        <v>262</v>
      </c>
      <c r="B62" s="143" t="s">
        <v>475</v>
      </c>
      <c r="C62" s="142">
        <v>5101</v>
      </c>
      <c r="D62" s="143" t="s">
        <v>100</v>
      </c>
      <c r="E62" s="142">
        <v>4107</v>
      </c>
      <c r="F62" s="143" t="s">
        <v>116</v>
      </c>
      <c r="G62" s="144">
        <v>2.1204174576225512</v>
      </c>
      <c r="H62" s="145">
        <v>9.4321049508922385</v>
      </c>
      <c r="I62" s="146">
        <v>6.2157571626379857</v>
      </c>
      <c r="J62" s="147">
        <v>0.83273069312976356</v>
      </c>
      <c r="K62" s="148">
        <v>99</v>
      </c>
      <c r="M62" s="149">
        <f t="shared" si="0"/>
        <v>0.65900000000000003</v>
      </c>
      <c r="N62" s="138">
        <f t="shared" si="1"/>
        <v>6.2157571626379857</v>
      </c>
      <c r="O62" s="149"/>
      <c r="V62" s="158">
        <f t="shared" si="2"/>
        <v>113.14507081573005</v>
      </c>
      <c r="W62" s="158">
        <f t="shared" si="3"/>
        <v>30.221828129725399</v>
      </c>
      <c r="X62" s="158">
        <f t="shared" si="4"/>
        <v>13.16183641072635</v>
      </c>
      <c r="Y62" s="158">
        <f t="shared" si="5"/>
        <v>8.3525444419053532</v>
      </c>
      <c r="Z62" s="158">
        <f t="shared" si="6"/>
        <v>-0.11070451444875323</v>
      </c>
      <c r="AA62" s="158">
        <f t="shared" si="7"/>
        <v>-5.8709409264810182</v>
      </c>
    </row>
    <row r="63" spans="1:27" ht="19.5" thickBot="1" x14ac:dyDescent="0.35">
      <c r="A63" s="142">
        <v>262</v>
      </c>
      <c r="B63" s="143" t="s">
        <v>475</v>
      </c>
      <c r="C63" s="142">
        <v>5101</v>
      </c>
      <c r="D63" s="143" t="s">
        <v>100</v>
      </c>
      <c r="E63" s="142">
        <v>4120</v>
      </c>
      <c r="F63" s="143" t="s">
        <v>501</v>
      </c>
      <c r="G63" s="144">
        <v>2.5505437581225676</v>
      </c>
      <c r="H63" s="145">
        <v>2.3524395458388629</v>
      </c>
      <c r="I63" s="146">
        <v>1.8035369851431282</v>
      </c>
      <c r="J63" s="147">
        <v>0.95146586754819518</v>
      </c>
      <c r="K63" s="148">
        <v>245</v>
      </c>
      <c r="M63" s="149">
        <f t="shared" si="0"/>
        <v>0.76666666666666661</v>
      </c>
      <c r="N63" s="138">
        <f t="shared" si="1"/>
        <v>1.8035369851431282</v>
      </c>
      <c r="O63" s="149"/>
      <c r="V63" s="158">
        <f t="shared" si="2"/>
        <v>133.66402057726373</v>
      </c>
      <c r="W63" s="158">
        <f t="shared" si="3"/>
        <v>47.927369110624085</v>
      </c>
      <c r="X63" s="158">
        <f t="shared" si="4"/>
        <v>30.288568255065627</v>
      </c>
      <c r="Y63" s="158">
        <f t="shared" si="5"/>
        <v>25.316107266131016</v>
      </c>
      <c r="Z63" s="158">
        <f t="shared" si="6"/>
        <v>16.565718321575208</v>
      </c>
      <c r="AA63" s="158">
        <f t="shared" si="7"/>
        <v>10.610049372473572</v>
      </c>
    </row>
    <row r="64" spans="1:27" ht="19.5" thickBot="1" x14ac:dyDescent="0.35">
      <c r="A64" s="142">
        <v>262</v>
      </c>
      <c r="B64" s="143" t="s">
        <v>475</v>
      </c>
      <c r="C64" s="142">
        <v>5006</v>
      </c>
      <c r="D64" s="143" t="s">
        <v>118</v>
      </c>
      <c r="E64" s="142">
        <v>4028</v>
      </c>
      <c r="F64" s="143" t="s">
        <v>502</v>
      </c>
      <c r="G64" s="144">
        <v>2.7952903573694758</v>
      </c>
      <c r="H64" s="145">
        <v>13.236549792565759</v>
      </c>
      <c r="I64" s="146">
        <v>8.9149951575875335</v>
      </c>
      <c r="J64" s="147">
        <v>0.76009277361660799</v>
      </c>
      <c r="K64" s="148">
        <v>42</v>
      </c>
      <c r="M64" s="149">
        <f t="shared" si="0"/>
        <v>0.67351351351351352</v>
      </c>
      <c r="N64" s="138">
        <f t="shared" si="1"/>
        <v>8.9149951575875335</v>
      </c>
      <c r="O64" s="149"/>
      <c r="V64" s="158">
        <f t="shared" si="2"/>
        <v>133.21168622221191</v>
      </c>
      <c r="W64" s="158">
        <f t="shared" si="3"/>
        <v>26.251799924726257</v>
      </c>
      <c r="X64" s="158">
        <f t="shared" si="4"/>
        <v>4.2466935710144753</v>
      </c>
      <c r="Y64" s="158">
        <f t="shared" si="5"/>
        <v>-1.9566494905240794</v>
      </c>
      <c r="Z64" s="158">
        <f t="shared" si="6"/>
        <v>-12.873108094376153</v>
      </c>
      <c r="AA64" s="158">
        <f t="shared" si="7"/>
        <v>-20.30304223251126</v>
      </c>
    </row>
    <row r="65" spans="1:27" ht="19.5" thickBot="1" x14ac:dyDescent="0.35">
      <c r="A65" s="142">
        <v>262</v>
      </c>
      <c r="B65" s="143" t="s">
        <v>475</v>
      </c>
      <c r="C65" s="142">
        <v>5006</v>
      </c>
      <c r="D65" s="143" t="s">
        <v>118</v>
      </c>
      <c r="E65" s="142">
        <v>4033</v>
      </c>
      <c r="F65" s="143" t="s">
        <v>503</v>
      </c>
      <c r="G65" s="144">
        <v>1.4210880737196536</v>
      </c>
      <c r="H65" s="145">
        <v>8.4442338387869054</v>
      </c>
      <c r="I65" s="146">
        <v>5.4887519952114889</v>
      </c>
      <c r="J65" s="147">
        <v>0.85229478600930275</v>
      </c>
      <c r="K65" s="148">
        <v>120</v>
      </c>
      <c r="M65" s="149">
        <f t="shared" si="0"/>
        <v>0.65</v>
      </c>
      <c r="N65" s="138">
        <f t="shared" si="1"/>
        <v>5.4887519952114889</v>
      </c>
      <c r="O65" s="149"/>
      <c r="V65" s="158">
        <f t="shared" si="2"/>
        <v>78.685114177022655</v>
      </c>
      <c r="W65" s="158">
        <f t="shared" si="3"/>
        <v>22.341077486236678</v>
      </c>
      <c r="X65" s="158">
        <f t="shared" si="4"/>
        <v>10.749287678889715</v>
      </c>
      <c r="Y65" s="158">
        <f t="shared" si="5"/>
        <v>7.4815075683841421</v>
      </c>
      <c r="Z65" s="158">
        <f t="shared" si="6"/>
        <v>1.7309653286683688</v>
      </c>
      <c r="AA65" s="158">
        <f t="shared" si="7"/>
        <v>-2.1829550781360316</v>
      </c>
    </row>
    <row r="66" spans="1:27" ht="19.5" thickBot="1" x14ac:dyDescent="0.35">
      <c r="A66" s="142">
        <v>262</v>
      </c>
      <c r="B66" s="143" t="s">
        <v>475</v>
      </c>
      <c r="C66" s="142">
        <v>5006</v>
      </c>
      <c r="D66" s="143" t="s">
        <v>118</v>
      </c>
      <c r="E66" s="142">
        <v>4037</v>
      </c>
      <c r="F66" s="143" t="s">
        <v>121</v>
      </c>
      <c r="G66" s="144">
        <v>4.3565891624630178</v>
      </c>
      <c r="H66" s="145">
        <v>17.444839796882075</v>
      </c>
      <c r="I66" s="146">
        <v>12.157446576866567</v>
      </c>
      <c r="J66" s="147">
        <v>0.67283669406393798</v>
      </c>
      <c r="K66" s="148">
        <v>14</v>
      </c>
      <c r="M66" s="149">
        <f t="shared" si="0"/>
        <v>0.69690789473684212</v>
      </c>
      <c r="N66" s="138">
        <f t="shared" si="1"/>
        <v>12.157446576866567</v>
      </c>
      <c r="O66" s="149"/>
      <c r="V66" s="158">
        <f t="shared" si="2"/>
        <v>177.6135114296878</v>
      </c>
      <c r="W66" s="158">
        <f t="shared" si="3"/>
        <v>16.507575378050227</v>
      </c>
      <c r="X66" s="158">
        <f t="shared" si="4"/>
        <v>-16.637123814790179</v>
      </c>
      <c r="Y66" s="158">
        <f t="shared" si="5"/>
        <v>-25.980770532953279</v>
      </c>
      <c r="Z66" s="158">
        <f t="shared" si="6"/>
        <v>-42.423442104715072</v>
      </c>
      <c r="AA66" s="158">
        <f t="shared" si="7"/>
        <v>-53.614614193259179</v>
      </c>
    </row>
    <row r="67" spans="1:27" ht="19.5" thickBot="1" x14ac:dyDescent="0.35">
      <c r="A67" s="142">
        <v>262</v>
      </c>
      <c r="B67" s="143" t="s">
        <v>475</v>
      </c>
      <c r="C67" s="142">
        <v>5006</v>
      </c>
      <c r="D67" s="143" t="s">
        <v>118</v>
      </c>
      <c r="E67" s="142">
        <v>4038</v>
      </c>
      <c r="F67" s="143" t="s">
        <v>122</v>
      </c>
      <c r="G67" s="144">
        <v>4.5469934366708564</v>
      </c>
      <c r="H67" s="145">
        <v>13.195532572382559</v>
      </c>
      <c r="I67" s="146">
        <v>8.5001222320430987</v>
      </c>
      <c r="J67" s="147">
        <v>0.77125722307614797</v>
      </c>
      <c r="K67" s="148">
        <v>50</v>
      </c>
      <c r="M67" s="149">
        <f t="shared" si="0"/>
        <v>0.64416666666666667</v>
      </c>
      <c r="N67" s="138">
        <f t="shared" si="1"/>
        <v>8.5001222320430987</v>
      </c>
      <c r="O67" s="149"/>
      <c r="V67" s="158">
        <f t="shared" si="2"/>
        <v>229.89018697057071</v>
      </c>
      <c r="W67" s="158">
        <f t="shared" si="3"/>
        <v>47.976071289385303</v>
      </c>
      <c r="X67" s="158">
        <f t="shared" si="4"/>
        <v>10.550456870982398</v>
      </c>
      <c r="Y67" s="158">
        <f t="shared" si="5"/>
        <v>0</v>
      </c>
      <c r="Z67" s="158">
        <f t="shared" si="6"/>
        <v>-18.566380182630212</v>
      </c>
      <c r="AA67" s="158">
        <f t="shared" si="7"/>
        <v>-31.2029857839964</v>
      </c>
    </row>
    <row r="68" spans="1:27" ht="19.5" thickBot="1" x14ac:dyDescent="0.35">
      <c r="A68" s="142">
        <v>262</v>
      </c>
      <c r="B68" s="143" t="s">
        <v>475</v>
      </c>
      <c r="C68" s="142">
        <v>5006</v>
      </c>
      <c r="D68" s="143" t="s">
        <v>118</v>
      </c>
      <c r="E68" s="142">
        <v>4039</v>
      </c>
      <c r="F68" s="143" t="s">
        <v>504</v>
      </c>
      <c r="G68" s="144">
        <v>1.5103209234800916</v>
      </c>
      <c r="H68" s="145">
        <v>17.214884330735899</v>
      </c>
      <c r="I68" s="146">
        <v>11.421413642507471</v>
      </c>
      <c r="J68" s="147">
        <v>0.6926437289178643</v>
      </c>
      <c r="K68" s="148">
        <v>21</v>
      </c>
      <c r="M68" s="149">
        <f t="shared" si="0"/>
        <v>0.66346153846153844</v>
      </c>
      <c r="N68" s="138">
        <f t="shared" si="1"/>
        <v>11.421413642507471</v>
      </c>
      <c r="O68" s="149"/>
      <c r="V68" s="158">
        <f t="shared" si="2"/>
        <v>66.582255624347155</v>
      </c>
      <c r="W68" s="158">
        <f t="shared" si="3"/>
        <v>7.9152654819600077</v>
      </c>
      <c r="X68" s="158">
        <f t="shared" si="4"/>
        <v>-4.1544309455850685</v>
      </c>
      <c r="Y68" s="158">
        <f t="shared" si="5"/>
        <v>-7.5569351818828885</v>
      </c>
      <c r="Z68" s="158">
        <f t="shared" si="6"/>
        <v>-13.54456093085512</v>
      </c>
      <c r="AA68" s="158">
        <f t="shared" si="7"/>
        <v>-17.619844552868511</v>
      </c>
    </row>
    <row r="69" spans="1:27" ht="19.5" thickBot="1" x14ac:dyDescent="0.35">
      <c r="A69" s="142">
        <v>262</v>
      </c>
      <c r="B69" s="143" t="s">
        <v>475</v>
      </c>
      <c r="C69" s="142">
        <v>5006</v>
      </c>
      <c r="D69" s="143" t="s">
        <v>118</v>
      </c>
      <c r="E69" s="142">
        <v>4027</v>
      </c>
      <c r="F69" s="143" t="s">
        <v>505</v>
      </c>
      <c r="G69" s="144">
        <v>3.0536943670474646</v>
      </c>
      <c r="H69" s="145">
        <v>18.010970774779281</v>
      </c>
      <c r="I69" s="146">
        <v>11.477900466472978</v>
      </c>
      <c r="J69" s="147">
        <v>0.69112363866260063</v>
      </c>
      <c r="K69" s="148">
        <v>20</v>
      </c>
      <c r="M69" s="149">
        <f t="shared" si="0"/>
        <v>0.63727272727272721</v>
      </c>
      <c r="N69" s="138">
        <f t="shared" si="1"/>
        <v>11.477900466472978</v>
      </c>
      <c r="O69" s="149"/>
      <c r="V69" s="158">
        <f t="shared" si="2"/>
        <v>139.84633602060751</v>
      </c>
      <c r="W69" s="158">
        <f t="shared" si="3"/>
        <v>16.353843796462122</v>
      </c>
      <c r="X69" s="158">
        <f t="shared" si="4"/>
        <v>-9.0525540536553155</v>
      </c>
      <c r="Y69" s="158">
        <f t="shared" si="5"/>
        <v>-16.214737198279362</v>
      </c>
      <c r="Z69" s="158">
        <f t="shared" si="6"/>
        <v>-28.818534060048258</v>
      </c>
      <c r="AA69" s="158">
        <f t="shared" si="7"/>
        <v>-37.396900357368544</v>
      </c>
    </row>
    <row r="70" spans="1:27" ht="19.5" thickBot="1" x14ac:dyDescent="0.35">
      <c r="A70" s="142">
        <v>262</v>
      </c>
      <c r="B70" s="143" t="s">
        <v>475</v>
      </c>
      <c r="C70" s="142">
        <v>5006</v>
      </c>
      <c r="D70" s="143" t="s">
        <v>118</v>
      </c>
      <c r="E70" s="142">
        <v>4029</v>
      </c>
      <c r="F70" s="143" t="s">
        <v>506</v>
      </c>
      <c r="G70" s="144">
        <v>2.1938047859956189</v>
      </c>
      <c r="H70" s="145">
        <v>15.954017523995818</v>
      </c>
      <c r="I70" s="146">
        <v>10.645887979226353</v>
      </c>
      <c r="J70" s="147">
        <v>0.7135135339573615</v>
      </c>
      <c r="K70" s="148">
        <v>24</v>
      </c>
      <c r="M70" s="149">
        <f t="shared" ref="M70:M133" si="8">IF(ISERROR(I70/H70),$O$3,(I70/H70))</f>
        <v>0.66728571428571437</v>
      </c>
      <c r="N70" s="138">
        <f t="shared" ref="N70:N133" si="9">I70</f>
        <v>10.645887979226353</v>
      </c>
      <c r="O70" s="149"/>
      <c r="V70" s="158">
        <f t="shared" ref="V70:V133" si="10">(((($O$5-N70))/M70)*G70)+((((($O$5-N70)/$T$2))*$T$3/M70)*G70)</f>
        <v>99.056613680530148</v>
      </c>
      <c r="W70" s="158">
        <f t="shared" ref="W70:W133" si="11">(((($P$5-N70))/M70)*G70)+((((($P$5-N70)/$T$2))*$T$3/M70)*G70)</f>
        <v>14.328707827036762</v>
      </c>
      <c r="X70" s="158">
        <f t="shared" ref="X70:X133" si="12">(((($Q$5-N70))/M70)*G70)+((((($Q$5-N70)/$T$2))*$T$3/M70)*G70)</f>
        <v>-3.1025614457058133</v>
      </c>
      <c r="Y70" s="158">
        <f t="shared" ref="Y70:Y133" si="13">(((($R$5-N70))/M70)*G70)+((((($R$5-N70)/$T$2))*$T$3/M70)*G70)</f>
        <v>-8.0165183045709067</v>
      </c>
      <c r="Z70" s="158">
        <f t="shared" ref="Z70:Z133" si="14">(((($S$5-N70))/M70)*G70)+((((($S$5-N70)/$T$2))*$T$3/M70)*G70)</f>
        <v>-16.663953421211257</v>
      </c>
      <c r="AA70" s="158">
        <f t="shared" ref="AA70:AA133" si="15">(((($T$5-N70))/M70)*G70)+((((($T$5-N70)/$T$2))*$T$3/M70)*G70)</f>
        <v>-22.549550180380269</v>
      </c>
    </row>
    <row r="71" spans="1:27" ht="19.5" thickBot="1" x14ac:dyDescent="0.35">
      <c r="A71" s="142">
        <v>262</v>
      </c>
      <c r="B71" s="143" t="s">
        <v>475</v>
      </c>
      <c r="C71" s="142">
        <v>5006</v>
      </c>
      <c r="D71" s="143" t="s">
        <v>118</v>
      </c>
      <c r="E71" s="142">
        <v>4019</v>
      </c>
      <c r="F71" s="143" t="s">
        <v>126</v>
      </c>
      <c r="G71" s="144">
        <v>4.5919046557416676</v>
      </c>
      <c r="H71" s="145">
        <v>11.759826052241522</v>
      </c>
      <c r="I71" s="146">
        <v>7.1310278533453442</v>
      </c>
      <c r="J71" s="147">
        <v>0.8081002756235095</v>
      </c>
      <c r="K71" s="148">
        <v>78</v>
      </c>
      <c r="M71" s="149">
        <f t="shared" si="8"/>
        <v>0.60638888888888887</v>
      </c>
      <c r="N71" s="138">
        <f t="shared" si="9"/>
        <v>7.1310278533453442</v>
      </c>
      <c r="O71" s="149"/>
      <c r="V71" s="158">
        <f t="shared" si="10"/>
        <v>258.40564190403984</v>
      </c>
      <c r="W71" s="158">
        <f t="shared" si="11"/>
        <v>63.249624322530948</v>
      </c>
      <c r="X71" s="158">
        <f t="shared" si="12"/>
        <v>23.09972260606941</v>
      </c>
      <c r="Y71" s="158">
        <f t="shared" si="13"/>
        <v>11.781276322247882</v>
      </c>
      <c r="Z71" s="158">
        <f t="shared" si="14"/>
        <v>-8.1365887855729202</v>
      </c>
      <c r="AA71" s="158">
        <f t="shared" si="15"/>
        <v>-21.69303884815524</v>
      </c>
    </row>
    <row r="72" spans="1:27" ht="19.5" thickBot="1" x14ac:dyDescent="0.35">
      <c r="A72" s="142">
        <v>262</v>
      </c>
      <c r="B72" s="143" t="s">
        <v>475</v>
      </c>
      <c r="C72" s="142">
        <v>5006</v>
      </c>
      <c r="D72" s="143" t="s">
        <v>118</v>
      </c>
      <c r="E72" s="142">
        <v>4024</v>
      </c>
      <c r="F72" s="143" t="s">
        <v>507</v>
      </c>
      <c r="G72" s="144">
        <v>2.7606706159337735</v>
      </c>
      <c r="H72" s="145">
        <v>13.040309768292769</v>
      </c>
      <c r="I72" s="146">
        <v>9.5484045970054829</v>
      </c>
      <c r="J72" s="147">
        <v>0.74304739119186414</v>
      </c>
      <c r="K72" s="148">
        <v>33</v>
      </c>
      <c r="M72" s="149">
        <f t="shared" si="8"/>
        <v>0.73222222222222222</v>
      </c>
      <c r="N72" s="138">
        <f t="shared" si="9"/>
        <v>9.5484045970054829</v>
      </c>
      <c r="O72" s="149"/>
      <c r="V72" s="158">
        <f t="shared" si="10"/>
        <v>118.29960947673528</v>
      </c>
      <c r="W72" s="158">
        <f t="shared" si="11"/>
        <v>21.134127852147852</v>
      </c>
      <c r="X72" s="158">
        <f t="shared" si="12"/>
        <v>1.1440471679564659</v>
      </c>
      <c r="Y72" s="158">
        <f t="shared" si="13"/>
        <v>-4.4912506723994623</v>
      </c>
      <c r="Z72" s="158">
        <f t="shared" si="14"/>
        <v>-14.408080192281748</v>
      </c>
      <c r="AA72" s="158">
        <f t="shared" si="15"/>
        <v>-21.157649156509713</v>
      </c>
    </row>
    <row r="73" spans="1:27" ht="19.5" thickBot="1" x14ac:dyDescent="0.35">
      <c r="A73" s="142">
        <v>262</v>
      </c>
      <c r="B73" s="143" t="s">
        <v>475</v>
      </c>
      <c r="C73" s="142">
        <v>5006</v>
      </c>
      <c r="D73" s="143" t="s">
        <v>118</v>
      </c>
      <c r="E73" s="142">
        <v>4047</v>
      </c>
      <c r="F73" s="143" t="s">
        <v>128</v>
      </c>
      <c r="G73" s="144">
        <v>5.5965996495066284</v>
      </c>
      <c r="H73" s="145">
        <v>22.692350347267695</v>
      </c>
      <c r="I73" s="146">
        <v>15.140443359651403</v>
      </c>
      <c r="J73" s="147">
        <v>0.59256267575901389</v>
      </c>
      <c r="K73" s="148">
        <v>8</v>
      </c>
      <c r="M73" s="149">
        <f t="shared" si="8"/>
        <v>0.66720472440944889</v>
      </c>
      <c r="N73" s="138">
        <f t="shared" si="9"/>
        <v>15.140443359651403</v>
      </c>
      <c r="O73" s="149"/>
      <c r="V73" s="158">
        <f t="shared" si="10"/>
        <v>209.89134497721366</v>
      </c>
      <c r="W73" s="158">
        <f t="shared" si="11"/>
        <v>-6.2836453573964111</v>
      </c>
      <c r="X73" s="158">
        <f t="shared" si="12"/>
        <v>-50.75782925934336</v>
      </c>
      <c r="Y73" s="158">
        <f t="shared" si="13"/>
        <v>-63.295311046119451</v>
      </c>
      <c r="Z73" s="158">
        <f t="shared" si="14"/>
        <v>-85.358398572338757</v>
      </c>
      <c r="AA73" s="158">
        <f t="shared" si="15"/>
        <v>-100.37492482434828</v>
      </c>
    </row>
    <row r="74" spans="1:27" ht="19.5" thickBot="1" x14ac:dyDescent="0.35">
      <c r="A74" s="142">
        <v>262</v>
      </c>
      <c r="B74" s="143" t="s">
        <v>475</v>
      </c>
      <c r="C74" s="142">
        <v>5006</v>
      </c>
      <c r="D74" s="143" t="s">
        <v>118</v>
      </c>
      <c r="E74" s="142">
        <v>4026</v>
      </c>
      <c r="F74" s="143" t="s">
        <v>129</v>
      </c>
      <c r="G74" s="144">
        <v>4.2868855299321398</v>
      </c>
      <c r="H74" s="145">
        <v>7.2313570734627763</v>
      </c>
      <c r="I74" s="146">
        <v>4.4951048646976677</v>
      </c>
      <c r="J74" s="147">
        <v>0.87903435488977477</v>
      </c>
      <c r="K74" s="148">
        <v>154</v>
      </c>
      <c r="M74" s="149">
        <f t="shared" si="8"/>
        <v>0.62161290322580642</v>
      </c>
      <c r="N74" s="138">
        <f t="shared" si="9"/>
        <v>4.4951048646976677</v>
      </c>
      <c r="O74" s="149"/>
      <c r="V74" s="158">
        <f t="shared" si="10"/>
        <v>255.98989637204681</v>
      </c>
      <c r="W74" s="158">
        <f t="shared" si="11"/>
        <v>78.259304863472295</v>
      </c>
      <c r="X74" s="158">
        <f t="shared" si="12"/>
        <v>41.694376610119953</v>
      </c>
      <c r="Y74" s="158">
        <f t="shared" si="13"/>
        <v>31.386551220408627</v>
      </c>
      <c r="Z74" s="158">
        <f t="shared" si="14"/>
        <v>13.247146701547374</v>
      </c>
      <c r="AA74" s="158">
        <f t="shared" si="15"/>
        <v>0.90114826277056881</v>
      </c>
    </row>
    <row r="75" spans="1:27" ht="19.5" thickBot="1" x14ac:dyDescent="0.35">
      <c r="A75" s="142">
        <v>262</v>
      </c>
      <c r="B75" s="143" t="s">
        <v>475</v>
      </c>
      <c r="C75" s="142">
        <v>5006</v>
      </c>
      <c r="D75" s="143" t="s">
        <v>118</v>
      </c>
      <c r="E75" s="142">
        <v>4045</v>
      </c>
      <c r="F75" s="143" t="s">
        <v>508</v>
      </c>
      <c r="G75" s="144">
        <v>5.9599043153562459</v>
      </c>
      <c r="H75" s="145">
        <v>19.798975580188774</v>
      </c>
      <c r="I75" s="146">
        <v>11.511090844736025</v>
      </c>
      <c r="J75" s="147">
        <v>0.69023046806060351</v>
      </c>
      <c r="K75" s="148">
        <v>19</v>
      </c>
      <c r="M75" s="149">
        <f t="shared" si="8"/>
        <v>0.58139830508474577</v>
      </c>
      <c r="N75" s="138">
        <f t="shared" si="9"/>
        <v>11.511090844736025</v>
      </c>
      <c r="O75" s="149"/>
      <c r="V75" s="158">
        <f t="shared" si="10"/>
        <v>298.78222808109257</v>
      </c>
      <c r="W75" s="158">
        <f t="shared" si="11"/>
        <v>34.598632877220567</v>
      </c>
      <c r="X75" s="158">
        <f t="shared" si="12"/>
        <v>-19.752473042979002</v>
      </c>
      <c r="Y75" s="158">
        <f t="shared" si="13"/>
        <v>-35.074305638445907</v>
      </c>
      <c r="Z75" s="158">
        <f t="shared" si="14"/>
        <v>-62.037210898449686</v>
      </c>
      <c r="AA75" s="158">
        <f t="shared" si="15"/>
        <v>-80.388639463745903</v>
      </c>
    </row>
    <row r="76" spans="1:27" ht="19.5" thickBot="1" x14ac:dyDescent="0.35">
      <c r="A76" s="142">
        <v>262</v>
      </c>
      <c r="B76" s="143" t="s">
        <v>475</v>
      </c>
      <c r="C76" s="142">
        <v>5006</v>
      </c>
      <c r="D76" s="143" t="s">
        <v>118</v>
      </c>
      <c r="E76" s="142">
        <v>4043</v>
      </c>
      <c r="F76" s="143" t="s">
        <v>131</v>
      </c>
      <c r="G76" s="144">
        <v>8.4737407849749893</v>
      </c>
      <c r="H76" s="145">
        <v>15.459524113869463</v>
      </c>
      <c r="I76" s="146">
        <v>9.8368597901648034</v>
      </c>
      <c r="J76" s="147">
        <v>0.73528490965334758</v>
      </c>
      <c r="K76" s="148">
        <v>29</v>
      </c>
      <c r="M76" s="149">
        <f t="shared" si="8"/>
        <v>0.63629770992366419</v>
      </c>
      <c r="N76" s="138">
        <f t="shared" si="9"/>
        <v>9.8368597901648034</v>
      </c>
      <c r="O76" s="149"/>
      <c r="V76" s="158">
        <f t="shared" si="10"/>
        <v>413.49053909608114</v>
      </c>
      <c r="W76" s="158">
        <f t="shared" si="11"/>
        <v>70.284331334047678</v>
      </c>
      <c r="X76" s="158">
        <f t="shared" si="12"/>
        <v>-0.32428059035732892</v>
      </c>
      <c r="Y76" s="158">
        <f t="shared" si="13"/>
        <v>-20.229180654257437</v>
      </c>
      <c r="Z76" s="158">
        <f t="shared" si="14"/>
        <v>-55.257231723785978</v>
      </c>
      <c r="AA76" s="158">
        <f t="shared" si="15"/>
        <v>-79.09794068245813</v>
      </c>
    </row>
    <row r="77" spans="1:27" ht="19.5" thickBot="1" x14ac:dyDescent="0.35">
      <c r="A77" s="142">
        <v>262</v>
      </c>
      <c r="B77" s="143" t="s">
        <v>475</v>
      </c>
      <c r="C77" s="142">
        <v>5006</v>
      </c>
      <c r="D77" s="143" t="s">
        <v>118</v>
      </c>
      <c r="E77" s="142">
        <v>4048</v>
      </c>
      <c r="F77" s="143" t="s">
        <v>509</v>
      </c>
      <c r="G77" s="144">
        <v>2.7902579681527038</v>
      </c>
      <c r="H77" s="145">
        <v>10.393304250359156</v>
      </c>
      <c r="I77" s="146">
        <v>7.2233464539996142</v>
      </c>
      <c r="J77" s="147">
        <v>0.80561593334008019</v>
      </c>
      <c r="K77" s="148">
        <v>76</v>
      </c>
      <c r="M77" s="149">
        <f t="shared" si="8"/>
        <v>0.69500000000000006</v>
      </c>
      <c r="N77" s="138">
        <f t="shared" si="9"/>
        <v>7.2233464539996142</v>
      </c>
      <c r="O77" s="149"/>
      <c r="V77" s="158">
        <f t="shared" si="10"/>
        <v>136.57861650054591</v>
      </c>
      <c r="W77" s="158">
        <f t="shared" si="11"/>
        <v>33.112089276936025</v>
      </c>
      <c r="X77" s="158">
        <f t="shared" si="12"/>
        <v>11.825679816174723</v>
      </c>
      <c r="Y77" s="158">
        <f t="shared" si="13"/>
        <v>5.8249407917432965</v>
      </c>
      <c r="Z77" s="158">
        <f t="shared" si="14"/>
        <v>-4.7349812539799565</v>
      </c>
      <c r="AA77" s="158">
        <f t="shared" si="15"/>
        <v>-11.922250326376636</v>
      </c>
    </row>
    <row r="78" spans="1:27" ht="19.5" thickBot="1" x14ac:dyDescent="0.35">
      <c r="A78" s="142">
        <v>262</v>
      </c>
      <c r="B78" s="143" t="s">
        <v>475</v>
      </c>
      <c r="C78" s="142">
        <v>5006</v>
      </c>
      <c r="D78" s="143" t="s">
        <v>118</v>
      </c>
      <c r="E78" s="142">
        <v>4010</v>
      </c>
      <c r="F78" s="143" t="s">
        <v>133</v>
      </c>
      <c r="G78" s="144">
        <v>2.4499054331821712</v>
      </c>
      <c r="H78" s="145">
        <v>33.470679679864446</v>
      </c>
      <c r="I78" s="146">
        <v>22.431478070816471</v>
      </c>
      <c r="J78" s="147">
        <v>0.39635708236259676</v>
      </c>
      <c r="K78" s="148">
        <v>2</v>
      </c>
      <c r="M78" s="149">
        <f t="shared" si="8"/>
        <v>0.67018292682926828</v>
      </c>
      <c r="N78" s="138">
        <f t="shared" si="9"/>
        <v>22.431478070816471</v>
      </c>
      <c r="O78" s="149"/>
      <c r="V78" s="158">
        <f t="shared" si="10"/>
        <v>61.183975666177773</v>
      </c>
      <c r="W78" s="158">
        <f t="shared" si="11"/>
        <v>-33.025867572625621</v>
      </c>
      <c r="X78" s="158">
        <f t="shared" si="12"/>
        <v>-52.407877892555412</v>
      </c>
      <c r="Y78" s="158">
        <f t="shared" si="13"/>
        <v>-57.871757834972712</v>
      </c>
      <c r="Z78" s="158">
        <f t="shared" si="14"/>
        <v>-67.486931236816218</v>
      </c>
      <c r="AA78" s="158">
        <f t="shared" si="15"/>
        <v>-74.031187730147934</v>
      </c>
    </row>
    <row r="79" spans="1:27" ht="19.5" thickBot="1" x14ac:dyDescent="0.35">
      <c r="A79" s="142">
        <v>262</v>
      </c>
      <c r="B79" s="143" t="s">
        <v>475</v>
      </c>
      <c r="C79" s="142">
        <v>5006</v>
      </c>
      <c r="D79" s="143" t="s">
        <v>118</v>
      </c>
      <c r="E79" s="142">
        <v>4054</v>
      </c>
      <c r="F79" s="143" t="s">
        <v>510</v>
      </c>
      <c r="G79" s="144">
        <v>2.6774806508153159</v>
      </c>
      <c r="H79" s="145">
        <v>7.0962230835223163</v>
      </c>
      <c r="I79" s="146">
        <v>4.450078844219389</v>
      </c>
      <c r="J79" s="147">
        <v>0.88024602887243886</v>
      </c>
      <c r="K79" s="148">
        <v>156</v>
      </c>
      <c r="M79" s="149">
        <f t="shared" si="8"/>
        <v>0.62710526315789472</v>
      </c>
      <c r="N79" s="138">
        <f t="shared" si="9"/>
        <v>4.450078844219389</v>
      </c>
      <c r="O79" s="149"/>
      <c r="V79" s="158">
        <f t="shared" si="10"/>
        <v>158.70297918366515</v>
      </c>
      <c r="W79" s="158">
        <f t="shared" si="11"/>
        <v>48.669152855615053</v>
      </c>
      <c r="X79" s="158">
        <f t="shared" si="12"/>
        <v>26.031637664917685</v>
      </c>
      <c r="Y79" s="158">
        <f t="shared" si="13"/>
        <v>19.650015575415765</v>
      </c>
      <c r="Z79" s="158">
        <f t="shared" si="14"/>
        <v>8.4198268409888417</v>
      </c>
      <c r="AA79" s="158">
        <f t="shared" si="15"/>
        <v>0.77636244621015216</v>
      </c>
    </row>
    <row r="80" spans="1:27" ht="19.5" thickBot="1" x14ac:dyDescent="0.35">
      <c r="A80" s="142">
        <v>262</v>
      </c>
      <c r="B80" s="143" t="s">
        <v>475</v>
      </c>
      <c r="C80" s="142">
        <v>5006</v>
      </c>
      <c r="D80" s="143" t="s">
        <v>118</v>
      </c>
      <c r="E80" s="142">
        <v>4006</v>
      </c>
      <c r="F80" s="143" t="s">
        <v>135</v>
      </c>
      <c r="G80" s="144">
        <v>5.5613445738930185</v>
      </c>
      <c r="H80" s="145">
        <v>11.148383125018118</v>
      </c>
      <c r="I80" s="146">
        <v>6.7618539905855846</v>
      </c>
      <c r="J80" s="147">
        <v>0.81803493917658576</v>
      </c>
      <c r="K80" s="148">
        <v>84</v>
      </c>
      <c r="M80" s="149">
        <f t="shared" si="8"/>
        <v>0.60653225806451605</v>
      </c>
      <c r="N80" s="138">
        <f t="shared" si="9"/>
        <v>6.7618539905855846</v>
      </c>
      <c r="O80" s="149"/>
      <c r="V80" s="158">
        <f t="shared" si="10"/>
        <v>316.73267134262437</v>
      </c>
      <c r="W80" s="158">
        <f t="shared" si="11"/>
        <v>80.431311506074607</v>
      </c>
      <c r="X80" s="158">
        <f t="shared" si="12"/>
        <v>31.816482763009351</v>
      </c>
      <c r="Y80" s="158">
        <f t="shared" si="13"/>
        <v>18.111733705056718</v>
      </c>
      <c r="Z80" s="158">
        <f t="shared" si="14"/>
        <v>-6.0054760451025633</v>
      </c>
      <c r="AA80" s="158">
        <f t="shared" si="15"/>
        <v>-22.420074088468287</v>
      </c>
    </row>
    <row r="81" spans="1:27" ht="19.5" thickBot="1" x14ac:dyDescent="0.35">
      <c r="A81" s="142">
        <v>262</v>
      </c>
      <c r="B81" s="143" t="s">
        <v>475</v>
      </c>
      <c r="C81" s="142">
        <v>5006</v>
      </c>
      <c r="D81" s="143" t="s">
        <v>118</v>
      </c>
      <c r="E81" s="142">
        <v>4020</v>
      </c>
      <c r="F81" s="143" t="s">
        <v>136</v>
      </c>
      <c r="G81" s="144">
        <v>4.68169107143878</v>
      </c>
      <c r="H81" s="145">
        <v>8.9711173503578774</v>
      </c>
      <c r="I81" s="146">
        <v>6.1462833751559023</v>
      </c>
      <c r="J81" s="147">
        <v>0.83460026942975629</v>
      </c>
      <c r="K81" s="148">
        <v>101</v>
      </c>
      <c r="M81" s="149">
        <f t="shared" si="8"/>
        <v>0.68511904761904752</v>
      </c>
      <c r="N81" s="138">
        <f t="shared" si="9"/>
        <v>6.1462833751559023</v>
      </c>
      <c r="O81" s="149"/>
      <c r="V81" s="158">
        <f t="shared" si="10"/>
        <v>240.8298643534518</v>
      </c>
      <c r="W81" s="158">
        <f t="shared" si="11"/>
        <v>64.722697265761639</v>
      </c>
      <c r="X81" s="158">
        <f t="shared" si="12"/>
        <v>28.491759896986483</v>
      </c>
      <c r="Y81" s="158">
        <f t="shared" si="13"/>
        <v>18.278088109768859</v>
      </c>
      <c r="Z81" s="158">
        <f t="shared" si="14"/>
        <v>0.30437230001651422</v>
      </c>
      <c r="AA81" s="158">
        <f t="shared" si="15"/>
        <v>-11.928855482928974</v>
      </c>
    </row>
    <row r="82" spans="1:27" ht="19.5" thickBot="1" x14ac:dyDescent="0.35">
      <c r="A82" s="142">
        <v>262</v>
      </c>
      <c r="B82" s="143" t="s">
        <v>475</v>
      </c>
      <c r="C82" s="142">
        <v>5006</v>
      </c>
      <c r="D82" s="143" t="s">
        <v>118</v>
      </c>
      <c r="E82" s="142">
        <v>4012</v>
      </c>
      <c r="F82" s="143" t="s">
        <v>511</v>
      </c>
      <c r="G82" s="144">
        <v>2.8572871572871579</v>
      </c>
      <c r="H82" s="145">
        <v>28.348568254128573</v>
      </c>
      <c r="I82" s="146">
        <v>18.790550982273619</v>
      </c>
      <c r="J82" s="147">
        <v>0.49433635255132519</v>
      </c>
      <c r="K82" s="148">
        <v>5</v>
      </c>
      <c r="M82" s="149">
        <f t="shared" si="8"/>
        <v>0.66283950617283949</v>
      </c>
      <c r="N82" s="138">
        <f t="shared" si="9"/>
        <v>18.790550982273619</v>
      </c>
      <c r="O82" s="149"/>
      <c r="V82" s="158">
        <f t="shared" si="10"/>
        <v>89.983558237785374</v>
      </c>
      <c r="W82" s="158">
        <f t="shared" si="11"/>
        <v>-21.109219065648336</v>
      </c>
      <c r="X82" s="158">
        <f t="shared" si="12"/>
        <v>-43.964594705186059</v>
      </c>
      <c r="Y82" s="158">
        <f t="shared" si="13"/>
        <v>-50.407632680708879</v>
      </c>
      <c r="Z82" s="158">
        <f t="shared" si="14"/>
        <v>-61.745899264565551</v>
      </c>
      <c r="AA82" s="158">
        <f t="shared" si="15"/>
        <v>-69.462923348634973</v>
      </c>
    </row>
    <row r="83" spans="1:27" ht="19.5" thickBot="1" x14ac:dyDescent="0.35">
      <c r="A83" s="142">
        <v>262</v>
      </c>
      <c r="B83" s="143" t="s">
        <v>475</v>
      </c>
      <c r="C83" s="142">
        <v>5006</v>
      </c>
      <c r="D83" s="143" t="s">
        <v>118</v>
      </c>
      <c r="E83" s="142">
        <v>4023</v>
      </c>
      <c r="F83" s="143" t="s">
        <v>138</v>
      </c>
      <c r="G83" s="144">
        <v>3.2583336914296166</v>
      </c>
      <c r="H83" s="145">
        <v>2.4552426969166392</v>
      </c>
      <c r="I83" s="146">
        <v>1.6480816603052941</v>
      </c>
      <c r="J83" s="147">
        <v>0.95564925241258647</v>
      </c>
      <c r="K83" s="148">
        <v>251</v>
      </c>
      <c r="M83" s="149">
        <f t="shared" si="8"/>
        <v>0.67125000000000001</v>
      </c>
      <c r="N83" s="138">
        <f t="shared" si="9"/>
        <v>1.6480816603052941</v>
      </c>
      <c r="O83" s="149"/>
      <c r="V83" s="158">
        <f t="shared" si="10"/>
        <v>195.88667495074151</v>
      </c>
      <c r="W83" s="158">
        <f t="shared" si="11"/>
        <v>70.788325253864954</v>
      </c>
      <c r="X83" s="158">
        <f t="shared" si="12"/>
        <v>45.05155060830041</v>
      </c>
      <c r="Y83" s="158">
        <f t="shared" si="13"/>
        <v>37.796232689920338</v>
      </c>
      <c r="Z83" s="158">
        <f t="shared" si="14"/>
        <v>25.028540023550452</v>
      </c>
      <c r="AA83" s="158">
        <f t="shared" si="15"/>
        <v>16.338623352808483</v>
      </c>
    </row>
    <row r="84" spans="1:27" ht="19.5" thickBot="1" x14ac:dyDescent="0.35">
      <c r="A84" s="142">
        <v>264</v>
      </c>
      <c r="B84" s="143" t="s">
        <v>512</v>
      </c>
      <c r="C84" s="142">
        <v>5130</v>
      </c>
      <c r="D84" s="143" t="s">
        <v>140</v>
      </c>
      <c r="E84" s="142">
        <v>4132</v>
      </c>
      <c r="F84" s="143" t="s">
        <v>141</v>
      </c>
      <c r="G84" s="144">
        <v>3.7189131555400916</v>
      </c>
      <c r="H84" s="145">
        <v>8.6046644978330225</v>
      </c>
      <c r="I84" s="146">
        <v>7.2104399534185148</v>
      </c>
      <c r="J84" s="147">
        <v>0.80596325408473501</v>
      </c>
      <c r="K84" s="148">
        <v>77</v>
      </c>
      <c r="M84" s="149">
        <f t="shared" si="8"/>
        <v>0.83796874999999993</v>
      </c>
      <c r="N84" s="138">
        <f t="shared" si="9"/>
        <v>7.2104399534185148</v>
      </c>
      <c r="O84" s="149"/>
      <c r="V84" s="158">
        <f t="shared" si="10"/>
        <v>151.0422912719271</v>
      </c>
      <c r="W84" s="158">
        <f t="shared" si="11"/>
        <v>36.667968927209174</v>
      </c>
      <c r="X84" s="158">
        <f t="shared" si="12"/>
        <v>13.137473388636433</v>
      </c>
      <c r="Y84" s="158">
        <f t="shared" si="13"/>
        <v>6.504115935712897</v>
      </c>
      <c r="Z84" s="158">
        <f t="shared" si="14"/>
        <v>-5.1690692035003396</v>
      </c>
      <c r="AA84" s="158">
        <f t="shared" si="15"/>
        <v>-13.11404475958472</v>
      </c>
    </row>
    <row r="85" spans="1:27" ht="19.5" thickBot="1" x14ac:dyDescent="0.35">
      <c r="A85" s="142">
        <v>264</v>
      </c>
      <c r="B85" s="143" t="s">
        <v>512</v>
      </c>
      <c r="C85" s="142">
        <v>5130</v>
      </c>
      <c r="D85" s="143" t="s">
        <v>140</v>
      </c>
      <c r="E85" s="142">
        <v>4130</v>
      </c>
      <c r="F85" s="143" t="s">
        <v>142</v>
      </c>
      <c r="G85" s="144">
        <v>8.0608712013089097</v>
      </c>
      <c r="H85" s="145">
        <v>7.0711959757829206</v>
      </c>
      <c r="I85" s="146">
        <v>5.6885910784127338</v>
      </c>
      <c r="J85" s="147">
        <v>0.84691701077484205</v>
      </c>
      <c r="K85" s="148">
        <v>111</v>
      </c>
      <c r="M85" s="149">
        <f t="shared" si="8"/>
        <v>0.80447368421052634</v>
      </c>
      <c r="N85" s="138">
        <f t="shared" si="9"/>
        <v>5.6885910784127338</v>
      </c>
      <c r="O85" s="149"/>
      <c r="V85" s="158">
        <f t="shared" si="10"/>
        <v>358.3489245880034</v>
      </c>
      <c r="W85" s="158">
        <f t="shared" si="11"/>
        <v>100.11668609094801</v>
      </c>
      <c r="X85" s="158">
        <f t="shared" si="12"/>
        <v>46.989966637635057</v>
      </c>
      <c r="Y85" s="158">
        <f t="shared" si="13"/>
        <v>32.013294350503664</v>
      </c>
      <c r="Z85" s="158">
        <f t="shared" si="14"/>
        <v>5.6577919344597749</v>
      </c>
      <c r="AA85" s="158">
        <f t="shared" si="15"/>
        <v>-12.280227549218568</v>
      </c>
    </row>
    <row r="86" spans="1:27" ht="19.5" thickBot="1" x14ac:dyDescent="0.35">
      <c r="A86" s="142">
        <v>264</v>
      </c>
      <c r="B86" s="143" t="s">
        <v>512</v>
      </c>
      <c r="C86" s="142">
        <v>5130</v>
      </c>
      <c r="D86" s="143" t="s">
        <v>140</v>
      </c>
      <c r="E86" s="142">
        <v>4134</v>
      </c>
      <c r="F86" s="143" t="s">
        <v>513</v>
      </c>
      <c r="G86" s="144">
        <v>1.0089105472865201</v>
      </c>
      <c r="H86" s="145">
        <v>0</v>
      </c>
      <c r="I86" s="146">
        <v>1.7246325798454143</v>
      </c>
      <c r="J86" s="147">
        <v>0.95358922675252344</v>
      </c>
      <c r="K86" s="148">
        <v>248</v>
      </c>
      <c r="M86" s="149">
        <f t="shared" si="8"/>
        <v>0.66316681728657856</v>
      </c>
      <c r="N86" s="138">
        <f t="shared" si="9"/>
        <v>1.7246325798454143</v>
      </c>
      <c r="O86" s="149"/>
      <c r="V86" s="158">
        <f t="shared" si="10"/>
        <v>61.261315784042566</v>
      </c>
      <c r="W86" s="158">
        <f t="shared" si="11"/>
        <v>22.053721548459933</v>
      </c>
      <c r="X86" s="158">
        <f t="shared" si="12"/>
        <v>13.98745193194619</v>
      </c>
      <c r="Y86" s="158">
        <f t="shared" si="13"/>
        <v>11.713532558243207</v>
      </c>
      <c r="Z86" s="158">
        <f t="shared" si="14"/>
        <v>7.7119568811809138</v>
      </c>
      <c r="AA86" s="158">
        <f t="shared" si="15"/>
        <v>4.9884139440195048</v>
      </c>
    </row>
    <row r="87" spans="1:27" ht="19.5" thickBot="1" x14ac:dyDescent="0.35">
      <c r="A87" s="142">
        <v>264</v>
      </c>
      <c r="B87" s="143" t="s">
        <v>512</v>
      </c>
      <c r="C87" s="142">
        <v>5130</v>
      </c>
      <c r="D87" s="143" t="s">
        <v>140</v>
      </c>
      <c r="E87" s="142">
        <v>4135</v>
      </c>
      <c r="F87" s="143" t="s">
        <v>514</v>
      </c>
      <c r="G87" s="144">
        <v>6.5973797197457635</v>
      </c>
      <c r="H87" s="145">
        <v>10.913423670992609</v>
      </c>
      <c r="I87" s="146">
        <v>7.3074465997021347</v>
      </c>
      <c r="J87" s="147">
        <v>0.80335275401835515</v>
      </c>
      <c r="K87" s="148">
        <v>71</v>
      </c>
      <c r="M87" s="149">
        <f t="shared" si="8"/>
        <v>0.66958333333333342</v>
      </c>
      <c r="N87" s="138">
        <f t="shared" si="9"/>
        <v>7.3074465997021347</v>
      </c>
      <c r="O87" s="149"/>
      <c r="V87" s="158">
        <f t="shared" si="10"/>
        <v>334.24755767261576</v>
      </c>
      <c r="W87" s="158">
        <f t="shared" si="11"/>
        <v>80.321560744419159</v>
      </c>
      <c r="X87" s="158">
        <f t="shared" si="12"/>
        <v>28.080774391707696</v>
      </c>
      <c r="Y87" s="158">
        <f t="shared" si="13"/>
        <v>13.35385081581925</v>
      </c>
      <c r="Z87" s="158">
        <f t="shared" si="14"/>
        <v>-12.562151246850197</v>
      </c>
      <c r="AA87" s="158">
        <f t="shared" si="15"/>
        <v>-30.201039043434807</v>
      </c>
    </row>
    <row r="88" spans="1:27" ht="19.5" thickBot="1" x14ac:dyDescent="0.35">
      <c r="A88" s="142">
        <v>264</v>
      </c>
      <c r="B88" s="143" t="s">
        <v>512</v>
      </c>
      <c r="C88" s="142">
        <v>5130</v>
      </c>
      <c r="D88" s="143" t="s">
        <v>140</v>
      </c>
      <c r="E88" s="142">
        <v>4133</v>
      </c>
      <c r="F88" s="143" t="s">
        <v>515</v>
      </c>
      <c r="G88" s="144">
        <v>1.6302270011947426</v>
      </c>
      <c r="H88" s="145">
        <v>-3.6804690362770258</v>
      </c>
      <c r="I88" s="146">
        <v>-4.2141370465371946</v>
      </c>
      <c r="J88" s="147">
        <v>1.1134046527859049</v>
      </c>
      <c r="K88" s="148">
        <v>293</v>
      </c>
      <c r="M88" s="149">
        <f t="shared" si="8"/>
        <v>1.145</v>
      </c>
      <c r="N88" s="138">
        <f t="shared" si="9"/>
        <v>-4.2141370465371946</v>
      </c>
      <c r="O88" s="149"/>
      <c r="V88" s="158">
        <f t="shared" si="10"/>
        <v>66.940775121772035</v>
      </c>
      <c r="W88" s="158">
        <f t="shared" si="11"/>
        <v>30.2478009268604</v>
      </c>
      <c r="X88" s="158">
        <f t="shared" si="12"/>
        <v>22.698869944011985</v>
      </c>
      <c r="Y88" s="158">
        <f t="shared" si="13"/>
        <v>20.570790766308441</v>
      </c>
      <c r="Z88" s="158">
        <f t="shared" si="14"/>
        <v>16.825860328210343</v>
      </c>
      <c r="AA88" s="158">
        <f t="shared" si="15"/>
        <v>14.276994664290008</v>
      </c>
    </row>
    <row r="89" spans="1:27" ht="19.5" thickBot="1" x14ac:dyDescent="0.35">
      <c r="A89" s="142">
        <v>264</v>
      </c>
      <c r="B89" s="143" t="s">
        <v>512</v>
      </c>
      <c r="C89" s="142">
        <v>5130</v>
      </c>
      <c r="D89" s="143" t="s">
        <v>140</v>
      </c>
      <c r="E89" s="142">
        <v>4162</v>
      </c>
      <c r="F89" s="143" t="s">
        <v>516</v>
      </c>
      <c r="G89" s="144">
        <v>4.5991464216095785</v>
      </c>
      <c r="H89" s="145">
        <v>10.436719251743519</v>
      </c>
      <c r="I89" s="146">
        <v>6.7447298164392482</v>
      </c>
      <c r="J89" s="147">
        <v>0.81849575974361188</v>
      </c>
      <c r="K89" s="148">
        <v>86</v>
      </c>
      <c r="M89" s="149">
        <f t="shared" si="8"/>
        <v>0.64624999999999988</v>
      </c>
      <c r="N89" s="138">
        <f t="shared" si="9"/>
        <v>6.7447298164392482</v>
      </c>
      <c r="O89" s="149"/>
      <c r="V89" s="158">
        <f t="shared" si="10"/>
        <v>245.97344500424779</v>
      </c>
      <c r="W89" s="158">
        <f t="shared" si="11"/>
        <v>62.565983343707657</v>
      </c>
      <c r="X89" s="158">
        <f t="shared" si="12"/>
        <v>24.833139381256885</v>
      </c>
      <c r="Y89" s="158">
        <f t="shared" si="13"/>
        <v>14.196073055644531</v>
      </c>
      <c r="Z89" s="158">
        <f t="shared" si="14"/>
        <v>-4.5227198690814845</v>
      </c>
      <c r="AA89" s="158">
        <f t="shared" si="15"/>
        <v>-17.263060269129067</v>
      </c>
    </row>
    <row r="90" spans="1:27" ht="19.5" thickBot="1" x14ac:dyDescent="0.35">
      <c r="A90" s="142">
        <v>264</v>
      </c>
      <c r="B90" s="143" t="s">
        <v>512</v>
      </c>
      <c r="C90" s="142">
        <v>5130</v>
      </c>
      <c r="D90" s="143" t="s">
        <v>140</v>
      </c>
      <c r="E90" s="142">
        <v>4147</v>
      </c>
      <c r="F90" s="143" t="s">
        <v>517</v>
      </c>
      <c r="G90" s="144">
        <v>5.8587699797465023</v>
      </c>
      <c r="H90" s="145">
        <v>5.4618973113166289</v>
      </c>
      <c r="I90" s="146">
        <v>3.5647414170889937</v>
      </c>
      <c r="J90" s="147">
        <v>0.90407092645249976</v>
      </c>
      <c r="K90" s="148">
        <v>199</v>
      </c>
      <c r="M90" s="149">
        <f t="shared" si="8"/>
        <v>0.65265625000000005</v>
      </c>
      <c r="N90" s="138">
        <f t="shared" si="9"/>
        <v>3.5647414170889937</v>
      </c>
      <c r="O90" s="149"/>
      <c r="V90" s="158">
        <f t="shared" si="10"/>
        <v>342.70430434393813</v>
      </c>
      <c r="W90" s="158">
        <f t="shared" si="11"/>
        <v>111.35815970465256</v>
      </c>
      <c r="X90" s="158">
        <f t="shared" si="12"/>
        <v>63.762778917226072</v>
      </c>
      <c r="Y90" s="158">
        <f t="shared" si="13"/>
        <v>50.345417036620333</v>
      </c>
      <c r="Z90" s="158">
        <f t="shared" si="14"/>
        <v>26.733942692944794</v>
      </c>
      <c r="AA90" s="158">
        <f t="shared" si="15"/>
        <v>10.663557081271087</v>
      </c>
    </row>
    <row r="91" spans="1:27" ht="19.5" thickBot="1" x14ac:dyDescent="0.35">
      <c r="A91" s="142">
        <v>264</v>
      </c>
      <c r="B91" s="143" t="s">
        <v>512</v>
      </c>
      <c r="C91" s="142">
        <v>5130</v>
      </c>
      <c r="D91" s="143" t="s">
        <v>140</v>
      </c>
      <c r="E91" s="142">
        <v>4141</v>
      </c>
      <c r="F91" s="143" t="s">
        <v>518</v>
      </c>
      <c r="G91" s="144">
        <v>3.2458373859052978</v>
      </c>
      <c r="H91" s="145">
        <v>14.480084616713235</v>
      </c>
      <c r="I91" s="146">
        <v>10.055956635947233</v>
      </c>
      <c r="J91" s="147">
        <v>0.72938889786064609</v>
      </c>
      <c r="K91" s="148">
        <v>28</v>
      </c>
      <c r="M91" s="149">
        <f t="shared" si="8"/>
        <v>0.69446808510638292</v>
      </c>
      <c r="N91" s="138">
        <f t="shared" si="9"/>
        <v>10.055956635947233</v>
      </c>
      <c r="O91" s="149"/>
      <c r="V91" s="158">
        <f t="shared" si="10"/>
        <v>143.95565313451215</v>
      </c>
      <c r="W91" s="158">
        <f t="shared" si="11"/>
        <v>23.50343937837636</v>
      </c>
      <c r="X91" s="158">
        <f t="shared" si="12"/>
        <v>-1.2774749063661244</v>
      </c>
      <c r="Y91" s="158">
        <f t="shared" si="13"/>
        <v>-8.26333128969185</v>
      </c>
      <c r="Z91" s="158">
        <f t="shared" si="14"/>
        <v>-20.556833561693686</v>
      </c>
      <c r="AA91" s="158">
        <f t="shared" si="15"/>
        <v>-28.924007891998652</v>
      </c>
    </row>
    <row r="92" spans="1:27" ht="19.5" thickBot="1" x14ac:dyDescent="0.35">
      <c r="A92" s="142">
        <v>264</v>
      </c>
      <c r="B92" s="143" t="s">
        <v>512</v>
      </c>
      <c r="C92" s="142">
        <v>5130</v>
      </c>
      <c r="D92" s="143" t="s">
        <v>140</v>
      </c>
      <c r="E92" s="142">
        <v>4139</v>
      </c>
      <c r="F92" s="143" t="s">
        <v>519</v>
      </c>
      <c r="G92" s="144">
        <v>5.9735728475228482</v>
      </c>
      <c r="H92" s="145">
        <v>6.6961600738806437</v>
      </c>
      <c r="I92" s="146">
        <v>3.9884003440051581</v>
      </c>
      <c r="J92" s="147">
        <v>0.89267004105745651</v>
      </c>
      <c r="K92" s="148">
        <v>186</v>
      </c>
      <c r="M92" s="149">
        <f t="shared" si="8"/>
        <v>0.59562499999999996</v>
      </c>
      <c r="N92" s="138">
        <f t="shared" si="9"/>
        <v>3.9884003440051581</v>
      </c>
      <c r="O92" s="149"/>
      <c r="V92" s="158">
        <f t="shared" si="10"/>
        <v>378.04832273231801</v>
      </c>
      <c r="W92" s="158">
        <f t="shared" si="11"/>
        <v>119.58342692544169</v>
      </c>
      <c r="X92" s="158">
        <f t="shared" si="12"/>
        <v>66.408842342276813</v>
      </c>
      <c r="Y92" s="158">
        <f t="shared" si="13"/>
        <v>51.41867664973379</v>
      </c>
      <c r="Z92" s="158">
        <f t="shared" si="14"/>
        <v>25.039428940202214</v>
      </c>
      <c r="AA92" s="158">
        <f t="shared" si="15"/>
        <v>7.0852479912441053</v>
      </c>
    </row>
    <row r="93" spans="1:27" ht="19.5" thickBot="1" x14ac:dyDescent="0.35">
      <c r="A93" s="142">
        <v>264</v>
      </c>
      <c r="B93" s="143" t="s">
        <v>512</v>
      </c>
      <c r="C93" s="142">
        <v>5130</v>
      </c>
      <c r="D93" s="143" t="s">
        <v>140</v>
      </c>
      <c r="E93" s="142">
        <v>4143</v>
      </c>
      <c r="F93" s="143" t="s">
        <v>520</v>
      </c>
      <c r="G93" s="144">
        <v>5.3472902686824586</v>
      </c>
      <c r="H93" s="145">
        <v>2.9921697151372908</v>
      </c>
      <c r="I93" s="146">
        <v>3.7243162423099467</v>
      </c>
      <c r="J93" s="147">
        <v>0.89977668365789876</v>
      </c>
      <c r="K93" s="148">
        <v>194</v>
      </c>
      <c r="M93" s="149">
        <f t="shared" si="8"/>
        <v>1.2446874999999999</v>
      </c>
      <c r="N93" s="138">
        <f t="shared" si="9"/>
        <v>3.7243162423099467</v>
      </c>
      <c r="O93" s="149"/>
      <c r="V93" s="158">
        <f t="shared" si="10"/>
        <v>163.23123863378896</v>
      </c>
      <c r="W93" s="158">
        <f t="shared" si="11"/>
        <v>52.514380850516773</v>
      </c>
      <c r="X93" s="158">
        <f t="shared" si="12"/>
        <v>29.736344008802593</v>
      </c>
      <c r="Y93" s="158">
        <f t="shared" si="13"/>
        <v>23.315108204428348</v>
      </c>
      <c r="Z93" s="158">
        <f t="shared" si="14"/>
        <v>12.015208432862488</v>
      </c>
      <c r="AA93" s="158">
        <f t="shared" si="15"/>
        <v>4.3242974774876135</v>
      </c>
    </row>
    <row r="94" spans="1:27" ht="19.5" thickBot="1" x14ac:dyDescent="0.35">
      <c r="A94" s="142">
        <v>264</v>
      </c>
      <c r="B94" s="143" t="s">
        <v>512</v>
      </c>
      <c r="C94" s="142">
        <v>5130</v>
      </c>
      <c r="D94" s="143" t="s">
        <v>140</v>
      </c>
      <c r="E94" s="142">
        <v>4159</v>
      </c>
      <c r="F94" s="143" t="s">
        <v>152</v>
      </c>
      <c r="G94" s="144">
        <v>1.8576732234626969</v>
      </c>
      <c r="H94" s="145">
        <v>4.3064624601134236</v>
      </c>
      <c r="I94" s="146">
        <v>3.0333644953423926</v>
      </c>
      <c r="J94" s="147">
        <v>0.91837055995839956</v>
      </c>
      <c r="K94" s="148">
        <v>215</v>
      </c>
      <c r="M94" s="149">
        <f t="shared" si="8"/>
        <v>0.70437499999999997</v>
      </c>
      <c r="N94" s="138">
        <f t="shared" si="9"/>
        <v>3.0333644953423926</v>
      </c>
      <c r="O94" s="149"/>
      <c r="V94" s="158">
        <f t="shared" si="10"/>
        <v>102.27711066123081</v>
      </c>
      <c r="W94" s="158">
        <f t="shared" si="11"/>
        <v>34.308920163039872</v>
      </c>
      <c r="X94" s="158">
        <f t="shared" si="12"/>
        <v>20.325666138047573</v>
      </c>
      <c r="Y94" s="158">
        <f t="shared" si="13"/>
        <v>16.383721007705795</v>
      </c>
      <c r="Z94" s="158">
        <f t="shared" si="14"/>
        <v>9.4468032188386726</v>
      </c>
      <c r="AA94" s="158">
        <f t="shared" si="15"/>
        <v>4.7254147023509727</v>
      </c>
    </row>
    <row r="95" spans="1:27" ht="19.5" thickBot="1" x14ac:dyDescent="0.35">
      <c r="A95" s="142">
        <v>264</v>
      </c>
      <c r="B95" s="143" t="s">
        <v>512</v>
      </c>
      <c r="C95" s="142">
        <v>5130</v>
      </c>
      <c r="D95" s="143" t="s">
        <v>140</v>
      </c>
      <c r="E95" s="142">
        <v>4157</v>
      </c>
      <c r="F95" s="143" t="s">
        <v>521</v>
      </c>
      <c r="G95" s="144">
        <v>3.3075077187919297</v>
      </c>
      <c r="H95" s="145">
        <v>12.69838306389215</v>
      </c>
      <c r="I95" s="146">
        <v>9.4693656562167181</v>
      </c>
      <c r="J95" s="147">
        <v>0.74517437081728499</v>
      </c>
      <c r="K95" s="148">
        <v>34</v>
      </c>
      <c r="M95" s="149">
        <f t="shared" si="8"/>
        <v>0.74571428571428577</v>
      </c>
      <c r="N95" s="138">
        <f t="shared" si="9"/>
        <v>9.4693656562167181</v>
      </c>
      <c r="O95" s="149"/>
      <c r="V95" s="158">
        <f t="shared" si="10"/>
        <v>139.56657554201311</v>
      </c>
      <c r="W95" s="158">
        <f t="shared" si="11"/>
        <v>25.260655524417693</v>
      </c>
      <c r="X95" s="158">
        <f t="shared" si="12"/>
        <v>1.7442325558081211</v>
      </c>
      <c r="Y95" s="158">
        <f t="shared" si="13"/>
        <v>-4.8851577734016818</v>
      </c>
      <c r="Z95" s="158">
        <f t="shared" si="14"/>
        <v>-16.551361686303927</v>
      </c>
      <c r="AA95" s="158">
        <f t="shared" si="15"/>
        <v>-24.491585696710686</v>
      </c>
    </row>
    <row r="96" spans="1:27" ht="19.5" thickBot="1" x14ac:dyDescent="0.35">
      <c r="A96" s="142">
        <v>264</v>
      </c>
      <c r="B96" s="143" t="s">
        <v>512</v>
      </c>
      <c r="C96" s="142">
        <v>5130</v>
      </c>
      <c r="D96" s="143" t="s">
        <v>140</v>
      </c>
      <c r="E96" s="142">
        <v>4148</v>
      </c>
      <c r="F96" s="143" t="s">
        <v>154</v>
      </c>
      <c r="G96" s="144">
        <v>3.0547893160973465</v>
      </c>
      <c r="H96" s="145">
        <v>18.659224614815823</v>
      </c>
      <c r="I96" s="146">
        <v>9.4474600418172745</v>
      </c>
      <c r="J96" s="147">
        <v>0.74576386246589477</v>
      </c>
      <c r="K96" s="148">
        <v>35</v>
      </c>
      <c r="M96" s="149">
        <f t="shared" si="8"/>
        <v>0.50631578947368416</v>
      </c>
      <c r="N96" s="138">
        <f t="shared" si="9"/>
        <v>9.4474600418172745</v>
      </c>
      <c r="O96" s="149"/>
      <c r="V96" s="158">
        <f t="shared" si="10"/>
        <v>190.00115302994271</v>
      </c>
      <c r="W96" s="158">
        <f t="shared" si="11"/>
        <v>34.511994931282715</v>
      </c>
      <c r="X96" s="158">
        <f t="shared" si="12"/>
        <v>2.5228485395802434</v>
      </c>
      <c r="Y96" s="158">
        <f t="shared" si="13"/>
        <v>-6.4950424046294462</v>
      </c>
      <c r="Z96" s="158">
        <f t="shared" si="14"/>
        <v>-22.364458654857209</v>
      </c>
      <c r="AA96" s="158">
        <f t="shared" si="15"/>
        <v>-33.165463067427133</v>
      </c>
    </row>
    <row r="97" spans="1:27" ht="19.5" thickBot="1" x14ac:dyDescent="0.35">
      <c r="A97" s="142">
        <v>264</v>
      </c>
      <c r="B97" s="143" t="s">
        <v>512</v>
      </c>
      <c r="C97" s="142">
        <v>5130</v>
      </c>
      <c r="D97" s="143" t="s">
        <v>140</v>
      </c>
      <c r="E97" s="142">
        <v>4144</v>
      </c>
      <c r="F97" s="143" t="s">
        <v>155</v>
      </c>
      <c r="G97" s="144">
        <v>2.7451908808211134</v>
      </c>
      <c r="H97" s="145">
        <v>10.199655038787295</v>
      </c>
      <c r="I97" s="146">
        <v>8.9756964341328196</v>
      </c>
      <c r="J97" s="147">
        <v>0.75845927021739223</v>
      </c>
      <c r="K97" s="148">
        <v>41</v>
      </c>
      <c r="M97" s="149">
        <f t="shared" si="8"/>
        <v>0.88</v>
      </c>
      <c r="N97" s="138">
        <f t="shared" si="9"/>
        <v>8.9756964341328196</v>
      </c>
      <c r="O97" s="149"/>
      <c r="V97" s="158">
        <f t="shared" si="10"/>
        <v>99.911907127143991</v>
      </c>
      <c r="W97" s="158">
        <f t="shared" si="11"/>
        <v>19.516693135674032</v>
      </c>
      <c r="X97" s="158">
        <f t="shared" si="12"/>
        <v>2.9767986439078999</v>
      </c>
      <c r="Y97" s="158">
        <f t="shared" si="13"/>
        <v>-1.6858754684019617</v>
      </c>
      <c r="Z97" s="158">
        <f t="shared" si="14"/>
        <v>-9.8911106819545598</v>
      </c>
      <c r="AA97" s="158">
        <f t="shared" si="15"/>
        <v>-15.475738392912973</v>
      </c>
    </row>
    <row r="98" spans="1:27" ht="19.5" thickBot="1" x14ac:dyDescent="0.35">
      <c r="A98" s="142">
        <v>264</v>
      </c>
      <c r="B98" s="143" t="s">
        <v>512</v>
      </c>
      <c r="C98" s="142">
        <v>5130</v>
      </c>
      <c r="D98" s="143" t="s">
        <v>140</v>
      </c>
      <c r="E98" s="142">
        <v>4153</v>
      </c>
      <c r="F98" s="143" t="s">
        <v>156</v>
      </c>
      <c r="G98" s="144">
        <v>3.7565036017871338</v>
      </c>
      <c r="H98" s="145">
        <v>6.6551247250518815</v>
      </c>
      <c r="I98" s="146">
        <v>4.4416302414996247</v>
      </c>
      <c r="J98" s="147">
        <v>0.88047338523208751</v>
      </c>
      <c r="K98" s="148">
        <v>157</v>
      </c>
      <c r="M98" s="149">
        <f t="shared" si="8"/>
        <v>0.66739999999999988</v>
      </c>
      <c r="N98" s="138">
        <f t="shared" si="9"/>
        <v>4.4416302414996247</v>
      </c>
      <c r="O98" s="149"/>
      <c r="V98" s="158">
        <f t="shared" si="10"/>
        <v>209.27095185170739</v>
      </c>
      <c r="W98" s="158">
        <f t="shared" si="11"/>
        <v>64.21420701653939</v>
      </c>
      <c r="X98" s="158">
        <f t="shared" si="12"/>
        <v>34.371345286644868</v>
      </c>
      <c r="Y98" s="158">
        <f t="shared" si="13"/>
        <v>25.958502091394006</v>
      </c>
      <c r="Z98" s="158">
        <f t="shared" si="14"/>
        <v>11.153830872891884</v>
      </c>
      <c r="AA98" s="158">
        <f t="shared" si="15"/>
        <v>1.0775106959985898</v>
      </c>
    </row>
    <row r="99" spans="1:27" ht="19.5" thickBot="1" x14ac:dyDescent="0.35">
      <c r="A99" s="142">
        <v>264</v>
      </c>
      <c r="B99" s="143" t="s">
        <v>512</v>
      </c>
      <c r="C99" s="142">
        <v>5130</v>
      </c>
      <c r="D99" s="143" t="s">
        <v>140</v>
      </c>
      <c r="E99" s="142">
        <v>4164</v>
      </c>
      <c r="F99" s="143" t="s">
        <v>522</v>
      </c>
      <c r="G99" s="144">
        <v>2.8448773448773443</v>
      </c>
      <c r="H99" s="145">
        <v>1.4060360131879281</v>
      </c>
      <c r="I99" s="146">
        <v>0.79089525741820965</v>
      </c>
      <c r="J99" s="147">
        <v>0.97871659106786024</v>
      </c>
      <c r="K99" s="148">
        <v>269</v>
      </c>
      <c r="M99" s="149">
        <f t="shared" si="8"/>
        <v>0.5625</v>
      </c>
      <c r="N99" s="138">
        <f t="shared" si="9"/>
        <v>0.79089525741820965</v>
      </c>
      <c r="O99" s="149"/>
      <c r="V99" s="158">
        <f t="shared" si="10"/>
        <v>209.02252039442999</v>
      </c>
      <c r="W99" s="158">
        <f t="shared" si="11"/>
        <v>78.681432914080645</v>
      </c>
      <c r="X99" s="158">
        <f t="shared" si="12"/>
        <v>51.866057622016939</v>
      </c>
      <c r="Y99" s="158">
        <f t="shared" si="13"/>
        <v>44.306677104298295</v>
      </c>
      <c r="Z99" s="158">
        <f t="shared" si="14"/>
        <v>31.003904119827169</v>
      </c>
      <c r="AA99" s="158">
        <f t="shared" si="15"/>
        <v>21.94980235331597</v>
      </c>
    </row>
    <row r="100" spans="1:27" ht="19.5" thickBot="1" x14ac:dyDescent="0.35">
      <c r="A100" s="142">
        <v>264</v>
      </c>
      <c r="B100" s="143" t="s">
        <v>512</v>
      </c>
      <c r="C100" s="142">
        <v>5130</v>
      </c>
      <c r="D100" s="143" t="s">
        <v>140</v>
      </c>
      <c r="E100" s="142">
        <v>4140</v>
      </c>
      <c r="F100" s="143" t="s">
        <v>158</v>
      </c>
      <c r="G100" s="144">
        <v>2.4566604814326558</v>
      </c>
      <c r="H100" s="145">
        <v>3.6635099021707109</v>
      </c>
      <c r="I100" s="146">
        <v>3.7632387828409133</v>
      </c>
      <c r="J100" s="147">
        <v>0.8987292575429634</v>
      </c>
      <c r="K100" s="148">
        <v>193</v>
      </c>
      <c r="M100" s="149">
        <f t="shared" si="8"/>
        <v>1.027222222222222</v>
      </c>
      <c r="N100" s="138">
        <f t="shared" si="9"/>
        <v>3.7632387828409133</v>
      </c>
      <c r="O100" s="149"/>
      <c r="V100" s="158">
        <f t="shared" si="10"/>
        <v>90.762139210845319</v>
      </c>
      <c r="W100" s="158">
        <f t="shared" si="11"/>
        <v>29.128039904896266</v>
      </c>
      <c r="X100" s="158">
        <f t="shared" si="12"/>
        <v>16.447913203279491</v>
      </c>
      <c r="Y100" s="158">
        <f t="shared" si="13"/>
        <v>12.873325799359211</v>
      </c>
      <c r="Z100" s="158">
        <f t="shared" si="14"/>
        <v>6.5828732105467909</v>
      </c>
      <c r="AA100" s="158">
        <f t="shared" si="15"/>
        <v>2.3014803037440772</v>
      </c>
    </row>
    <row r="101" spans="1:27" ht="19.5" thickBot="1" x14ac:dyDescent="0.35">
      <c r="A101" s="142">
        <v>264</v>
      </c>
      <c r="B101" s="143" t="s">
        <v>512</v>
      </c>
      <c r="C101" s="142">
        <v>5169</v>
      </c>
      <c r="D101" s="143" t="s">
        <v>159</v>
      </c>
      <c r="E101" s="142">
        <v>4189</v>
      </c>
      <c r="F101" s="143" t="s">
        <v>160</v>
      </c>
      <c r="G101" s="144">
        <v>3.9968760643589416</v>
      </c>
      <c r="H101" s="145">
        <v>2.2517585872264241</v>
      </c>
      <c r="I101" s="146">
        <v>2.2705232421199772</v>
      </c>
      <c r="J101" s="147">
        <v>0.93889902082645271</v>
      </c>
      <c r="K101" s="148">
        <v>236</v>
      </c>
      <c r="M101" s="149">
        <f t="shared" si="8"/>
        <v>1.0083333333333331</v>
      </c>
      <c r="N101" s="138">
        <f t="shared" si="9"/>
        <v>2.2705232421199772</v>
      </c>
      <c r="O101" s="149"/>
      <c r="V101" s="158">
        <f t="shared" si="10"/>
        <v>157.15585051570912</v>
      </c>
      <c r="W101" s="158">
        <f t="shared" si="11"/>
        <v>55.001497478983239</v>
      </c>
      <c r="X101" s="158">
        <f t="shared" si="12"/>
        <v>33.98504466773322</v>
      </c>
      <c r="Y101" s="158">
        <f t="shared" si="13"/>
        <v>28.060407693514318</v>
      </c>
      <c r="Z101" s="158">
        <f t="shared" si="14"/>
        <v>17.634407772131418</v>
      </c>
      <c r="AA101" s="158">
        <f t="shared" si="15"/>
        <v>10.538288458058089</v>
      </c>
    </row>
    <row r="102" spans="1:27" ht="19.5" thickBot="1" x14ac:dyDescent="0.35">
      <c r="A102" s="142">
        <v>264</v>
      </c>
      <c r="B102" s="143" t="s">
        <v>512</v>
      </c>
      <c r="C102" s="142">
        <v>5169</v>
      </c>
      <c r="D102" s="143" t="s">
        <v>159</v>
      </c>
      <c r="E102" s="142">
        <v>4195</v>
      </c>
      <c r="F102" s="143" t="s">
        <v>523</v>
      </c>
      <c r="G102" s="144">
        <v>3.1170158207509644</v>
      </c>
      <c r="H102" s="145">
        <v>-0.32081967417126417</v>
      </c>
      <c r="I102" s="146">
        <v>-0.20853278821132173</v>
      </c>
      <c r="J102" s="147">
        <v>1.0056117274261438</v>
      </c>
      <c r="K102" s="148">
        <v>287</v>
      </c>
      <c r="M102" s="149">
        <f t="shared" si="8"/>
        <v>0.65000000000000013</v>
      </c>
      <c r="N102" s="138">
        <f t="shared" si="9"/>
        <v>-0.20853278821132173</v>
      </c>
      <c r="O102" s="149"/>
      <c r="V102" s="158">
        <f t="shared" si="10"/>
        <v>203.63437361980661</v>
      </c>
      <c r="W102" s="158">
        <f t="shared" si="11"/>
        <v>80.049314383851552</v>
      </c>
      <c r="X102" s="158">
        <f t="shared" si="12"/>
        <v>54.623872506947734</v>
      </c>
      <c r="Y102" s="158">
        <f t="shared" si="13"/>
        <v>47.456320761530307</v>
      </c>
      <c r="Z102" s="158">
        <f t="shared" si="14"/>
        <v>34.843076395771995</v>
      </c>
      <c r="AA102" s="158">
        <f t="shared" si="15"/>
        <v>26.258279960715797</v>
      </c>
    </row>
    <row r="103" spans="1:27" ht="19.5" thickBot="1" x14ac:dyDescent="0.35">
      <c r="A103" s="142">
        <v>264</v>
      </c>
      <c r="B103" s="143" t="s">
        <v>512</v>
      </c>
      <c r="C103" s="142">
        <v>5169</v>
      </c>
      <c r="D103" s="143" t="s">
        <v>159</v>
      </c>
      <c r="E103" s="142">
        <v>4193</v>
      </c>
      <c r="F103" s="143" t="s">
        <v>524</v>
      </c>
      <c r="G103" s="144">
        <v>3.5189073531009014</v>
      </c>
      <c r="H103" s="145">
        <v>3.1259703357369366</v>
      </c>
      <c r="I103" s="146">
        <v>2.674125532662234</v>
      </c>
      <c r="J103" s="147">
        <v>0.92803787010517991</v>
      </c>
      <c r="K103" s="148">
        <v>223</v>
      </c>
      <c r="M103" s="149">
        <f t="shared" si="8"/>
        <v>0.85545454545454547</v>
      </c>
      <c r="N103" s="138">
        <f t="shared" si="9"/>
        <v>2.674125532662234</v>
      </c>
      <c r="O103" s="149"/>
      <c r="V103" s="158">
        <f t="shared" si="10"/>
        <v>161.20247404113789</v>
      </c>
      <c r="W103" s="158">
        <f t="shared" si="11"/>
        <v>55.191404867859589</v>
      </c>
      <c r="X103" s="158">
        <f t="shared" si="12"/>
        <v>33.381500869452637</v>
      </c>
      <c r="Y103" s="158">
        <f t="shared" si="13"/>
        <v>27.233186270713208</v>
      </c>
      <c r="Z103" s="158">
        <f t="shared" si="14"/>
        <v>16.413565118896454</v>
      </c>
      <c r="AA103" s="158">
        <f t="shared" si="15"/>
        <v>9.0495402574633488</v>
      </c>
    </row>
    <row r="104" spans="1:27" ht="19.5" thickBot="1" x14ac:dyDescent="0.35">
      <c r="A104" s="142">
        <v>264</v>
      </c>
      <c r="B104" s="143" t="s">
        <v>512</v>
      </c>
      <c r="C104" s="142">
        <v>5169</v>
      </c>
      <c r="D104" s="143" t="s">
        <v>159</v>
      </c>
      <c r="E104" s="142">
        <v>4184</v>
      </c>
      <c r="F104" s="143" t="s">
        <v>525</v>
      </c>
      <c r="G104" s="144">
        <v>3.2768242683852011</v>
      </c>
      <c r="H104" s="145">
        <v>-0.91552056329172071</v>
      </c>
      <c r="I104" s="146">
        <v>-0.80870983090768667</v>
      </c>
      <c r="J104" s="147">
        <v>1.0217628085099877</v>
      </c>
      <c r="K104" s="148">
        <v>289</v>
      </c>
      <c r="M104" s="149">
        <f t="shared" si="8"/>
        <v>0.88333333333333341</v>
      </c>
      <c r="N104" s="138">
        <f t="shared" si="9"/>
        <v>-0.80870983090768667</v>
      </c>
      <c r="O104" s="149"/>
      <c r="V104" s="158">
        <f t="shared" si="10"/>
        <v>160.05665353991412</v>
      </c>
      <c r="W104" s="158">
        <f t="shared" si="11"/>
        <v>64.454240911359605</v>
      </c>
      <c r="X104" s="158">
        <f t="shared" si="12"/>
        <v>44.785734049715387</v>
      </c>
      <c r="Y104" s="158">
        <f t="shared" si="13"/>
        <v>39.241089383618444</v>
      </c>
      <c r="Z104" s="158">
        <f t="shared" si="14"/>
        <v>29.483788623356389</v>
      </c>
      <c r="AA104" s="158">
        <f t="shared" si="15"/>
        <v>22.842797744763118</v>
      </c>
    </row>
    <row r="105" spans="1:27" ht="19.5" thickBot="1" x14ac:dyDescent="0.35">
      <c r="A105" s="142">
        <v>264</v>
      </c>
      <c r="B105" s="143" t="s">
        <v>512</v>
      </c>
      <c r="C105" s="142">
        <v>5169</v>
      </c>
      <c r="D105" s="143" t="s">
        <v>159</v>
      </c>
      <c r="E105" s="142">
        <v>4196</v>
      </c>
      <c r="F105" s="143" t="s">
        <v>164</v>
      </c>
      <c r="G105" s="144">
        <v>2.5224867724867721</v>
      </c>
      <c r="H105" s="145">
        <v>5.5500786575773473</v>
      </c>
      <c r="I105" s="146">
        <v>4.3350078657577358</v>
      </c>
      <c r="J105" s="147">
        <v>0.88334264965483633</v>
      </c>
      <c r="K105" s="148">
        <v>167</v>
      </c>
      <c r="M105" s="149">
        <f t="shared" si="8"/>
        <v>0.78107142857142864</v>
      </c>
      <c r="N105" s="138">
        <f t="shared" si="9"/>
        <v>4.3350078657577358</v>
      </c>
      <c r="O105" s="149"/>
      <c r="V105" s="158">
        <f t="shared" si="10"/>
        <v>120.46543553111525</v>
      </c>
      <c r="W105" s="158">
        <f t="shared" si="11"/>
        <v>37.235709324096057</v>
      </c>
      <c r="X105" s="158">
        <f t="shared" si="12"/>
        <v>20.11266403698805</v>
      </c>
      <c r="Y105" s="158">
        <f t="shared" si="13"/>
        <v>15.285596970517137</v>
      </c>
      <c r="Z105" s="158">
        <f t="shared" si="14"/>
        <v>6.7910679260315554</v>
      </c>
      <c r="AA105" s="158">
        <f t="shared" si="15"/>
        <v>1.0095417346774562</v>
      </c>
    </row>
    <row r="106" spans="1:27" ht="19.5" thickBot="1" x14ac:dyDescent="0.35">
      <c r="A106" s="142">
        <v>264</v>
      </c>
      <c r="B106" s="143" t="s">
        <v>512</v>
      </c>
      <c r="C106" s="142">
        <v>5169</v>
      </c>
      <c r="D106" s="143" t="s">
        <v>159</v>
      </c>
      <c r="E106" s="142">
        <v>4174</v>
      </c>
      <c r="F106" s="143" t="s">
        <v>526</v>
      </c>
      <c r="G106" s="144">
        <v>5.5385385716069759</v>
      </c>
      <c r="H106" s="145">
        <v>1.2638713100031709</v>
      </c>
      <c r="I106" s="146">
        <v>1.4191469280892748</v>
      </c>
      <c r="J106" s="147">
        <v>0.96181000692315111</v>
      </c>
      <c r="K106" s="148">
        <v>259</v>
      </c>
      <c r="M106" s="149">
        <f t="shared" si="8"/>
        <v>1.122857142857143</v>
      </c>
      <c r="N106" s="138">
        <f t="shared" si="9"/>
        <v>1.4191469280892748</v>
      </c>
      <c r="O106" s="149"/>
      <c r="V106" s="158">
        <f t="shared" si="10"/>
        <v>200.33419234487502</v>
      </c>
      <c r="W106" s="158">
        <f t="shared" si="11"/>
        <v>73.215036945627361</v>
      </c>
      <c r="X106" s="158">
        <f t="shared" si="12"/>
        <v>47.06251723955306</v>
      </c>
      <c r="Y106" s="158">
        <f t="shared" si="13"/>
        <v>39.689998831658102</v>
      </c>
      <c r="Z106" s="158">
        <f t="shared" si="14"/>
        <v>26.716060229919446</v>
      </c>
      <c r="AA106" s="158">
        <f t="shared" si="15"/>
        <v>17.885768940296288</v>
      </c>
    </row>
    <row r="107" spans="1:27" ht="19.5" thickBot="1" x14ac:dyDescent="0.35">
      <c r="A107" s="142">
        <v>264</v>
      </c>
      <c r="B107" s="143" t="s">
        <v>512</v>
      </c>
      <c r="C107" s="142">
        <v>5169</v>
      </c>
      <c r="D107" s="143" t="s">
        <v>159</v>
      </c>
      <c r="E107" s="142">
        <v>4170</v>
      </c>
      <c r="F107" s="143" t="s">
        <v>527</v>
      </c>
      <c r="G107" s="144">
        <v>4.7470153232994274</v>
      </c>
      <c r="H107" s="145">
        <v>4.634491043670959</v>
      </c>
      <c r="I107" s="146">
        <v>2.8291461234773174</v>
      </c>
      <c r="J107" s="147">
        <v>0.92386618416285959</v>
      </c>
      <c r="K107" s="148">
        <v>222</v>
      </c>
      <c r="M107" s="149">
        <f t="shared" si="8"/>
        <v>0.61045454545454547</v>
      </c>
      <c r="N107" s="138">
        <f t="shared" si="9"/>
        <v>2.8291461234773174</v>
      </c>
      <c r="O107" s="149"/>
      <c r="V107" s="158">
        <f t="shared" si="10"/>
        <v>303.36919738106974</v>
      </c>
      <c r="W107" s="158">
        <f t="shared" si="11"/>
        <v>102.96462692173225</v>
      </c>
      <c r="X107" s="158">
        <f t="shared" si="12"/>
        <v>61.734928205875306</v>
      </c>
      <c r="Y107" s="158">
        <f t="shared" si="13"/>
        <v>50.112082065202387</v>
      </c>
      <c r="Z107" s="158">
        <f t="shared" si="14"/>
        <v>29.658543143540857</v>
      </c>
      <c r="AA107" s="158">
        <f t="shared" si="15"/>
        <v>15.73750404152813</v>
      </c>
    </row>
    <row r="108" spans="1:27" ht="19.5" thickBot="1" x14ac:dyDescent="0.35">
      <c r="A108" s="142">
        <v>264</v>
      </c>
      <c r="B108" s="143" t="s">
        <v>512</v>
      </c>
      <c r="C108" s="142">
        <v>5169</v>
      </c>
      <c r="D108" s="143" t="s">
        <v>159</v>
      </c>
      <c r="E108" s="142">
        <v>4169</v>
      </c>
      <c r="F108" s="143" t="s">
        <v>167</v>
      </c>
      <c r="G108" s="144">
        <v>5.825472477958602</v>
      </c>
      <c r="H108" s="145">
        <v>7.2097156340386483</v>
      </c>
      <c r="I108" s="146">
        <v>4.192792960985571</v>
      </c>
      <c r="J108" s="147">
        <v>0.88716972782494963</v>
      </c>
      <c r="K108" s="148">
        <v>175</v>
      </c>
      <c r="M108" s="149">
        <f t="shared" si="8"/>
        <v>0.58154761904761898</v>
      </c>
      <c r="N108" s="138">
        <f t="shared" si="9"/>
        <v>4.192792960985571</v>
      </c>
      <c r="O108" s="149"/>
      <c r="V108" s="158">
        <f t="shared" si="10"/>
        <v>375.27332637813669</v>
      </c>
      <c r="W108" s="158">
        <f t="shared" si="11"/>
        <v>117.11496669074602</v>
      </c>
      <c r="X108" s="158">
        <f t="shared" si="12"/>
        <v>64.003446496895961</v>
      </c>
      <c r="Y108" s="158">
        <f t="shared" si="13"/>
        <v>49.031058952551732</v>
      </c>
      <c r="Z108" s="158">
        <f t="shared" si="14"/>
        <v>22.683096699416808</v>
      </c>
      <c r="AA108" s="158">
        <f t="shared" si="15"/>
        <v>4.7502091835164233</v>
      </c>
    </row>
    <row r="109" spans="1:27" ht="19.5" thickBot="1" x14ac:dyDescent="0.35">
      <c r="A109" s="142">
        <v>264</v>
      </c>
      <c r="B109" s="143" t="s">
        <v>512</v>
      </c>
      <c r="C109" s="142">
        <v>5169</v>
      </c>
      <c r="D109" s="143" t="s">
        <v>159</v>
      </c>
      <c r="E109" s="142">
        <v>4188</v>
      </c>
      <c r="F109" s="143" t="s">
        <v>168</v>
      </c>
      <c r="G109" s="144">
        <v>2.9978898043414177</v>
      </c>
      <c r="H109" s="145">
        <v>1.3342718582275335</v>
      </c>
      <c r="I109" s="146">
        <v>1.5043915201515439</v>
      </c>
      <c r="J109" s="147">
        <v>0.9595160299456722</v>
      </c>
      <c r="K109" s="148">
        <v>254</v>
      </c>
      <c r="M109" s="149">
        <f t="shared" si="8"/>
        <v>1.1274999999999999</v>
      </c>
      <c r="N109" s="138">
        <f t="shared" si="9"/>
        <v>1.5043915201515439</v>
      </c>
      <c r="O109" s="149"/>
      <c r="V109" s="158">
        <f t="shared" si="10"/>
        <v>107.73243073493489</v>
      </c>
      <c r="W109" s="158">
        <f t="shared" si="11"/>
        <v>39.208946951567142</v>
      </c>
      <c r="X109" s="158">
        <f t="shared" si="12"/>
        <v>25.111451146587981</v>
      </c>
      <c r="Y109" s="158">
        <f t="shared" si="13"/>
        <v>21.137300720719431</v>
      </c>
      <c r="Z109" s="158">
        <f t="shared" si="14"/>
        <v>14.14370901071733</v>
      </c>
      <c r="AA109" s="158">
        <f t="shared" si="15"/>
        <v>9.3837472245765809</v>
      </c>
    </row>
    <row r="110" spans="1:27" ht="19.5" thickBot="1" x14ac:dyDescent="0.35">
      <c r="A110" s="142">
        <v>264</v>
      </c>
      <c r="B110" s="143" t="s">
        <v>512</v>
      </c>
      <c r="C110" s="142">
        <v>5169</v>
      </c>
      <c r="D110" s="143" t="s">
        <v>159</v>
      </c>
      <c r="E110" s="142">
        <v>4180</v>
      </c>
      <c r="F110" s="143" t="s">
        <v>528</v>
      </c>
      <c r="G110" s="144">
        <v>3.5180638414217369</v>
      </c>
      <c r="H110" s="145">
        <v>7.1061814472067342</v>
      </c>
      <c r="I110" s="146">
        <v>4.7938300042856623</v>
      </c>
      <c r="J110" s="147">
        <v>0.87099550367082024</v>
      </c>
      <c r="K110" s="148">
        <v>144</v>
      </c>
      <c r="M110" s="149">
        <f t="shared" si="8"/>
        <v>0.67459999999999987</v>
      </c>
      <c r="N110" s="138">
        <f t="shared" si="9"/>
        <v>4.7938300042856623</v>
      </c>
      <c r="O110" s="149"/>
      <c r="V110" s="158">
        <f t="shared" si="10"/>
        <v>191.80874426310055</v>
      </c>
      <c r="W110" s="158">
        <f t="shared" si="11"/>
        <v>57.409229883703311</v>
      </c>
      <c r="X110" s="158">
        <f t="shared" si="12"/>
        <v>29.758904979839095</v>
      </c>
      <c r="Y110" s="158">
        <f t="shared" si="13"/>
        <v>21.96414823635531</v>
      </c>
      <c r="Z110" s="158">
        <f t="shared" si="14"/>
        <v>8.247167170950032</v>
      </c>
      <c r="AA110" s="158">
        <f t="shared" si="15"/>
        <v>-1.0888519162330952</v>
      </c>
    </row>
    <row r="111" spans="1:27" ht="19.5" thickBot="1" x14ac:dyDescent="0.35">
      <c r="A111" s="142">
        <v>264</v>
      </c>
      <c r="B111" s="143" t="s">
        <v>512</v>
      </c>
      <c r="C111" s="142">
        <v>5169</v>
      </c>
      <c r="D111" s="143" t="s">
        <v>159</v>
      </c>
      <c r="E111" s="142">
        <v>4185</v>
      </c>
      <c r="F111" s="143" t="s">
        <v>529</v>
      </c>
      <c r="G111" s="144">
        <v>3.3305764510330889</v>
      </c>
      <c r="H111" s="145">
        <v>0.90074497436305667</v>
      </c>
      <c r="I111" s="146">
        <v>0.48039731966029692</v>
      </c>
      <c r="J111" s="147">
        <v>0.98707225450104386</v>
      </c>
      <c r="K111" s="148">
        <v>276</v>
      </c>
      <c r="M111" s="149">
        <f t="shared" si="8"/>
        <v>0.53333333333333333</v>
      </c>
      <c r="N111" s="138">
        <f t="shared" si="9"/>
        <v>0.48039731966029692</v>
      </c>
      <c r="O111" s="149"/>
      <c r="V111" s="158">
        <f t="shared" si="10"/>
        <v>260.29434519012619</v>
      </c>
      <c r="W111" s="158">
        <f t="shared" si="11"/>
        <v>99.355456093333089</v>
      </c>
      <c r="X111" s="158">
        <f t="shared" si="12"/>
        <v>66.245123859309302</v>
      </c>
      <c r="Y111" s="158">
        <f t="shared" si="13"/>
        <v>56.9111653486056</v>
      </c>
      <c r="Z111" s="158">
        <f t="shared" si="14"/>
        <v>40.485542796159201</v>
      </c>
      <c r="AA111" s="158">
        <f t="shared" si="15"/>
        <v>29.305974570665381</v>
      </c>
    </row>
    <row r="112" spans="1:27" ht="19.5" thickBot="1" x14ac:dyDescent="0.35">
      <c r="A112" s="142">
        <v>264</v>
      </c>
      <c r="B112" s="143" t="s">
        <v>512</v>
      </c>
      <c r="C112" s="142">
        <v>5169</v>
      </c>
      <c r="D112" s="143" t="s">
        <v>159</v>
      </c>
      <c r="E112" s="142">
        <v>4178</v>
      </c>
      <c r="F112" s="143" t="s">
        <v>171</v>
      </c>
      <c r="G112" s="144">
        <v>7.6444229507542065</v>
      </c>
      <c r="H112" s="145">
        <v>7.9796735990362331</v>
      </c>
      <c r="I112" s="146">
        <v>5.9540138337726907</v>
      </c>
      <c r="J112" s="147">
        <v>0.83977434429753617</v>
      </c>
      <c r="K112" s="148">
        <v>106</v>
      </c>
      <c r="M112" s="149">
        <f t="shared" si="8"/>
        <v>0.74614754098360647</v>
      </c>
      <c r="N112" s="138">
        <f t="shared" si="9"/>
        <v>5.9540138337726907</v>
      </c>
      <c r="O112" s="149"/>
      <c r="V112" s="158">
        <f t="shared" si="10"/>
        <v>363.31029777377836</v>
      </c>
      <c r="W112" s="158">
        <f t="shared" si="11"/>
        <v>99.276017723790758</v>
      </c>
      <c r="X112" s="158">
        <f t="shared" si="12"/>
        <v>44.955630757726063</v>
      </c>
      <c r="Y112" s="158">
        <f t="shared" si="13"/>
        <v>29.642457980027235</v>
      </c>
      <c r="Z112" s="158">
        <f t="shared" si="14"/>
        <v>2.6947920097490621</v>
      </c>
      <c r="AA112" s="158">
        <f t="shared" si="15"/>
        <v>-15.646264426353779</v>
      </c>
    </row>
    <row r="113" spans="1:27" ht="19.5" thickBot="1" x14ac:dyDescent="0.35">
      <c r="A113" s="142">
        <v>264</v>
      </c>
      <c r="B113" s="143" t="s">
        <v>512</v>
      </c>
      <c r="C113" s="142">
        <v>5169</v>
      </c>
      <c r="D113" s="143" t="s">
        <v>159</v>
      </c>
      <c r="E113" s="142">
        <v>4194</v>
      </c>
      <c r="F113" s="143" t="s">
        <v>172</v>
      </c>
      <c r="G113" s="144">
        <v>6.044791431609327</v>
      </c>
      <c r="H113" s="145">
        <v>7.6098572664488531</v>
      </c>
      <c r="I113" s="146">
        <v>5.1043944773104206</v>
      </c>
      <c r="J113" s="147">
        <v>0.86263804973847813</v>
      </c>
      <c r="K113" s="148">
        <v>132</v>
      </c>
      <c r="M113" s="149">
        <f t="shared" si="8"/>
        <v>0.6707608695652173</v>
      </c>
      <c r="N113" s="138">
        <f t="shared" si="9"/>
        <v>5.1043944773104206</v>
      </c>
      <c r="O113" s="149"/>
      <c r="V113" s="158">
        <f t="shared" si="10"/>
        <v>328.27463080719099</v>
      </c>
      <c r="W113" s="158">
        <f t="shared" si="11"/>
        <v>96.025593919182811</v>
      </c>
      <c r="X113" s="158">
        <f t="shared" si="12"/>
        <v>48.244459007973653</v>
      </c>
      <c r="Y113" s="158">
        <f t="shared" si="13"/>
        <v>34.77473216550873</v>
      </c>
      <c r="Z113" s="158">
        <f t="shared" si="14"/>
        <v>11.071107519527272</v>
      </c>
      <c r="AA113" s="158">
        <f t="shared" si="15"/>
        <v>-5.0619972121273946</v>
      </c>
    </row>
    <row r="114" spans="1:27" ht="19.5" thickBot="1" x14ac:dyDescent="0.35">
      <c r="A114" s="142">
        <v>264</v>
      </c>
      <c r="B114" s="143" t="s">
        <v>512</v>
      </c>
      <c r="C114" s="142">
        <v>5169</v>
      </c>
      <c r="D114" s="143" t="s">
        <v>159</v>
      </c>
      <c r="E114" s="142">
        <v>4181</v>
      </c>
      <c r="F114" s="143" t="s">
        <v>173</v>
      </c>
      <c r="G114" s="144">
        <v>4.0103442189703635</v>
      </c>
      <c r="H114" s="145">
        <v>12.717112850002188</v>
      </c>
      <c r="I114" s="146">
        <v>8.2661233525014222</v>
      </c>
      <c r="J114" s="147">
        <v>0.77755425646487453</v>
      </c>
      <c r="K114" s="148">
        <v>54</v>
      </c>
      <c r="M114" s="149">
        <f t="shared" si="8"/>
        <v>0.65</v>
      </c>
      <c r="N114" s="138">
        <f t="shared" si="9"/>
        <v>8.2661233525014222</v>
      </c>
      <c r="O114" s="149"/>
      <c r="V114" s="158">
        <f t="shared" si="10"/>
        <v>202.57885263852299</v>
      </c>
      <c r="W114" s="158">
        <f t="shared" si="11"/>
        <v>43.574645935903256</v>
      </c>
      <c r="X114" s="158">
        <f t="shared" si="12"/>
        <v>10.862340413744425</v>
      </c>
      <c r="Y114" s="158">
        <f t="shared" si="13"/>
        <v>1.6405875066704632</v>
      </c>
      <c r="Z114" s="158">
        <f t="shared" si="14"/>
        <v>-14.587578962017067</v>
      </c>
      <c r="AA114" s="158">
        <f t="shared" si="15"/>
        <v>-25.632755096564402</v>
      </c>
    </row>
    <row r="115" spans="1:27" ht="19.5" thickBot="1" x14ac:dyDescent="0.35">
      <c r="A115" s="142">
        <v>264</v>
      </c>
      <c r="B115" s="143" t="s">
        <v>512</v>
      </c>
      <c r="C115" s="142">
        <v>5169</v>
      </c>
      <c r="D115" s="143" t="s">
        <v>159</v>
      </c>
      <c r="E115" s="142">
        <v>4183</v>
      </c>
      <c r="F115" s="143" t="s">
        <v>530</v>
      </c>
      <c r="G115" s="144">
        <v>2.3561526821289123</v>
      </c>
      <c r="H115" s="145">
        <v>5.5174692619044503</v>
      </c>
      <c r="I115" s="146">
        <v>3.9556010400730366</v>
      </c>
      <c r="J115" s="147">
        <v>0.89355268764273976</v>
      </c>
      <c r="K115" s="148">
        <v>188</v>
      </c>
      <c r="M115" s="149">
        <f t="shared" si="8"/>
        <v>0.71692307692307689</v>
      </c>
      <c r="N115" s="138">
        <f t="shared" si="9"/>
        <v>3.9556010400730366</v>
      </c>
      <c r="O115" s="149"/>
      <c r="V115" s="158">
        <f t="shared" si="10"/>
        <v>124.0069839814827</v>
      </c>
      <c r="W115" s="158">
        <f t="shared" si="11"/>
        <v>39.309367261680762</v>
      </c>
      <c r="X115" s="158">
        <f t="shared" si="12"/>
        <v>21.884329442909525</v>
      </c>
      <c r="Y115" s="158">
        <f t="shared" si="13"/>
        <v>16.972129260251084</v>
      </c>
      <c r="Z115" s="158">
        <f t="shared" si="14"/>
        <v>8.3277854901475958</v>
      </c>
      <c r="AA115" s="158">
        <f t="shared" si="15"/>
        <v>2.4442927559193253</v>
      </c>
    </row>
    <row r="116" spans="1:27" ht="19.5" thickBot="1" x14ac:dyDescent="0.35">
      <c r="A116" s="142">
        <v>30</v>
      </c>
      <c r="B116" s="143" t="s">
        <v>531</v>
      </c>
      <c r="C116" s="142">
        <v>6</v>
      </c>
      <c r="D116" s="143" t="s">
        <v>176</v>
      </c>
      <c r="E116" s="142">
        <v>551110</v>
      </c>
      <c r="F116" s="143" t="s">
        <v>177</v>
      </c>
      <c r="G116" s="144">
        <v>5.3611493955112479</v>
      </c>
      <c r="H116" s="145">
        <v>5.9688692926171347</v>
      </c>
      <c r="I116" s="146">
        <v>4.1073281819821652</v>
      </c>
      <c r="J116" s="147">
        <v>0.88946963014926272</v>
      </c>
      <c r="K116" s="148">
        <v>181</v>
      </c>
      <c r="M116" s="149">
        <f t="shared" si="8"/>
        <v>0.68812499999999988</v>
      </c>
      <c r="N116" s="138">
        <f t="shared" si="9"/>
        <v>4.1073281819821652</v>
      </c>
      <c r="O116" s="149"/>
      <c r="V116" s="158">
        <f t="shared" si="10"/>
        <v>292.6286253355027</v>
      </c>
      <c r="W116" s="158">
        <f t="shared" si="11"/>
        <v>91.8437971113472</v>
      </c>
      <c r="X116" s="158">
        <f t="shared" si="12"/>
        <v>50.535867080496381</v>
      </c>
      <c r="Y116" s="158">
        <f t="shared" si="13"/>
        <v>38.890967163883388</v>
      </c>
      <c r="Z116" s="158">
        <f t="shared" si="14"/>
        <v>18.398618663302852</v>
      </c>
      <c r="AA116" s="158">
        <f t="shared" si="15"/>
        <v>4.4511650778242853</v>
      </c>
    </row>
    <row r="117" spans="1:27" ht="19.5" thickBot="1" x14ac:dyDescent="0.35">
      <c r="A117" s="142">
        <v>30</v>
      </c>
      <c r="B117" s="143" t="s">
        <v>531</v>
      </c>
      <c r="C117" s="142">
        <v>6</v>
      </c>
      <c r="D117" s="143" t="s">
        <v>176</v>
      </c>
      <c r="E117" s="142">
        <v>451101</v>
      </c>
      <c r="F117" s="143" t="s">
        <v>178</v>
      </c>
      <c r="G117" s="144">
        <v>9.7145609440858518</v>
      </c>
      <c r="H117" s="145">
        <v>9.6761964375988043</v>
      </c>
      <c r="I117" s="146">
        <v>6.8639231750966845</v>
      </c>
      <c r="J117" s="147">
        <v>0.81528820353372555</v>
      </c>
      <c r="K117" s="148">
        <v>82</v>
      </c>
      <c r="M117" s="149">
        <f t="shared" si="8"/>
        <v>0.7093617021276597</v>
      </c>
      <c r="N117" s="138">
        <f t="shared" si="9"/>
        <v>6.8639231750966845</v>
      </c>
      <c r="O117" s="149"/>
      <c r="V117" s="158">
        <f t="shared" si="10"/>
        <v>471.4782987625004</v>
      </c>
      <c r="W117" s="158">
        <f t="shared" si="11"/>
        <v>118.54246095179047</v>
      </c>
      <c r="X117" s="158">
        <f t="shared" si="12"/>
        <v>45.932149592067084</v>
      </c>
      <c r="Y117" s="158">
        <f t="shared" si="13"/>
        <v>25.462961035133937</v>
      </c>
      <c r="Z117" s="158">
        <f t="shared" si="14"/>
        <v>-10.558108139909068</v>
      </c>
      <c r="AA117" s="158">
        <f t="shared" si="15"/>
        <v>-35.074682724027248</v>
      </c>
    </row>
    <row r="118" spans="1:27" ht="19.5" thickBot="1" x14ac:dyDescent="0.35">
      <c r="A118" s="142">
        <v>30</v>
      </c>
      <c r="B118" s="143" t="s">
        <v>531</v>
      </c>
      <c r="C118" s="142">
        <v>6</v>
      </c>
      <c r="D118" s="143" t="s">
        <v>176</v>
      </c>
      <c r="E118" s="142">
        <v>551103</v>
      </c>
      <c r="F118" s="143" t="s">
        <v>179</v>
      </c>
      <c r="G118" s="144">
        <v>2.7303992303992302</v>
      </c>
      <c r="H118" s="145">
        <v>8.0574297542499789</v>
      </c>
      <c r="I118" s="146">
        <v>4.9498255967585667</v>
      </c>
      <c r="J118" s="147">
        <v>0.86679757991913353</v>
      </c>
      <c r="K118" s="148">
        <v>138</v>
      </c>
      <c r="M118" s="149">
        <f t="shared" si="8"/>
        <v>0.61431818181818187</v>
      </c>
      <c r="N118" s="138">
        <f t="shared" si="9"/>
        <v>4.9498255967585667</v>
      </c>
      <c r="O118" s="149"/>
      <c r="V118" s="158">
        <f t="shared" si="10"/>
        <v>162.68427769422371</v>
      </c>
      <c r="W118" s="158">
        <f t="shared" si="11"/>
        <v>48.1400775887778</v>
      </c>
      <c r="X118" s="158">
        <f t="shared" si="12"/>
        <v>24.574632703105422</v>
      </c>
      <c r="Y118" s="158">
        <f t="shared" si="13"/>
        <v>17.931422864724123</v>
      </c>
      <c r="Z118" s="158">
        <f t="shared" si="14"/>
        <v>6.2408997906373944</v>
      </c>
      <c r="AA118" s="158">
        <f t="shared" si="15"/>
        <v>-1.7158762695185059</v>
      </c>
    </row>
    <row r="119" spans="1:27" ht="19.5" thickBot="1" x14ac:dyDescent="0.35">
      <c r="A119" s="142">
        <v>30</v>
      </c>
      <c r="B119" s="143" t="s">
        <v>531</v>
      </c>
      <c r="C119" s="142">
        <v>6</v>
      </c>
      <c r="D119" s="143" t="s">
        <v>176</v>
      </c>
      <c r="E119" s="142">
        <v>551330</v>
      </c>
      <c r="F119" s="143" t="s">
        <v>180</v>
      </c>
      <c r="G119" s="144">
        <v>3.1380264341599156</v>
      </c>
      <c r="H119" s="145">
        <v>5.736089347130946</v>
      </c>
      <c r="I119" s="146">
        <v>3.4512137571904526</v>
      </c>
      <c r="J119" s="147">
        <v>0.90712601571756524</v>
      </c>
      <c r="K119" s="148">
        <v>203</v>
      </c>
      <c r="M119" s="149">
        <f t="shared" si="8"/>
        <v>0.60166666666666668</v>
      </c>
      <c r="N119" s="138">
        <f t="shared" si="9"/>
        <v>3.4512137571904526</v>
      </c>
      <c r="O119" s="149"/>
      <c r="V119" s="158">
        <f t="shared" si="10"/>
        <v>199.78523011427353</v>
      </c>
      <c r="W119" s="158">
        <f t="shared" si="11"/>
        <v>65.372325454067621</v>
      </c>
      <c r="X119" s="158">
        <f t="shared" si="12"/>
        <v>37.719245736567196</v>
      </c>
      <c r="Y119" s="158">
        <f t="shared" si="13"/>
        <v>29.923712398152148</v>
      </c>
      <c r="Z119" s="158">
        <f t="shared" si="14"/>
        <v>16.205364704086342</v>
      </c>
      <c r="AA119" s="158">
        <f t="shared" si="15"/>
        <v>6.8684154653488019</v>
      </c>
    </row>
    <row r="120" spans="1:27" ht="19.5" thickBot="1" x14ac:dyDescent="0.35">
      <c r="A120" s="142">
        <v>30</v>
      </c>
      <c r="B120" s="143" t="s">
        <v>531</v>
      </c>
      <c r="C120" s="142">
        <v>6</v>
      </c>
      <c r="D120" s="143" t="s">
        <v>176</v>
      </c>
      <c r="E120" s="142">
        <v>451115</v>
      </c>
      <c r="F120" s="143" t="s">
        <v>532</v>
      </c>
      <c r="G120" s="144">
        <v>2.9645688839237225</v>
      </c>
      <c r="H120" s="145">
        <v>9.107563715728018</v>
      </c>
      <c r="I120" s="146">
        <v>7.3046034171885266</v>
      </c>
      <c r="J120" s="147">
        <v>0.80342926556086125</v>
      </c>
      <c r="K120" s="148">
        <v>72</v>
      </c>
      <c r="M120" s="149">
        <f t="shared" si="8"/>
        <v>0.80203703703703699</v>
      </c>
      <c r="N120" s="138">
        <f t="shared" si="9"/>
        <v>7.3046034171885266</v>
      </c>
      <c r="O120" s="149"/>
      <c r="V120" s="158">
        <f t="shared" si="10"/>
        <v>125.40356385310392</v>
      </c>
      <c r="W120" s="158">
        <f t="shared" si="11"/>
        <v>30.144251496257876</v>
      </c>
      <c r="X120" s="158">
        <f t="shared" si="12"/>
        <v>10.546331452067205</v>
      </c>
      <c r="Y120" s="158">
        <f t="shared" si="13"/>
        <v>5.0215855420702349</v>
      </c>
      <c r="Z120" s="158">
        <f t="shared" si="14"/>
        <v>-4.7006979790872636</v>
      </c>
      <c r="AA120" s="158">
        <f t="shared" si="15"/>
        <v>-11.317855507535789</v>
      </c>
    </row>
    <row r="121" spans="1:27" ht="19.5" thickBot="1" x14ac:dyDescent="0.35">
      <c r="A121" s="142">
        <v>30</v>
      </c>
      <c r="B121" s="143" t="s">
        <v>531</v>
      </c>
      <c r="C121" s="142">
        <v>6</v>
      </c>
      <c r="D121" s="143" t="s">
        <v>176</v>
      </c>
      <c r="E121" s="142">
        <v>551128</v>
      </c>
      <c r="F121" s="143" t="s">
        <v>182</v>
      </c>
      <c r="G121" s="144">
        <v>3.2593973529457401</v>
      </c>
      <c r="H121" s="145">
        <v>16.2606746772069</v>
      </c>
      <c r="I121" s="146">
        <v>10.650741913570521</v>
      </c>
      <c r="J121" s="147">
        <v>0.71338291202151383</v>
      </c>
      <c r="K121" s="148">
        <v>23</v>
      </c>
      <c r="M121" s="149">
        <f t="shared" si="8"/>
        <v>0.65500000000000003</v>
      </c>
      <c r="N121" s="138">
        <f t="shared" si="9"/>
        <v>10.650741913570521</v>
      </c>
      <c r="O121" s="149"/>
      <c r="V121" s="158">
        <f t="shared" si="10"/>
        <v>149.90420670424484</v>
      </c>
      <c r="W121" s="158">
        <f t="shared" si="11"/>
        <v>21.660421320841287</v>
      </c>
      <c r="X121" s="158">
        <f t="shared" si="12"/>
        <v>-4.7234711294138947</v>
      </c>
      <c r="Y121" s="158">
        <f t="shared" si="13"/>
        <v>-12.161214602990093</v>
      </c>
      <c r="Z121" s="158">
        <f t="shared" si="14"/>
        <v>-25.24993433522231</v>
      </c>
      <c r="AA121" s="158">
        <f t="shared" si="15"/>
        <v>-34.158347685379553</v>
      </c>
    </row>
    <row r="122" spans="1:27" ht="19.5" thickBot="1" x14ac:dyDescent="0.35">
      <c r="A122" s="142">
        <v>30</v>
      </c>
      <c r="B122" s="143" t="s">
        <v>531</v>
      </c>
      <c r="C122" s="142">
        <v>6</v>
      </c>
      <c r="D122" s="143" t="s">
        <v>176</v>
      </c>
      <c r="E122" s="142">
        <v>451120</v>
      </c>
      <c r="F122" s="143" t="s">
        <v>183</v>
      </c>
      <c r="G122" s="144">
        <v>2.4762819978250414</v>
      </c>
      <c r="H122" s="145">
        <v>7.2689621035930845</v>
      </c>
      <c r="I122" s="146">
        <v>4.9004919515056713</v>
      </c>
      <c r="J122" s="147">
        <v>0.86812517435870318</v>
      </c>
      <c r="K122" s="148">
        <v>139</v>
      </c>
      <c r="M122" s="149">
        <f t="shared" si="8"/>
        <v>0.67416666666666669</v>
      </c>
      <c r="N122" s="138">
        <f t="shared" si="9"/>
        <v>4.9004919515056713</v>
      </c>
      <c r="O122" s="149"/>
      <c r="V122" s="158">
        <f t="shared" si="10"/>
        <v>134.65121756790117</v>
      </c>
      <c r="W122" s="158">
        <f t="shared" si="11"/>
        <v>39.989769228066208</v>
      </c>
      <c r="X122" s="158">
        <f t="shared" si="12"/>
        <v>20.514849139604689</v>
      </c>
      <c r="Y122" s="158">
        <f t="shared" si="13"/>
        <v>15.024777496101924</v>
      </c>
      <c r="Z122" s="158">
        <f t="shared" si="14"/>
        <v>5.3635127177493844</v>
      </c>
      <c r="AA122" s="158">
        <f t="shared" si="15"/>
        <v>-1.2121143788361299</v>
      </c>
    </row>
    <row r="123" spans="1:27" ht="19.5" thickBot="1" x14ac:dyDescent="0.35">
      <c r="A123" s="142">
        <v>30</v>
      </c>
      <c r="B123" s="143" t="s">
        <v>531</v>
      </c>
      <c r="C123" s="142">
        <v>6</v>
      </c>
      <c r="D123" s="143" t="s">
        <v>176</v>
      </c>
      <c r="E123" s="142">
        <v>451381</v>
      </c>
      <c r="F123" s="143" t="s">
        <v>533</v>
      </c>
      <c r="G123" s="144">
        <v>6.4918796420425462</v>
      </c>
      <c r="H123" s="145">
        <v>6.9317366435095531</v>
      </c>
      <c r="I123" s="146">
        <v>4.1705948805115813</v>
      </c>
      <c r="J123" s="147">
        <v>0.88776708989003361</v>
      </c>
      <c r="K123" s="148">
        <v>177</v>
      </c>
      <c r="M123" s="149">
        <f t="shared" si="8"/>
        <v>0.60166666666666668</v>
      </c>
      <c r="N123" s="138">
        <f t="shared" si="9"/>
        <v>4.1705948805115813</v>
      </c>
      <c r="O123" s="149"/>
      <c r="V123" s="158">
        <f t="shared" si="10"/>
        <v>404.49081012452297</v>
      </c>
      <c r="W123" s="158">
        <f t="shared" si="11"/>
        <v>126.42036753916631</v>
      </c>
      <c r="X123" s="158">
        <f t="shared" si="12"/>
        <v>69.212288185978721</v>
      </c>
      <c r="Y123" s="158">
        <f t="shared" si="13"/>
        <v>53.085061331668044</v>
      </c>
      <c r="Z123" s="158">
        <f t="shared" si="14"/>
        <v>24.704847211066181</v>
      </c>
      <c r="AA123" s="158">
        <f t="shared" si="15"/>
        <v>5.3887732539097248</v>
      </c>
    </row>
    <row r="124" spans="1:27" ht="19.5" thickBot="1" x14ac:dyDescent="0.35">
      <c r="A124" s="142">
        <v>30</v>
      </c>
      <c r="B124" s="143" t="s">
        <v>531</v>
      </c>
      <c r="C124" s="142">
        <v>6</v>
      </c>
      <c r="D124" s="143" t="s">
        <v>176</v>
      </c>
      <c r="E124" s="142">
        <v>551354</v>
      </c>
      <c r="F124" s="143" t="s">
        <v>185</v>
      </c>
      <c r="G124" s="144">
        <v>2.7823128830548205</v>
      </c>
      <c r="H124" s="145">
        <v>6.8288509591125086</v>
      </c>
      <c r="I124" s="146">
        <v>4.1566137548492712</v>
      </c>
      <c r="J124" s="147">
        <v>0.88814332936297447</v>
      </c>
      <c r="K124" s="148">
        <v>178</v>
      </c>
      <c r="M124" s="149">
        <f t="shared" si="8"/>
        <v>0.60868421052631572</v>
      </c>
      <c r="N124" s="138">
        <f t="shared" si="9"/>
        <v>4.1566137548492712</v>
      </c>
      <c r="O124" s="149"/>
      <c r="V124" s="158">
        <f t="shared" si="10"/>
        <v>171.43208156265266</v>
      </c>
      <c r="W124" s="158">
        <f t="shared" si="11"/>
        <v>53.629651130017372</v>
      </c>
      <c r="X124" s="158">
        <f t="shared" si="12"/>
        <v>29.393882935704966</v>
      </c>
      <c r="Y124" s="158">
        <f t="shared" si="13"/>
        <v>22.561705801333378</v>
      </c>
      <c r="Z124" s="158">
        <f t="shared" si="14"/>
        <v>10.538643700516076</v>
      </c>
      <c r="AA124" s="158">
        <f t="shared" si="15"/>
        <v>2.3555357174693716</v>
      </c>
    </row>
    <row r="125" spans="1:27" ht="19.5" thickBot="1" x14ac:dyDescent="0.35">
      <c r="A125" s="142">
        <v>30</v>
      </c>
      <c r="B125" s="143" t="s">
        <v>531</v>
      </c>
      <c r="C125" s="142">
        <v>6</v>
      </c>
      <c r="D125" s="143" t="s">
        <v>176</v>
      </c>
      <c r="E125" s="142">
        <v>451166</v>
      </c>
      <c r="F125" s="143" t="s">
        <v>186</v>
      </c>
      <c r="G125" s="144">
        <v>6.3293904736944011</v>
      </c>
      <c r="H125" s="145">
        <v>2.5278895442614338</v>
      </c>
      <c r="I125" s="146">
        <v>1.3129226320507823</v>
      </c>
      <c r="J125" s="147">
        <v>0.9646685588109144</v>
      </c>
      <c r="K125" s="148">
        <v>262</v>
      </c>
      <c r="M125" s="149">
        <f t="shared" si="8"/>
        <v>0.51937500000000003</v>
      </c>
      <c r="N125" s="138">
        <f t="shared" si="9"/>
        <v>1.3129226320507823</v>
      </c>
      <c r="O125" s="149"/>
      <c r="V125" s="158">
        <f t="shared" si="10"/>
        <v>496.42549954726638</v>
      </c>
      <c r="W125" s="158">
        <f t="shared" si="11"/>
        <v>182.3593225512314</v>
      </c>
      <c r="X125" s="158">
        <f t="shared" si="12"/>
        <v>117.74575697880913</v>
      </c>
      <c r="Y125" s="158">
        <f t="shared" si="13"/>
        <v>99.530888700867692</v>
      </c>
      <c r="Z125" s="158">
        <f t="shared" si="14"/>
        <v>67.476905298980967</v>
      </c>
      <c r="AA125" s="158">
        <f t="shared" si="15"/>
        <v>45.660399215510346</v>
      </c>
    </row>
    <row r="126" spans="1:27" ht="19.5" thickBot="1" x14ac:dyDescent="0.35">
      <c r="A126" s="142">
        <v>30</v>
      </c>
      <c r="B126" s="143" t="s">
        <v>531</v>
      </c>
      <c r="C126" s="142">
        <v>2</v>
      </c>
      <c r="D126" s="143" t="s">
        <v>187</v>
      </c>
      <c r="E126" s="142">
        <v>508815</v>
      </c>
      <c r="F126" s="143" t="s">
        <v>188</v>
      </c>
      <c r="G126" s="144">
        <v>2.9213564213564207</v>
      </c>
      <c r="H126" s="145">
        <v>11.638429241788099</v>
      </c>
      <c r="I126" s="146">
        <v>7.7138824401086703</v>
      </c>
      <c r="J126" s="147">
        <v>0.79241535097425519</v>
      </c>
      <c r="K126" s="148">
        <v>64</v>
      </c>
      <c r="M126" s="149">
        <f t="shared" si="8"/>
        <v>0.66279411764705876</v>
      </c>
      <c r="N126" s="138">
        <f t="shared" si="9"/>
        <v>7.7138824401086703</v>
      </c>
      <c r="O126" s="149"/>
      <c r="V126" s="158">
        <f t="shared" si="10"/>
        <v>147.4870506801349</v>
      </c>
      <c r="W126" s="158">
        <f t="shared" si="11"/>
        <v>33.895449531148707</v>
      </c>
      <c r="X126" s="158">
        <f t="shared" si="12"/>
        <v>10.525985045932535</v>
      </c>
      <c r="Y126" s="158">
        <f t="shared" si="13"/>
        <v>3.9380230049408835</v>
      </c>
      <c r="Z126" s="158">
        <f t="shared" si="14"/>
        <v>-7.6552766386221567</v>
      </c>
      <c r="AA126" s="158">
        <f t="shared" si="15"/>
        <v>-15.545880718313652</v>
      </c>
    </row>
    <row r="127" spans="1:27" ht="19.5" thickBot="1" x14ac:dyDescent="0.35">
      <c r="A127" s="142">
        <v>30</v>
      </c>
      <c r="B127" s="143" t="s">
        <v>531</v>
      </c>
      <c r="C127" s="142">
        <v>2</v>
      </c>
      <c r="D127" s="143" t="s">
        <v>187</v>
      </c>
      <c r="E127" s="142">
        <v>408801</v>
      </c>
      <c r="F127" s="143" t="s">
        <v>189</v>
      </c>
      <c r="G127" s="144">
        <v>8.5281722426518165</v>
      </c>
      <c r="H127" s="145">
        <v>10.318740932539678</v>
      </c>
      <c r="I127" s="146">
        <v>6.6362402622395802</v>
      </c>
      <c r="J127" s="147">
        <v>0.82141527092444078</v>
      </c>
      <c r="K127" s="148">
        <v>88</v>
      </c>
      <c r="M127" s="149">
        <f t="shared" si="8"/>
        <v>0.64312500000000006</v>
      </c>
      <c r="N127" s="138">
        <f t="shared" si="9"/>
        <v>6.6362402622395802</v>
      </c>
      <c r="O127" s="149"/>
      <c r="V127" s="158">
        <f t="shared" si="10"/>
        <v>459.95829272552191</v>
      </c>
      <c r="W127" s="158">
        <f t="shared" si="11"/>
        <v>118.21429839290529</v>
      </c>
      <c r="X127" s="158">
        <f t="shared" si="12"/>
        <v>47.906511040589379</v>
      </c>
      <c r="Y127" s="158">
        <f t="shared" si="13"/>
        <v>28.086414839575152</v>
      </c>
      <c r="Z127" s="158">
        <f t="shared" si="14"/>
        <v>-6.7924009145022408</v>
      </c>
      <c r="AA127" s="158">
        <f t="shared" si="15"/>
        <v>-30.531537687072333</v>
      </c>
    </row>
    <row r="128" spans="1:27" ht="19.5" thickBot="1" x14ac:dyDescent="0.35">
      <c r="A128" s="142">
        <v>30</v>
      </c>
      <c r="B128" s="143" t="s">
        <v>531</v>
      </c>
      <c r="C128" s="142">
        <v>2</v>
      </c>
      <c r="D128" s="143" t="s">
        <v>187</v>
      </c>
      <c r="E128" s="142">
        <v>408822</v>
      </c>
      <c r="F128" s="143" t="s">
        <v>187</v>
      </c>
      <c r="G128" s="144">
        <v>4.154172973979426</v>
      </c>
      <c r="H128" s="145">
        <v>15.646917065596874</v>
      </c>
      <c r="I128" s="146">
        <v>9.8154314361494226</v>
      </c>
      <c r="J128" s="147">
        <v>0.73586155797305142</v>
      </c>
      <c r="K128" s="148">
        <v>30</v>
      </c>
      <c r="M128" s="149">
        <f t="shared" si="8"/>
        <v>0.62730769230769223</v>
      </c>
      <c r="N128" s="138">
        <f t="shared" si="9"/>
        <v>9.8154314361494226</v>
      </c>
      <c r="O128" s="149"/>
      <c r="V128" s="158">
        <f t="shared" si="10"/>
        <v>205.77622142011049</v>
      </c>
      <c r="W128" s="158">
        <f t="shared" si="11"/>
        <v>35.111292951114159</v>
      </c>
      <c r="X128" s="158">
        <f t="shared" si="12"/>
        <v>0</v>
      </c>
      <c r="Y128" s="158">
        <f t="shared" si="13"/>
        <v>-9.8980387555910259</v>
      </c>
      <c r="Z128" s="158">
        <f t="shared" si="14"/>
        <v>-27.31631294465933</v>
      </c>
      <c r="AA128" s="158">
        <f t="shared" si="15"/>
        <v>-39.171497370411558</v>
      </c>
    </row>
    <row r="129" spans="1:27" ht="19.5" thickBot="1" x14ac:dyDescent="0.35">
      <c r="A129" s="142">
        <v>30</v>
      </c>
      <c r="B129" s="143" t="s">
        <v>531</v>
      </c>
      <c r="C129" s="142">
        <v>2</v>
      </c>
      <c r="D129" s="143" t="s">
        <v>187</v>
      </c>
      <c r="E129" s="142">
        <v>508817</v>
      </c>
      <c r="F129" s="143" t="s">
        <v>190</v>
      </c>
      <c r="G129" s="144">
        <v>3.1974210582415354</v>
      </c>
      <c r="H129" s="145">
        <v>5.9422890053927722</v>
      </c>
      <c r="I129" s="146">
        <v>3.8624878535053022</v>
      </c>
      <c r="J129" s="147">
        <v>0.89605841265260389</v>
      </c>
      <c r="K129" s="148">
        <v>191</v>
      </c>
      <c r="M129" s="149">
        <f t="shared" si="8"/>
        <v>0.65</v>
      </c>
      <c r="N129" s="138">
        <f t="shared" si="9"/>
        <v>3.8624878535053022</v>
      </c>
      <c r="O129" s="149"/>
      <c r="V129" s="158">
        <f t="shared" si="10"/>
        <v>186.13065493280956</v>
      </c>
      <c r="W129" s="158">
        <f t="shared" si="11"/>
        <v>59.357647155817155</v>
      </c>
      <c r="X129" s="158">
        <f t="shared" si="12"/>
        <v>33.276341205716996</v>
      </c>
      <c r="Y129" s="158">
        <f t="shared" si="13"/>
        <v>25.92389829084204</v>
      </c>
      <c r="Z129" s="158">
        <f t="shared" si="14"/>
        <v>12.985287944582845</v>
      </c>
      <c r="AA129" s="158">
        <f t="shared" si="15"/>
        <v>4.1790416883311261</v>
      </c>
    </row>
    <row r="130" spans="1:27" ht="19.5" thickBot="1" x14ac:dyDescent="0.35">
      <c r="A130" s="142">
        <v>30</v>
      </c>
      <c r="B130" s="143" t="s">
        <v>531</v>
      </c>
      <c r="C130" s="142">
        <v>2</v>
      </c>
      <c r="D130" s="143" t="s">
        <v>187</v>
      </c>
      <c r="E130" s="142">
        <v>508802</v>
      </c>
      <c r="F130" s="143" t="s">
        <v>191</v>
      </c>
      <c r="G130" s="144">
        <v>3.6646238141786531</v>
      </c>
      <c r="H130" s="145">
        <v>7.640620543823978</v>
      </c>
      <c r="I130" s="146">
        <v>4.8245061148145689</v>
      </c>
      <c r="J130" s="147">
        <v>0.87016999334096234</v>
      </c>
      <c r="K130" s="148">
        <v>143</v>
      </c>
      <c r="M130" s="149">
        <f t="shared" si="8"/>
        <v>0.63142857142857145</v>
      </c>
      <c r="N130" s="138">
        <f t="shared" si="9"/>
        <v>4.8245061148145689</v>
      </c>
      <c r="O130" s="149"/>
      <c r="V130" s="158">
        <f t="shared" si="10"/>
        <v>213.25753401185287</v>
      </c>
      <c r="W130" s="158">
        <f t="shared" si="11"/>
        <v>63.687190774280481</v>
      </c>
      <c r="X130" s="158">
        <f t="shared" si="12"/>
        <v>32.915735939802715</v>
      </c>
      <c r="Y130" s="158">
        <f t="shared" si="13"/>
        <v>24.241117977381176</v>
      </c>
      <c r="Z130" s="158">
        <f t="shared" si="14"/>
        <v>8.9757833099929965</v>
      </c>
      <c r="AA130" s="158">
        <f t="shared" si="15"/>
        <v>-1.4140725298177415</v>
      </c>
    </row>
    <row r="131" spans="1:27" ht="19.5" thickBot="1" x14ac:dyDescent="0.35">
      <c r="A131" s="142">
        <v>30</v>
      </c>
      <c r="B131" s="143" t="s">
        <v>531</v>
      </c>
      <c r="C131" s="142">
        <v>2</v>
      </c>
      <c r="D131" s="143" t="s">
        <v>187</v>
      </c>
      <c r="E131" s="142">
        <v>508839</v>
      </c>
      <c r="F131" s="143" t="s">
        <v>192</v>
      </c>
      <c r="G131" s="144">
        <v>2.8205915806701234</v>
      </c>
      <c r="H131" s="145">
        <v>7.4452466439720304</v>
      </c>
      <c r="I131" s="146">
        <v>5.0574496845838581</v>
      </c>
      <c r="J131" s="147">
        <v>0.8639013588953639</v>
      </c>
      <c r="K131" s="148">
        <v>136</v>
      </c>
      <c r="M131" s="149">
        <f t="shared" si="8"/>
        <v>0.67928571428571438</v>
      </c>
      <c r="N131" s="138">
        <f t="shared" si="9"/>
        <v>5.0574496845838581</v>
      </c>
      <c r="O131" s="149"/>
      <c r="V131" s="158">
        <f t="shared" si="10"/>
        <v>151.4771030438159</v>
      </c>
      <c r="W131" s="158">
        <f t="shared" si="11"/>
        <v>44.466196280248546</v>
      </c>
      <c r="X131" s="158">
        <f t="shared" si="12"/>
        <v>22.450593367301266</v>
      </c>
      <c r="Y131" s="158">
        <f t="shared" si="13"/>
        <v>16.244291276305777</v>
      </c>
      <c r="Z131" s="158">
        <f t="shared" si="14"/>
        <v>5.3226254604304817</v>
      </c>
      <c r="AA131" s="158">
        <f t="shared" si="15"/>
        <v>-2.1108527979893958</v>
      </c>
    </row>
    <row r="132" spans="1:27" ht="19.5" thickBot="1" x14ac:dyDescent="0.35">
      <c r="A132" s="142">
        <v>30</v>
      </c>
      <c r="B132" s="143" t="s">
        <v>531</v>
      </c>
      <c r="C132" s="142">
        <v>2</v>
      </c>
      <c r="D132" s="143" t="s">
        <v>187</v>
      </c>
      <c r="E132" s="142">
        <v>508819</v>
      </c>
      <c r="F132" s="143" t="s">
        <v>193</v>
      </c>
      <c r="G132" s="144">
        <v>1.9545245414810632</v>
      </c>
      <c r="H132" s="145">
        <v>4.6047004317378111</v>
      </c>
      <c r="I132" s="146">
        <v>2.9930552806295774</v>
      </c>
      <c r="J132" s="147">
        <v>0.91945530220766625</v>
      </c>
      <c r="K132" s="148">
        <v>217</v>
      </c>
      <c r="M132" s="149">
        <f t="shared" si="8"/>
        <v>0.65</v>
      </c>
      <c r="N132" s="138">
        <f t="shared" si="9"/>
        <v>2.9930552806295774</v>
      </c>
      <c r="O132" s="149"/>
      <c r="V132" s="158">
        <f t="shared" si="10"/>
        <v>116.74908956092445</v>
      </c>
      <c r="W132" s="158">
        <f t="shared" si="11"/>
        <v>39.255087243390513</v>
      </c>
      <c r="X132" s="158">
        <f t="shared" si="12"/>
        <v>23.312065781781058</v>
      </c>
      <c r="Y132" s="158">
        <f t="shared" si="13"/>
        <v>18.817652986218583</v>
      </c>
      <c r="Z132" s="158">
        <f t="shared" si="14"/>
        <v>10.908519033015583</v>
      </c>
      <c r="AA132" s="158">
        <f t="shared" si="15"/>
        <v>5.525423058900838</v>
      </c>
    </row>
    <row r="133" spans="1:27" ht="19.5" thickBot="1" x14ac:dyDescent="0.35">
      <c r="A133" s="142">
        <v>30</v>
      </c>
      <c r="B133" s="143" t="s">
        <v>531</v>
      </c>
      <c r="C133" s="142">
        <v>2</v>
      </c>
      <c r="D133" s="143" t="s">
        <v>187</v>
      </c>
      <c r="E133" s="142">
        <v>408840</v>
      </c>
      <c r="F133" s="143" t="s">
        <v>194</v>
      </c>
      <c r="G133" s="144">
        <v>5.9904369278843319</v>
      </c>
      <c r="H133" s="145">
        <v>11.852223945386797</v>
      </c>
      <c r="I133" s="146">
        <v>8.4634894933959242</v>
      </c>
      <c r="J133" s="147">
        <v>0.77224302941348411</v>
      </c>
      <c r="K133" s="148">
        <v>51</v>
      </c>
      <c r="M133" s="149">
        <f t="shared" si="8"/>
        <v>0.71408450704225357</v>
      </c>
      <c r="N133" s="138">
        <f t="shared" si="9"/>
        <v>8.4634894933959242</v>
      </c>
      <c r="O133" s="149"/>
      <c r="V133" s="158">
        <f t="shared" si="10"/>
        <v>273.56340194930544</v>
      </c>
      <c r="W133" s="158">
        <f t="shared" si="11"/>
        <v>57.366627879582857</v>
      </c>
      <c r="X133" s="158">
        <f t="shared" si="12"/>
        <v>12.887962359110256</v>
      </c>
      <c r="Y133" s="158">
        <f t="shared" si="13"/>
        <v>0.34921718297631921</v>
      </c>
      <c r="Z133" s="158">
        <f t="shared" si="14"/>
        <v>-21.716093618255965</v>
      </c>
      <c r="AA133" s="158">
        <f t="shared" si="15"/>
        <v>-36.734133070426502</v>
      </c>
    </row>
    <row r="134" spans="1:27" ht="19.5" thickBot="1" x14ac:dyDescent="0.35">
      <c r="A134" s="142">
        <v>30</v>
      </c>
      <c r="B134" s="143" t="s">
        <v>531</v>
      </c>
      <c r="C134" s="142">
        <v>2</v>
      </c>
      <c r="D134" s="143" t="s">
        <v>187</v>
      </c>
      <c r="E134" s="142">
        <v>408862</v>
      </c>
      <c r="F134" s="143" t="s">
        <v>195</v>
      </c>
      <c r="G134" s="144">
        <v>3.8731675345588394</v>
      </c>
      <c r="H134" s="145">
        <v>14.200263610921906</v>
      </c>
      <c r="I134" s="146">
        <v>9.3670102509863042</v>
      </c>
      <c r="J134" s="147">
        <v>0.74792880881081292</v>
      </c>
      <c r="K134" s="148">
        <v>36</v>
      </c>
      <c r="M134" s="149">
        <f t="shared" ref="M134:M197" si="16">IF(ISERROR(I134/H134),$O$3,(I134/H134))</f>
        <v>0.65963636363636358</v>
      </c>
      <c r="N134" s="138">
        <f t="shared" ref="N134:N197" si="17">I134</f>
        <v>9.3670102509863042</v>
      </c>
      <c r="O134" s="149"/>
      <c r="V134" s="158">
        <f t="shared" ref="V134:V197" si="18">(((($O$5-N134))/M134)*G134)+((((($O$5-N134)/$T$2))*$T$3/M134)*G134)</f>
        <v>185.44582714964776</v>
      </c>
      <c r="W134" s="158">
        <f t="shared" ref="W134:W197" si="19">(((($P$5-N134))/M134)*G134)+((((($P$5-N134)/$T$2))*$T$3/M134)*G134)</f>
        <v>34.123847550428316</v>
      </c>
      <c r="X134" s="158">
        <f t="shared" ref="X134:X197" si="20">(((($Q$5-N134))/M134)*G134)+((((($Q$5-N134)/$T$2))*$T$3/M134)*G134)</f>
        <v>2.9920244903910351</v>
      </c>
      <c r="Y134" s="158">
        <f t="shared" ref="Y134:Y197" si="21">(((($R$5-N134))/M134)*G134)+((((($R$5-N134)/$T$2))*$T$3/M134)*G134)</f>
        <v>-5.7841829711081383</v>
      </c>
      <c r="Z134" s="158">
        <f t="shared" ref="Z134:Z197" si="22">(((($S$5-N134))/M134)*G134)+((((($S$5-N134)/$T$2))*$T$3/M134)*G134)</f>
        <v>-21.228291817235991</v>
      </c>
      <c r="AA134" s="158">
        <f t="shared" ref="AA134:AA197" si="23">(((($T$5-N134))/M134)*G134)+((((($T$5-N134)/$T$2))*$T$3/M134)*G134)</f>
        <v>-31.739824514151863</v>
      </c>
    </row>
    <row r="135" spans="1:27" ht="19.5" thickBot="1" x14ac:dyDescent="0.35">
      <c r="A135" s="142">
        <v>30</v>
      </c>
      <c r="B135" s="143" t="s">
        <v>531</v>
      </c>
      <c r="C135" s="142">
        <v>2</v>
      </c>
      <c r="D135" s="143" t="s">
        <v>187</v>
      </c>
      <c r="E135" s="142">
        <v>508860</v>
      </c>
      <c r="F135" s="143" t="s">
        <v>196</v>
      </c>
      <c r="G135" s="144">
        <v>2.780643064148463</v>
      </c>
      <c r="H135" s="145">
        <v>10.069613162872686</v>
      </c>
      <c r="I135" s="146">
        <v>7.3004695430826976</v>
      </c>
      <c r="J135" s="147">
        <v>0.80354051029553775</v>
      </c>
      <c r="K135" s="148">
        <v>73</v>
      </c>
      <c r="M135" s="149">
        <f t="shared" si="16"/>
        <v>0.72499999999999998</v>
      </c>
      <c r="N135" s="138">
        <f t="shared" si="17"/>
        <v>7.3004695430826976</v>
      </c>
      <c r="O135" s="149"/>
      <c r="V135" s="158">
        <f t="shared" si="18"/>
        <v>130.13979672511232</v>
      </c>
      <c r="W135" s="158">
        <f t="shared" si="19"/>
        <v>31.296423530259226</v>
      </c>
      <c r="X135" s="158">
        <f t="shared" si="20"/>
        <v>10.961146308077863</v>
      </c>
      <c r="Y135" s="158">
        <f t="shared" si="21"/>
        <v>5.2285359387849413</v>
      </c>
      <c r="Z135" s="158">
        <f t="shared" si="22"/>
        <v>-4.8595412750002147</v>
      </c>
      <c r="AA135" s="158">
        <f t="shared" si="23"/>
        <v>-11.725664438092352</v>
      </c>
    </row>
    <row r="136" spans="1:27" ht="19.5" thickBot="1" x14ac:dyDescent="0.35">
      <c r="A136" s="142">
        <v>30</v>
      </c>
      <c r="B136" s="143" t="s">
        <v>531</v>
      </c>
      <c r="C136" s="142">
        <v>2</v>
      </c>
      <c r="D136" s="143" t="s">
        <v>187</v>
      </c>
      <c r="E136" s="142">
        <v>408806</v>
      </c>
      <c r="F136" s="143" t="s">
        <v>534</v>
      </c>
      <c r="G136" s="144">
        <v>8.6991771745688098</v>
      </c>
      <c r="H136" s="145">
        <v>6.437390442363963</v>
      </c>
      <c r="I136" s="146">
        <v>4.6866501488424781</v>
      </c>
      <c r="J136" s="147">
        <v>0.87387977016665364</v>
      </c>
      <c r="K136" s="148">
        <v>148</v>
      </c>
      <c r="M136" s="149">
        <f t="shared" si="16"/>
        <v>0.72803571428571434</v>
      </c>
      <c r="N136" s="138">
        <f t="shared" si="17"/>
        <v>4.6866501488424781</v>
      </c>
      <c r="O136" s="149"/>
      <c r="V136" s="158">
        <f t="shared" si="18"/>
        <v>440.9326790973189</v>
      </c>
      <c r="W136" s="158">
        <f t="shared" si="19"/>
        <v>132.99288729408161</v>
      </c>
      <c r="X136" s="158">
        <f t="shared" si="20"/>
        <v>69.639717206340094</v>
      </c>
      <c r="Y136" s="158">
        <f t="shared" si="21"/>
        <v>51.780160348348701</v>
      </c>
      <c r="Z136" s="158">
        <f t="shared" si="22"/>
        <v>20.351443414700565</v>
      </c>
      <c r="AA136" s="158">
        <f t="shared" si="23"/>
        <v>-1.0394952896057532</v>
      </c>
    </row>
    <row r="137" spans="1:27" ht="19.5" thickBot="1" x14ac:dyDescent="0.35">
      <c r="A137" s="142">
        <v>30</v>
      </c>
      <c r="B137" s="143" t="s">
        <v>531</v>
      </c>
      <c r="C137" s="142">
        <v>2</v>
      </c>
      <c r="D137" s="143" t="s">
        <v>187</v>
      </c>
      <c r="E137" s="142">
        <v>508833</v>
      </c>
      <c r="F137" s="143" t="s">
        <v>198</v>
      </c>
      <c r="G137" s="144">
        <v>2.9260884420239259</v>
      </c>
      <c r="H137" s="145">
        <v>27.682006748905263</v>
      </c>
      <c r="I137" s="146">
        <v>16.506678098421286</v>
      </c>
      <c r="J137" s="147">
        <v>0.55579657763186496</v>
      </c>
      <c r="K137" s="148">
        <v>7</v>
      </c>
      <c r="M137" s="149">
        <f t="shared" si="16"/>
        <v>0.59629629629629632</v>
      </c>
      <c r="N137" s="138">
        <f t="shared" si="17"/>
        <v>16.506678098421286</v>
      </c>
      <c r="O137" s="149"/>
      <c r="V137" s="158">
        <f t="shared" si="18"/>
        <v>115.16919061585979</v>
      </c>
      <c r="W137" s="158">
        <f t="shared" si="19"/>
        <v>-11.294443268306781</v>
      </c>
      <c r="X137" s="158">
        <f t="shared" si="20"/>
        <v>-37.312101007378004</v>
      </c>
      <c r="Y137" s="158">
        <f t="shared" si="21"/>
        <v>-44.646601191964848</v>
      </c>
      <c r="Z137" s="158">
        <f t="shared" si="22"/>
        <v>-57.553636455162035</v>
      </c>
      <c r="AA137" s="158">
        <f t="shared" si="23"/>
        <v>-66.338392153342653</v>
      </c>
    </row>
    <row r="138" spans="1:27" ht="19.5" thickBot="1" x14ac:dyDescent="0.35">
      <c r="A138" s="142">
        <v>30</v>
      </c>
      <c r="B138" s="143" t="s">
        <v>531</v>
      </c>
      <c r="C138" s="142">
        <v>2</v>
      </c>
      <c r="D138" s="143" t="s">
        <v>187</v>
      </c>
      <c r="E138" s="142">
        <v>508820</v>
      </c>
      <c r="F138" s="143" t="s">
        <v>199</v>
      </c>
      <c r="G138" s="144">
        <v>2.846087604152121</v>
      </c>
      <c r="H138" s="145">
        <v>27.406043259598473</v>
      </c>
      <c r="I138" s="146">
        <v>19.625186490575288</v>
      </c>
      <c r="J138" s="147">
        <v>0.47187587037514295</v>
      </c>
      <c r="K138" s="148">
        <v>3</v>
      </c>
      <c r="M138" s="149">
        <f t="shared" si="16"/>
        <v>0.71608974358974353</v>
      </c>
      <c r="N138" s="138">
        <f t="shared" si="17"/>
        <v>19.625186490575288</v>
      </c>
      <c r="O138" s="149"/>
      <c r="V138" s="158">
        <f t="shared" si="18"/>
        <v>79.196080791662766</v>
      </c>
      <c r="W138" s="158">
        <f t="shared" si="19"/>
        <v>-23.232494126425024</v>
      </c>
      <c r="X138" s="158">
        <f t="shared" si="20"/>
        <v>-44.305363243570319</v>
      </c>
      <c r="Y138" s="158">
        <f t="shared" si="21"/>
        <v>-50.245904239978792</v>
      </c>
      <c r="Z138" s="158">
        <f t="shared" si="22"/>
        <v>-60.699891586552397</v>
      </c>
      <c r="AA138" s="158">
        <f t="shared" si="23"/>
        <v>-67.815059635513933</v>
      </c>
    </row>
    <row r="139" spans="1:27" ht="19.5" thickBot="1" x14ac:dyDescent="0.35">
      <c r="A139" s="142">
        <v>30</v>
      </c>
      <c r="B139" s="143" t="s">
        <v>531</v>
      </c>
      <c r="C139" s="142">
        <v>2</v>
      </c>
      <c r="D139" s="143" t="s">
        <v>187</v>
      </c>
      <c r="E139" s="142">
        <v>408814</v>
      </c>
      <c r="F139" s="143" t="s">
        <v>200</v>
      </c>
      <c r="G139" s="144">
        <v>0.62457229747552401</v>
      </c>
      <c r="H139" s="145">
        <v>27.218626360331331</v>
      </c>
      <c r="I139" s="146">
        <v>18.948967233795372</v>
      </c>
      <c r="J139" s="147">
        <v>0.49007328758664132</v>
      </c>
      <c r="K139" s="148">
        <v>4</v>
      </c>
      <c r="M139" s="149">
        <f t="shared" si="16"/>
        <v>0.69617647058823529</v>
      </c>
      <c r="N139" s="138">
        <f t="shared" si="17"/>
        <v>18.948967233795372</v>
      </c>
      <c r="O139" s="149"/>
      <c r="V139" s="158">
        <f t="shared" si="18"/>
        <v>18.566050068305515</v>
      </c>
      <c r="W139" s="158">
        <f t="shared" si="19"/>
        <v>-4.5547946362079124</v>
      </c>
      <c r="X139" s="158">
        <f t="shared" si="20"/>
        <v>-9.311499830297409</v>
      </c>
      <c r="Y139" s="158">
        <f t="shared" si="21"/>
        <v>-10.652437414839563</v>
      </c>
      <c r="Z139" s="158">
        <f t="shared" si="22"/>
        <v>-13.012179490489531</v>
      </c>
      <c r="AA139" s="158">
        <f t="shared" si="23"/>
        <v>-14.618261539743006</v>
      </c>
    </row>
    <row r="140" spans="1:27" ht="19.5" thickBot="1" x14ac:dyDescent="0.35">
      <c r="A140" s="142">
        <v>30</v>
      </c>
      <c r="B140" s="143" t="s">
        <v>531</v>
      </c>
      <c r="C140" s="142">
        <v>11</v>
      </c>
      <c r="D140" s="143" t="s">
        <v>201</v>
      </c>
      <c r="E140" s="142">
        <v>551367</v>
      </c>
      <c r="F140" s="143" t="s">
        <v>202</v>
      </c>
      <c r="G140" s="144">
        <v>2.7066750453847233</v>
      </c>
      <c r="H140" s="145">
        <v>11.822623500580418</v>
      </c>
      <c r="I140" s="146">
        <v>7.8454190635882872</v>
      </c>
      <c r="J140" s="147">
        <v>0.78887563099134816</v>
      </c>
      <c r="K140" s="148">
        <v>61</v>
      </c>
      <c r="M140" s="149">
        <f t="shared" si="16"/>
        <v>0.66359374999999998</v>
      </c>
      <c r="N140" s="138">
        <f t="shared" si="17"/>
        <v>7.8454190635882872</v>
      </c>
      <c r="O140" s="149"/>
      <c r="V140" s="158">
        <f t="shared" si="18"/>
        <v>135.87435082080938</v>
      </c>
      <c r="W140" s="158">
        <f t="shared" si="19"/>
        <v>30.75706176393507</v>
      </c>
      <c r="X140" s="158">
        <f t="shared" si="20"/>
        <v>9.1310372291206665</v>
      </c>
      <c r="Y140" s="158">
        <f t="shared" si="21"/>
        <v>3.0345591167086057</v>
      </c>
      <c r="Z140" s="158">
        <f t="shared" si="22"/>
        <v>-7.6938417283238598</v>
      </c>
      <c r="AA140" s="158">
        <f t="shared" si="23"/>
        <v>-14.995780441120019</v>
      </c>
    </row>
    <row r="141" spans="1:27" ht="19.5" thickBot="1" x14ac:dyDescent="0.35">
      <c r="A141" s="142">
        <v>30</v>
      </c>
      <c r="B141" s="143" t="s">
        <v>531</v>
      </c>
      <c r="C141" s="142">
        <v>11</v>
      </c>
      <c r="D141" s="143" t="s">
        <v>201</v>
      </c>
      <c r="E141" s="142">
        <v>551340</v>
      </c>
      <c r="F141" s="143" t="s">
        <v>203</v>
      </c>
      <c r="G141" s="144">
        <v>2.9894179894179898</v>
      </c>
      <c r="H141" s="145">
        <v>8.6973451327433615</v>
      </c>
      <c r="I141" s="146">
        <v>5.3053805309734505</v>
      </c>
      <c r="J141" s="147">
        <v>0.85722940892334509</v>
      </c>
      <c r="K141" s="148">
        <v>125</v>
      </c>
      <c r="M141" s="149">
        <f t="shared" si="16"/>
        <v>0.61</v>
      </c>
      <c r="N141" s="138">
        <f t="shared" si="17"/>
        <v>5.3053805309734505</v>
      </c>
      <c r="O141" s="149"/>
      <c r="V141" s="158">
        <f t="shared" si="18"/>
        <v>177.39810660847607</v>
      </c>
      <c r="W141" s="158">
        <f t="shared" si="19"/>
        <v>51.099915995150411</v>
      </c>
      <c r="X141" s="158">
        <f t="shared" si="20"/>
        <v>25.116295285253241</v>
      </c>
      <c r="Y141" s="158">
        <f t="shared" si="21"/>
        <v>17.791390299406551</v>
      </c>
      <c r="Z141" s="158">
        <f t="shared" si="22"/>
        <v>4.9012403815471206</v>
      </c>
      <c r="AA141" s="158">
        <f t="shared" si="23"/>
        <v>-3.8720228529772953</v>
      </c>
    </row>
    <row r="142" spans="1:27" ht="19.5" thickBot="1" x14ac:dyDescent="0.35">
      <c r="A142" s="142">
        <v>30</v>
      </c>
      <c r="B142" s="143" t="s">
        <v>531</v>
      </c>
      <c r="C142" s="142">
        <v>11</v>
      </c>
      <c r="D142" s="143" t="s">
        <v>201</v>
      </c>
      <c r="E142" s="142">
        <v>551369</v>
      </c>
      <c r="F142" s="143" t="s">
        <v>204</v>
      </c>
      <c r="G142" s="144">
        <v>2.9247757073844021</v>
      </c>
      <c r="H142" s="145">
        <v>3.4190655969797086</v>
      </c>
      <c r="I142" s="146">
        <v>2.6685806984426623</v>
      </c>
      <c r="J142" s="147">
        <v>0.92818708452143683</v>
      </c>
      <c r="K142" s="148">
        <v>225</v>
      </c>
      <c r="M142" s="149">
        <f t="shared" si="16"/>
        <v>0.78049999999999997</v>
      </c>
      <c r="N142" s="138">
        <f t="shared" si="17"/>
        <v>2.6685806984426623</v>
      </c>
      <c r="O142" s="149"/>
      <c r="V142" s="158">
        <f t="shared" si="18"/>
        <v>146.87581524348445</v>
      </c>
      <c r="W142" s="158">
        <f t="shared" si="19"/>
        <v>50.301868655416506</v>
      </c>
      <c r="X142" s="158">
        <f t="shared" si="20"/>
        <v>30.433485851067243</v>
      </c>
      <c r="Y142" s="158">
        <f t="shared" si="21"/>
        <v>24.832495215883959</v>
      </c>
      <c r="Z142" s="158">
        <f t="shared" si="22"/>
        <v>14.976038495211029</v>
      </c>
      <c r="AA142" s="158">
        <f t="shared" si="23"/>
        <v>8.2675603222495671</v>
      </c>
    </row>
    <row r="143" spans="1:27" ht="19.5" thickBot="1" x14ac:dyDescent="0.35">
      <c r="A143" s="142">
        <v>30</v>
      </c>
      <c r="B143" s="143" t="s">
        <v>531</v>
      </c>
      <c r="C143" s="142">
        <v>11</v>
      </c>
      <c r="D143" s="143" t="s">
        <v>201</v>
      </c>
      <c r="E143" s="142">
        <v>551365</v>
      </c>
      <c r="F143" s="143" t="s">
        <v>205</v>
      </c>
      <c r="G143" s="144">
        <v>2.668153180775902</v>
      </c>
      <c r="H143" s="145">
        <v>6.7462393575040469</v>
      </c>
      <c r="I143" s="146">
        <v>4.38505558237763</v>
      </c>
      <c r="J143" s="147">
        <v>0.88199583917778501</v>
      </c>
      <c r="K143" s="148">
        <v>162</v>
      </c>
      <c r="M143" s="149">
        <f t="shared" si="16"/>
        <v>0.64999999999999991</v>
      </c>
      <c r="N143" s="138">
        <f t="shared" si="17"/>
        <v>4.38505558237763</v>
      </c>
      <c r="O143" s="149"/>
      <c r="V143" s="158">
        <f t="shared" si="18"/>
        <v>152.88294800352224</v>
      </c>
      <c r="W143" s="158">
        <f t="shared" si="19"/>
        <v>47.094627424081452</v>
      </c>
      <c r="X143" s="158">
        <f t="shared" si="20"/>
        <v>25.330550012324938</v>
      </c>
      <c r="Y143" s="158">
        <f t="shared" si="21"/>
        <v>19.195154144073001</v>
      </c>
      <c r="Z143" s="158">
        <f t="shared" si="22"/>
        <v>8.3982669899058813</v>
      </c>
      <c r="AA143" s="158">
        <f t="shared" si="23"/>
        <v>1.0497152879801821</v>
      </c>
    </row>
    <row r="144" spans="1:27" ht="19.5" thickBot="1" x14ac:dyDescent="0.35">
      <c r="A144" s="142">
        <v>30</v>
      </c>
      <c r="B144" s="143" t="s">
        <v>531</v>
      </c>
      <c r="C144" s="142">
        <v>11</v>
      </c>
      <c r="D144" s="143" t="s">
        <v>201</v>
      </c>
      <c r="E144" s="142">
        <v>451370</v>
      </c>
      <c r="F144" s="143" t="s">
        <v>535</v>
      </c>
      <c r="G144" s="144">
        <v>10.628939992255416</v>
      </c>
      <c r="H144" s="145">
        <v>13.453834540809746</v>
      </c>
      <c r="I144" s="146">
        <v>9.2389269364162043</v>
      </c>
      <c r="J144" s="147">
        <v>0.75137559842778212</v>
      </c>
      <c r="K144" s="148">
        <v>38</v>
      </c>
      <c r="M144" s="149">
        <f t="shared" si="16"/>
        <v>0.6867132867132868</v>
      </c>
      <c r="N144" s="138">
        <f t="shared" si="17"/>
        <v>9.2389269364162043</v>
      </c>
      <c r="O144" s="149"/>
      <c r="V144" s="158">
        <f t="shared" si="18"/>
        <v>491.0963444151264</v>
      </c>
      <c r="W144" s="158">
        <f t="shared" si="19"/>
        <v>92.204804949866798</v>
      </c>
      <c r="X144" s="158">
        <f t="shared" si="20"/>
        <v>10.139920128320375</v>
      </c>
      <c r="Y144" s="158">
        <f t="shared" si="21"/>
        <v>-12.994557191205528</v>
      </c>
      <c r="Z144" s="158">
        <f t="shared" si="22"/>
        <v>-53.705922252760352</v>
      </c>
      <c r="AA144" s="158">
        <f t="shared" si="23"/>
        <v>-81.414794887901394</v>
      </c>
    </row>
    <row r="145" spans="1:27" ht="19.5" thickBot="1" x14ac:dyDescent="0.35">
      <c r="A145" s="142">
        <v>30</v>
      </c>
      <c r="B145" s="143" t="s">
        <v>531</v>
      </c>
      <c r="C145" s="142">
        <v>11</v>
      </c>
      <c r="D145" s="143" t="s">
        <v>201</v>
      </c>
      <c r="E145" s="142">
        <v>551314</v>
      </c>
      <c r="F145" s="143" t="s">
        <v>207</v>
      </c>
      <c r="G145" s="144">
        <v>2.3655582742539263</v>
      </c>
      <c r="H145" s="145">
        <v>1.6909327677677104</v>
      </c>
      <c r="I145" s="146">
        <v>1.4668841760384888</v>
      </c>
      <c r="J145" s="147">
        <v>0.96052537237784519</v>
      </c>
      <c r="K145" s="148">
        <v>257</v>
      </c>
      <c r="M145" s="149">
        <f t="shared" si="16"/>
        <v>0.86749999999999994</v>
      </c>
      <c r="N145" s="138">
        <f t="shared" si="17"/>
        <v>1.4668841760384888</v>
      </c>
      <c r="O145" s="149"/>
      <c r="V145" s="158">
        <f t="shared" si="18"/>
        <v>110.60330857811314</v>
      </c>
      <c r="W145" s="158">
        <f t="shared" si="19"/>
        <v>40.327720621783968</v>
      </c>
      <c r="X145" s="158">
        <f t="shared" si="20"/>
        <v>25.869760347334772</v>
      </c>
      <c r="Y145" s="158">
        <f t="shared" si="21"/>
        <v>21.793993290777188</v>
      </c>
      <c r="Z145" s="158">
        <f t="shared" si="22"/>
        <v>14.621579656632672</v>
      </c>
      <c r="AA145" s="158">
        <f t="shared" si="23"/>
        <v>9.7399085170241353</v>
      </c>
    </row>
    <row r="146" spans="1:27" ht="19.5" thickBot="1" x14ac:dyDescent="0.35">
      <c r="A146" s="142">
        <v>30</v>
      </c>
      <c r="B146" s="143" t="s">
        <v>531</v>
      </c>
      <c r="C146" s="142">
        <v>11</v>
      </c>
      <c r="D146" s="143" t="s">
        <v>201</v>
      </c>
      <c r="E146" s="142">
        <v>451361</v>
      </c>
      <c r="F146" s="143" t="s">
        <v>208</v>
      </c>
      <c r="G146" s="144">
        <v>1.8899021605893966</v>
      </c>
      <c r="H146" s="145">
        <v>20.106860975358156</v>
      </c>
      <c r="I146" s="146">
        <v>13.49011633070411</v>
      </c>
      <c r="J146" s="147">
        <v>0.63697384740203122</v>
      </c>
      <c r="K146" s="148">
        <v>11</v>
      </c>
      <c r="M146" s="149">
        <f t="shared" si="16"/>
        <v>0.67092105263157897</v>
      </c>
      <c r="N146" s="138">
        <f t="shared" si="17"/>
        <v>13.49011633070411</v>
      </c>
      <c r="O146" s="149"/>
      <c r="V146" s="158">
        <f t="shared" si="18"/>
        <v>75.767788816991199</v>
      </c>
      <c r="W146" s="158">
        <f t="shared" si="19"/>
        <v>3.172536013058</v>
      </c>
      <c r="X146" s="158">
        <f t="shared" si="20"/>
        <v>-11.762654309434854</v>
      </c>
      <c r="Y146" s="158">
        <f t="shared" si="21"/>
        <v>-15.972954762909652</v>
      </c>
      <c r="Z146" s="158">
        <f t="shared" si="22"/>
        <v>-23.382116267309478</v>
      </c>
      <c r="AA146" s="158">
        <f t="shared" si="23"/>
        <v>-28.42492218030689</v>
      </c>
    </row>
    <row r="147" spans="1:27" ht="19.5" thickBot="1" x14ac:dyDescent="0.35">
      <c r="A147" s="142">
        <v>30</v>
      </c>
      <c r="B147" s="143" t="s">
        <v>531</v>
      </c>
      <c r="C147" s="142">
        <v>11</v>
      </c>
      <c r="D147" s="143" t="s">
        <v>201</v>
      </c>
      <c r="E147" s="142">
        <v>451350</v>
      </c>
      <c r="F147" s="143" t="s">
        <v>209</v>
      </c>
      <c r="G147" s="144">
        <v>8.0221390946569269</v>
      </c>
      <c r="H147" s="145">
        <v>6.7313716906212973</v>
      </c>
      <c r="I147" s="146">
        <v>4.951921118702427</v>
      </c>
      <c r="J147" s="147">
        <v>0.8667411883172883</v>
      </c>
      <c r="K147" s="148">
        <v>137</v>
      </c>
      <c r="M147" s="149">
        <f t="shared" si="16"/>
        <v>0.73564814814814827</v>
      </c>
      <c r="N147" s="138">
        <f t="shared" si="17"/>
        <v>4.951921118702427</v>
      </c>
      <c r="O147" s="149"/>
      <c r="V147" s="158">
        <f t="shared" si="18"/>
        <v>399.12100693141866</v>
      </c>
      <c r="W147" s="158">
        <f t="shared" si="19"/>
        <v>118.08603812594687</v>
      </c>
      <c r="X147" s="158">
        <f t="shared" si="20"/>
        <v>60.268059893654623</v>
      </c>
      <c r="Y147" s="158">
        <f t="shared" si="21"/>
        <v>43.968899674464026</v>
      </c>
      <c r="Z147" s="158">
        <f t="shared" si="22"/>
        <v>15.286122332432466</v>
      </c>
      <c r="AA147" s="158">
        <f t="shared" si="23"/>
        <v>-4.235881486176619</v>
      </c>
    </row>
    <row r="148" spans="1:27" ht="19.5" thickBot="1" x14ac:dyDescent="0.35">
      <c r="A148" s="142">
        <v>30</v>
      </c>
      <c r="B148" s="143" t="s">
        <v>531</v>
      </c>
      <c r="C148" s="142">
        <v>11</v>
      </c>
      <c r="D148" s="143" t="s">
        <v>201</v>
      </c>
      <c r="E148" s="142">
        <v>551310</v>
      </c>
      <c r="F148" s="143" t="s">
        <v>210</v>
      </c>
      <c r="G148" s="144">
        <v>3.6958525562848132</v>
      </c>
      <c r="H148" s="145">
        <v>18.940149514613264</v>
      </c>
      <c r="I148" s="146">
        <v>12.029700677424369</v>
      </c>
      <c r="J148" s="147">
        <v>0.67627440366167635</v>
      </c>
      <c r="K148" s="148">
        <v>15</v>
      </c>
      <c r="M148" s="149">
        <f t="shared" si="16"/>
        <v>0.63514285714285723</v>
      </c>
      <c r="N148" s="138">
        <f t="shared" si="17"/>
        <v>12.029700677424369</v>
      </c>
      <c r="O148" s="149"/>
      <c r="V148" s="158">
        <f t="shared" si="18"/>
        <v>166.17331296998799</v>
      </c>
      <c r="W148" s="158">
        <f t="shared" si="19"/>
        <v>16.210513625615306</v>
      </c>
      <c r="X148" s="158">
        <f t="shared" si="20"/>
        <v>-14.641682117143578</v>
      </c>
      <c r="Y148" s="158">
        <f t="shared" si="21"/>
        <v>-23.339061321665795</v>
      </c>
      <c r="Z148" s="158">
        <f t="shared" si="22"/>
        <v>-38.644450545879124</v>
      </c>
      <c r="AA148" s="158">
        <f t="shared" si="23"/>
        <v>-49.061568223062473</v>
      </c>
    </row>
    <row r="149" spans="1:27" ht="19.5" thickBot="1" x14ac:dyDescent="0.35">
      <c r="A149" s="142">
        <v>30</v>
      </c>
      <c r="B149" s="143" t="s">
        <v>531</v>
      </c>
      <c r="C149" s="142">
        <v>11</v>
      </c>
      <c r="D149" s="143" t="s">
        <v>201</v>
      </c>
      <c r="E149" s="142">
        <v>551309</v>
      </c>
      <c r="F149" s="143" t="s">
        <v>211</v>
      </c>
      <c r="G149" s="144">
        <v>2.8061909416748136</v>
      </c>
      <c r="H149" s="145">
        <v>16.748682102134175</v>
      </c>
      <c r="I149" s="146">
        <v>9.6465281809525987</v>
      </c>
      <c r="J149" s="147">
        <v>0.74040683374326977</v>
      </c>
      <c r="K149" s="148">
        <v>32</v>
      </c>
      <c r="M149" s="149">
        <f t="shared" si="16"/>
        <v>0.57595744680851069</v>
      </c>
      <c r="N149" s="138">
        <f t="shared" si="17"/>
        <v>9.6465281809525987</v>
      </c>
      <c r="O149" s="149"/>
      <c r="V149" s="158">
        <f t="shared" si="18"/>
        <v>152.33242254920575</v>
      </c>
      <c r="W149" s="158">
        <f t="shared" si="19"/>
        <v>26.767844753514758</v>
      </c>
      <c r="X149" s="158">
        <f t="shared" si="20"/>
        <v>0.93515191605004211</v>
      </c>
      <c r="Y149" s="158">
        <f t="shared" si="21"/>
        <v>-6.347205792124039</v>
      </c>
      <c r="Z149" s="158">
        <f t="shared" si="22"/>
        <v>-19.16248227628618</v>
      </c>
      <c r="AA149" s="158">
        <f t="shared" si="23"/>
        <v>-27.884785332124938</v>
      </c>
    </row>
    <row r="150" spans="1:27" ht="19.5" thickBot="1" x14ac:dyDescent="0.35">
      <c r="A150" s="142">
        <v>30</v>
      </c>
      <c r="B150" s="143" t="s">
        <v>531</v>
      </c>
      <c r="C150" s="142">
        <v>11</v>
      </c>
      <c r="D150" s="143" t="s">
        <v>201</v>
      </c>
      <c r="E150" s="142">
        <v>551305</v>
      </c>
      <c r="F150" s="143" t="s">
        <v>212</v>
      </c>
      <c r="G150" s="144">
        <v>3.7250110427726142</v>
      </c>
      <c r="H150" s="145">
        <v>0.80536674000489106</v>
      </c>
      <c r="I150" s="146">
        <v>0.2899320264017608</v>
      </c>
      <c r="J150" s="147">
        <v>0.99219777609923188</v>
      </c>
      <c r="K150" s="148">
        <v>279</v>
      </c>
      <c r="M150" s="149">
        <f t="shared" si="16"/>
        <v>0.36000000000000004</v>
      </c>
      <c r="N150" s="138">
        <f t="shared" si="17"/>
        <v>0.2899320264017608</v>
      </c>
      <c r="O150" s="149"/>
      <c r="V150" s="158">
        <f t="shared" si="18"/>
        <v>433.5292682624812</v>
      </c>
      <c r="W150" s="158">
        <f t="shared" si="19"/>
        <v>166.86465755793688</v>
      </c>
      <c r="X150" s="158">
        <f t="shared" si="20"/>
        <v>112.00312654429941</v>
      </c>
      <c r="Y150" s="158">
        <f t="shared" si="21"/>
        <v>96.537402712365974</v>
      </c>
      <c r="Z150" s="158">
        <f t="shared" si="22"/>
        <v>69.321281934412994</v>
      </c>
      <c r="AA150" s="158">
        <f t="shared" si="23"/>
        <v>50.797510424450415</v>
      </c>
    </row>
    <row r="151" spans="1:27" ht="19.5" thickBot="1" x14ac:dyDescent="0.35">
      <c r="A151" s="142">
        <v>30</v>
      </c>
      <c r="B151" s="143" t="s">
        <v>531</v>
      </c>
      <c r="C151" s="142">
        <v>11</v>
      </c>
      <c r="D151" s="143" t="s">
        <v>201</v>
      </c>
      <c r="E151" s="142">
        <v>451301</v>
      </c>
      <c r="F151" s="143" t="s">
        <v>213</v>
      </c>
      <c r="G151" s="144">
        <v>7.9314378250547959</v>
      </c>
      <c r="H151" s="145">
        <v>7.312671583553553</v>
      </c>
      <c r="I151" s="146">
        <v>4.8522097567768698</v>
      </c>
      <c r="J151" s="147">
        <v>0.86942447370955367</v>
      </c>
      <c r="K151" s="148">
        <v>140</v>
      </c>
      <c r="M151" s="149">
        <f t="shared" si="16"/>
        <v>0.66353448275862059</v>
      </c>
      <c r="N151" s="138">
        <f t="shared" si="17"/>
        <v>4.8522097567768698</v>
      </c>
      <c r="O151" s="149"/>
      <c r="V151" s="158">
        <f t="shared" si="18"/>
        <v>438.84928749089909</v>
      </c>
      <c r="W151" s="158">
        <f t="shared" si="19"/>
        <v>130.79394364081455</v>
      </c>
      <c r="X151" s="158">
        <f t="shared" si="20"/>
        <v>67.417000761531426</v>
      </c>
      <c r="Y151" s="158">
        <f t="shared" si="21"/>
        <v>49.55074224170334</v>
      </c>
      <c r="Z151" s="158">
        <f t="shared" si="22"/>
        <v>18.110231922893114</v>
      </c>
      <c r="AA151" s="158">
        <f t="shared" si="23"/>
        <v>-3.2887335672234892</v>
      </c>
    </row>
    <row r="152" spans="1:27" ht="19.5" thickBot="1" x14ac:dyDescent="0.35">
      <c r="A152" s="142">
        <v>30</v>
      </c>
      <c r="B152" s="143" t="s">
        <v>531</v>
      </c>
      <c r="C152" s="142">
        <v>11</v>
      </c>
      <c r="D152" s="143" t="s">
        <v>201</v>
      </c>
      <c r="E152" s="142">
        <v>551341</v>
      </c>
      <c r="F152" s="143" t="s">
        <v>214</v>
      </c>
      <c r="G152" s="144">
        <v>4.0442520442520431</v>
      </c>
      <c r="H152" s="145">
        <v>7.170670789724074</v>
      </c>
      <c r="I152" s="146">
        <v>4.2096782825880119</v>
      </c>
      <c r="J152" s="147">
        <v>0.88671533490598242</v>
      </c>
      <c r="K152" s="148">
        <v>172</v>
      </c>
      <c r="M152" s="149">
        <f t="shared" si="16"/>
        <v>0.5870689655172413</v>
      </c>
      <c r="N152" s="138">
        <f t="shared" si="17"/>
        <v>4.2096782825880119</v>
      </c>
      <c r="O152" s="149"/>
      <c r="V152" s="158">
        <f t="shared" si="18"/>
        <v>257.9457756718466</v>
      </c>
      <c r="W152" s="158">
        <f t="shared" si="19"/>
        <v>80.408557300648809</v>
      </c>
      <c r="X152" s="158">
        <f t="shared" si="20"/>
        <v>43.88341215291878</v>
      </c>
      <c r="Y152" s="158">
        <f t="shared" si="21"/>
        <v>33.58680180794579</v>
      </c>
      <c r="Z152" s="158">
        <f t="shared" si="22"/>
        <v>15.467133191228246</v>
      </c>
      <c r="AA152" s="158">
        <f t="shared" si="23"/>
        <v>3.1345673553133886</v>
      </c>
    </row>
    <row r="153" spans="1:27" ht="19.5" thickBot="1" x14ac:dyDescent="0.35">
      <c r="A153" s="142">
        <v>30</v>
      </c>
      <c r="B153" s="143" t="s">
        <v>531</v>
      </c>
      <c r="C153" s="142">
        <v>11</v>
      </c>
      <c r="D153" s="143" t="s">
        <v>201</v>
      </c>
      <c r="E153" s="142">
        <v>551306</v>
      </c>
      <c r="F153" s="143" t="s">
        <v>216</v>
      </c>
      <c r="G153" s="144">
        <v>4.911395056556346</v>
      </c>
      <c r="H153" s="145">
        <v>18.731948650147142</v>
      </c>
      <c r="I153" s="146">
        <v>12.320328400221779</v>
      </c>
      <c r="J153" s="147">
        <v>0.66845345820360658</v>
      </c>
      <c r="K153" s="148">
        <v>13</v>
      </c>
      <c r="M153" s="149">
        <f t="shared" si="16"/>
        <v>0.65771739130434792</v>
      </c>
      <c r="N153" s="138">
        <f t="shared" si="17"/>
        <v>12.320328400221779</v>
      </c>
      <c r="O153" s="149"/>
      <c r="V153" s="158">
        <f t="shared" si="18"/>
        <v>210.78117796593841</v>
      </c>
      <c r="W153" s="158">
        <f t="shared" si="19"/>
        <v>18.336518579996607</v>
      </c>
      <c r="X153" s="158">
        <f t="shared" si="20"/>
        <v>-21.255569104291052</v>
      </c>
      <c r="Y153" s="158">
        <f t="shared" si="21"/>
        <v>-32.416764986751488</v>
      </c>
      <c r="Z153" s="158">
        <f t="shared" si="22"/>
        <v>-52.057905515604411</v>
      </c>
      <c r="AA153" s="158">
        <f t="shared" si="23"/>
        <v>-65.426011952222822</v>
      </c>
    </row>
    <row r="154" spans="1:27" ht="19.5" thickBot="1" x14ac:dyDescent="0.35">
      <c r="A154" s="142">
        <v>30</v>
      </c>
      <c r="B154" s="143" t="s">
        <v>531</v>
      </c>
      <c r="C154" s="142">
        <v>11</v>
      </c>
      <c r="D154" s="143" t="s">
        <v>201</v>
      </c>
      <c r="E154" s="142">
        <v>551349</v>
      </c>
      <c r="F154" s="143" t="s">
        <v>217</v>
      </c>
      <c r="G154" s="144">
        <v>2.8078154285050836</v>
      </c>
      <c r="H154" s="145">
        <v>18.163587065675838</v>
      </c>
      <c r="I154" s="146">
        <v>11.934545148447006</v>
      </c>
      <c r="J154" s="147">
        <v>0.67883508918404301</v>
      </c>
      <c r="K154" s="148">
        <v>17</v>
      </c>
      <c r="M154" s="149">
        <f t="shared" si="16"/>
        <v>0.6570588235294117</v>
      </c>
      <c r="N154" s="138">
        <f t="shared" si="17"/>
        <v>11.934545148447006</v>
      </c>
      <c r="O154" s="149"/>
      <c r="V154" s="158">
        <f t="shared" si="18"/>
        <v>122.4965047778886</v>
      </c>
      <c r="W154" s="158">
        <f t="shared" si="19"/>
        <v>12.366762100471256</v>
      </c>
      <c r="X154" s="158">
        <f t="shared" si="20"/>
        <v>-10.290486184023688</v>
      </c>
      <c r="Y154" s="158">
        <f t="shared" si="21"/>
        <v>-16.677671125552962</v>
      </c>
      <c r="Z154" s="158">
        <f t="shared" si="22"/>
        <v>-27.917649201512909</v>
      </c>
      <c r="AA154" s="158">
        <f t="shared" si="23"/>
        <v>-35.567776394684884</v>
      </c>
    </row>
    <row r="155" spans="1:27" ht="19.5" thickBot="1" x14ac:dyDescent="0.35">
      <c r="A155" s="142">
        <v>30</v>
      </c>
      <c r="B155" s="143" t="s">
        <v>531</v>
      </c>
      <c r="C155" s="142">
        <v>11</v>
      </c>
      <c r="D155" s="143" t="s">
        <v>201</v>
      </c>
      <c r="E155" s="142">
        <v>451308</v>
      </c>
      <c r="F155" s="143" t="s">
        <v>218</v>
      </c>
      <c r="G155" s="144">
        <v>8.1451756454500952</v>
      </c>
      <c r="H155" s="145">
        <v>8.962360442254905</v>
      </c>
      <c r="I155" s="146">
        <v>6.1054545862100875</v>
      </c>
      <c r="J155" s="147">
        <v>0.83569899369594358</v>
      </c>
      <c r="K155" s="148">
        <v>103</v>
      </c>
      <c r="M155" s="149">
        <f t="shared" si="16"/>
        <v>0.68123287671232868</v>
      </c>
      <c r="N155" s="138">
        <f t="shared" si="17"/>
        <v>6.1054545862100875</v>
      </c>
      <c r="O155" s="149"/>
      <c r="V155" s="158">
        <f t="shared" si="18"/>
        <v>421.9391695664645</v>
      </c>
      <c r="W155" s="158">
        <f t="shared" si="19"/>
        <v>113.80122942653534</v>
      </c>
      <c r="X155" s="158">
        <f t="shared" si="20"/>
        <v>50.407293820302272</v>
      </c>
      <c r="Y155" s="158">
        <f t="shared" si="21"/>
        <v>32.536244970760386</v>
      </c>
      <c r="Z155" s="158">
        <f t="shared" si="22"/>
        <v>1.0873047722061546</v>
      </c>
      <c r="AA155" s="158">
        <f t="shared" si="23"/>
        <v>-20.317398242648387</v>
      </c>
    </row>
    <row r="156" spans="1:27" ht="19.5" thickBot="1" x14ac:dyDescent="0.35">
      <c r="A156" s="142">
        <v>30</v>
      </c>
      <c r="B156" s="143" t="s">
        <v>531</v>
      </c>
      <c r="C156" s="142">
        <v>11</v>
      </c>
      <c r="D156" s="143" t="s">
        <v>201</v>
      </c>
      <c r="E156" s="142">
        <v>551307</v>
      </c>
      <c r="F156" s="143" t="s">
        <v>215</v>
      </c>
      <c r="G156" s="144">
        <v>2.8994516251467903</v>
      </c>
      <c r="H156" s="145">
        <v>10.691676912675018</v>
      </c>
      <c r="I156" s="146">
        <v>6.499504884495507</v>
      </c>
      <c r="J156" s="147">
        <v>0.82509489212929887</v>
      </c>
      <c r="K156" s="148">
        <v>91</v>
      </c>
      <c r="M156" s="149">
        <f t="shared" si="16"/>
        <v>0.60790322580645162</v>
      </c>
      <c r="N156" s="138">
        <f t="shared" si="17"/>
        <v>6.499504884495507</v>
      </c>
      <c r="O156" s="149"/>
      <c r="V156" s="158">
        <f t="shared" si="18"/>
        <v>166.18064014691589</v>
      </c>
      <c r="W156" s="158">
        <f t="shared" si="19"/>
        <v>43.260869996177803</v>
      </c>
      <c r="X156" s="158">
        <f t="shared" si="20"/>
        <v>17.972299591214846</v>
      </c>
      <c r="Y156" s="158">
        <f t="shared" si="21"/>
        <v>10.843332558006434</v>
      </c>
      <c r="Z156" s="158">
        <f t="shared" si="22"/>
        <v>-1.7020115788925572</v>
      </c>
      <c r="AA156" s="158">
        <f t="shared" si="23"/>
        <v>-10.240593921384798</v>
      </c>
    </row>
    <row r="157" spans="1:27" ht="19.5" thickBot="1" x14ac:dyDescent="0.35">
      <c r="A157" s="142">
        <v>30</v>
      </c>
      <c r="B157" s="143" t="s">
        <v>531</v>
      </c>
      <c r="C157" s="142">
        <v>11</v>
      </c>
      <c r="D157" s="143" t="s">
        <v>201</v>
      </c>
      <c r="E157" s="142">
        <v>451336</v>
      </c>
      <c r="F157" s="143" t="s">
        <v>219</v>
      </c>
      <c r="G157" s="144">
        <v>4.9912352884692046</v>
      </c>
      <c r="H157" s="145">
        <v>7.6133457558668756</v>
      </c>
      <c r="I157" s="146">
        <v>5.1931032103176165</v>
      </c>
      <c r="J157" s="147">
        <v>0.86025085089926978</v>
      </c>
      <c r="K157" s="148">
        <v>128</v>
      </c>
      <c r="M157" s="149">
        <f t="shared" si="16"/>
        <v>0.68210526315789477</v>
      </c>
      <c r="N157" s="138">
        <f t="shared" si="17"/>
        <v>5.1931032103176165</v>
      </c>
      <c r="O157" s="149"/>
      <c r="V157" s="158">
        <f t="shared" si="18"/>
        <v>265.81339545410191</v>
      </c>
      <c r="W157" s="158">
        <f t="shared" si="19"/>
        <v>77.232817383511943</v>
      </c>
      <c r="X157" s="158">
        <f t="shared" si="20"/>
        <v>38.43569614175788</v>
      </c>
      <c r="Y157" s="158">
        <f t="shared" si="21"/>
        <v>27.49860504144111</v>
      </c>
      <c r="Z157" s="158">
        <f t="shared" si="22"/>
        <v>8.251837442301623</v>
      </c>
      <c r="AA157" s="158">
        <f t="shared" si="23"/>
        <v>-4.8478518271779514</v>
      </c>
    </row>
    <row r="158" spans="1:27" ht="19.5" thickBot="1" x14ac:dyDescent="0.35">
      <c r="A158" s="142">
        <v>110</v>
      </c>
      <c r="B158" s="143" t="s">
        <v>220</v>
      </c>
      <c r="C158" s="142">
        <v>26</v>
      </c>
      <c r="D158" s="143" t="s">
        <v>221</v>
      </c>
      <c r="E158" s="142">
        <v>554116</v>
      </c>
      <c r="F158" s="143" t="s">
        <v>222</v>
      </c>
      <c r="G158" s="144">
        <v>2.502116364877657</v>
      </c>
      <c r="H158" s="145">
        <v>6.3945866885301044</v>
      </c>
      <c r="I158" s="146">
        <v>4.1564813475445685</v>
      </c>
      <c r="J158" s="147">
        <v>0.8881468925134488</v>
      </c>
      <c r="K158" s="148">
        <v>179</v>
      </c>
      <c r="M158" s="149">
        <f t="shared" si="16"/>
        <v>0.65000000000000013</v>
      </c>
      <c r="N158" s="138">
        <f t="shared" si="17"/>
        <v>4.1564813475445685</v>
      </c>
      <c r="O158" s="149"/>
      <c r="V158" s="158">
        <f t="shared" si="18"/>
        <v>144.36903615188291</v>
      </c>
      <c r="W158" s="158">
        <f t="shared" si="19"/>
        <v>45.163829328724034</v>
      </c>
      <c r="X158" s="158">
        <f t="shared" si="20"/>
        <v>24.754111232035086</v>
      </c>
      <c r="Y158" s="158">
        <f t="shared" si="21"/>
        <v>19.000515629817187</v>
      </c>
      <c r="Z158" s="158">
        <f t="shared" si="22"/>
        <v>8.8755092273276261</v>
      </c>
      <c r="AA158" s="158">
        <f t="shared" si="23"/>
        <v>1.9842514074932707</v>
      </c>
    </row>
    <row r="159" spans="1:27" ht="19.5" thickBot="1" x14ac:dyDescent="0.35">
      <c r="A159" s="142">
        <v>110</v>
      </c>
      <c r="B159" s="143" t="s">
        <v>220</v>
      </c>
      <c r="C159" s="142">
        <v>26</v>
      </c>
      <c r="D159" s="143" t="s">
        <v>221</v>
      </c>
      <c r="E159" s="142">
        <v>454161</v>
      </c>
      <c r="F159" s="143" t="s">
        <v>223</v>
      </c>
      <c r="G159" s="144">
        <v>1.3746450681934557</v>
      </c>
      <c r="H159" s="145">
        <v>13.094289148874926</v>
      </c>
      <c r="I159" s="146">
        <v>8.765899124663493</v>
      </c>
      <c r="J159" s="147">
        <v>0.76410502657819612</v>
      </c>
      <c r="K159" s="148">
        <v>46</v>
      </c>
      <c r="M159" s="149">
        <f t="shared" si="16"/>
        <v>0.66944444444444451</v>
      </c>
      <c r="N159" s="138">
        <f t="shared" si="17"/>
        <v>8.765899124663493</v>
      </c>
      <c r="O159" s="149"/>
      <c r="V159" s="158">
        <f t="shared" si="18"/>
        <v>66.255845860027705</v>
      </c>
      <c r="W159" s="158">
        <f t="shared" si="19"/>
        <v>13.33626977204265</v>
      </c>
      <c r="X159" s="158">
        <f t="shared" si="20"/>
        <v>2.4490022148329493</v>
      </c>
      <c r="Y159" s="158">
        <f t="shared" si="21"/>
        <v>-0.62016975709612587</v>
      </c>
      <c r="Z159" s="158">
        <f t="shared" si="22"/>
        <v>-6.0212073020609527</v>
      </c>
      <c r="AA159" s="158">
        <f t="shared" si="23"/>
        <v>-9.6972486532847988</v>
      </c>
    </row>
    <row r="160" spans="1:27" ht="19.5" thickBot="1" x14ac:dyDescent="0.35">
      <c r="A160" s="142">
        <v>110</v>
      </c>
      <c r="B160" s="143" t="s">
        <v>220</v>
      </c>
      <c r="C160" s="142">
        <v>26</v>
      </c>
      <c r="D160" s="143" t="s">
        <v>221</v>
      </c>
      <c r="E160" s="142">
        <v>554166</v>
      </c>
      <c r="F160" s="143" t="s">
        <v>224</v>
      </c>
      <c r="G160" s="144">
        <v>2.7294855338704069</v>
      </c>
      <c r="H160" s="145">
        <v>5.1291717161614772</v>
      </c>
      <c r="I160" s="146">
        <v>3.3028202157996942</v>
      </c>
      <c r="J160" s="147">
        <v>0.91111936426111062</v>
      </c>
      <c r="K160" s="148">
        <v>206</v>
      </c>
      <c r="M160" s="149">
        <f t="shared" si="16"/>
        <v>0.64392857142857141</v>
      </c>
      <c r="N160" s="138">
        <f t="shared" si="17"/>
        <v>3.3028202157996942</v>
      </c>
      <c r="O160" s="149"/>
      <c r="V160" s="158">
        <f t="shared" si="18"/>
        <v>163.08480103187259</v>
      </c>
      <c r="W160" s="158">
        <f t="shared" si="19"/>
        <v>53.84436582854979</v>
      </c>
      <c r="X160" s="158">
        <f t="shared" si="20"/>
        <v>31.370076840535162</v>
      </c>
      <c r="Y160" s="158">
        <f t="shared" si="21"/>
        <v>25.034468985892982</v>
      </c>
      <c r="Z160" s="158">
        <f t="shared" si="22"/>
        <v>13.885254733298073</v>
      </c>
      <c r="AA160" s="158">
        <f t="shared" si="23"/>
        <v>6.2969029981019649</v>
      </c>
    </row>
    <row r="161" spans="1:27" ht="19.5" thickBot="1" x14ac:dyDescent="0.35">
      <c r="A161" s="142">
        <v>110</v>
      </c>
      <c r="B161" s="143" t="s">
        <v>220</v>
      </c>
      <c r="C161" s="142">
        <v>26</v>
      </c>
      <c r="D161" s="143" t="s">
        <v>221</v>
      </c>
      <c r="E161" s="142">
        <v>454171</v>
      </c>
      <c r="F161" s="143" t="s">
        <v>225</v>
      </c>
      <c r="G161" s="144">
        <v>1.1783439328771577</v>
      </c>
      <c r="H161" s="145">
        <v>3.3945946411700154</v>
      </c>
      <c r="I161" s="146">
        <v>1.4681621823060318</v>
      </c>
      <c r="J161" s="147">
        <v>0.96049098055445925</v>
      </c>
      <c r="K161" s="148">
        <v>256</v>
      </c>
      <c r="M161" s="149">
        <f t="shared" si="16"/>
        <v>0.43250000000000005</v>
      </c>
      <c r="N161" s="138">
        <f t="shared" si="17"/>
        <v>1.4681621823060318</v>
      </c>
      <c r="O161" s="149"/>
      <c r="V161" s="158">
        <f t="shared" si="18"/>
        <v>110.50307384741015</v>
      </c>
      <c r="W161" s="158">
        <f t="shared" si="19"/>
        <v>40.288659406477215</v>
      </c>
      <c r="X161" s="158">
        <f t="shared" si="20"/>
        <v>25.843284501729897</v>
      </c>
      <c r="Y161" s="158">
        <f t="shared" si="21"/>
        <v>21.771065320131967</v>
      </c>
      <c r="Z161" s="158">
        <f t="shared" si="22"/>
        <v>14.604895130811412</v>
      </c>
      <c r="AA161" s="158">
        <f t="shared" si="23"/>
        <v>9.7274733897963657</v>
      </c>
    </row>
    <row r="162" spans="1:27" ht="19.5" thickBot="1" x14ac:dyDescent="0.35">
      <c r="A162" s="142">
        <v>110</v>
      </c>
      <c r="B162" s="143" t="s">
        <v>220</v>
      </c>
      <c r="C162" s="142">
        <v>26</v>
      </c>
      <c r="D162" s="143" t="s">
        <v>221</v>
      </c>
      <c r="E162" s="142">
        <v>554266</v>
      </c>
      <c r="F162" s="143" t="s">
        <v>226</v>
      </c>
      <c r="G162" s="144">
        <v>3.1786816063864465</v>
      </c>
      <c r="H162" s="145">
        <v>16.358983515531794</v>
      </c>
      <c r="I162" s="146">
        <v>10.386381553178504</v>
      </c>
      <c r="J162" s="147">
        <v>0.72049698888933855</v>
      </c>
      <c r="K162" s="148">
        <v>26</v>
      </c>
      <c r="M162" s="149">
        <f t="shared" si="16"/>
        <v>0.63490384615384621</v>
      </c>
      <c r="N162" s="138">
        <f t="shared" si="17"/>
        <v>10.386381553178504</v>
      </c>
      <c r="O162" s="149"/>
      <c r="V162" s="158">
        <f t="shared" si="18"/>
        <v>152.32330378679649</v>
      </c>
      <c r="W162" s="158">
        <f t="shared" si="19"/>
        <v>23.296662863508622</v>
      </c>
      <c r="X162" s="158">
        <f t="shared" si="20"/>
        <v>-3.2482882790383001</v>
      </c>
      <c r="Y162" s="158">
        <f t="shared" si="21"/>
        <v>-10.731434956092308</v>
      </c>
      <c r="Z162" s="158">
        <f t="shared" si="22"/>
        <v>-23.90005389530549</v>
      </c>
      <c r="AA162" s="158">
        <f t="shared" si="23"/>
        <v>-32.862848054029008</v>
      </c>
    </row>
    <row r="163" spans="1:27" ht="19.5" thickBot="1" x14ac:dyDescent="0.35">
      <c r="A163" s="142">
        <v>110</v>
      </c>
      <c r="B163" s="143" t="s">
        <v>220</v>
      </c>
      <c r="C163" s="142">
        <v>26</v>
      </c>
      <c r="D163" s="143" t="s">
        <v>221</v>
      </c>
      <c r="E163" s="142">
        <v>554296</v>
      </c>
      <c r="F163" s="143" t="s">
        <v>227</v>
      </c>
      <c r="G163" s="144">
        <v>3.7074923414334346</v>
      </c>
      <c r="H163" s="145">
        <v>2.9669649960078002</v>
      </c>
      <c r="I163" s="146">
        <v>3.0586711867934957</v>
      </c>
      <c r="J163" s="147">
        <v>0.91768954353072285</v>
      </c>
      <c r="K163" s="148">
        <v>213</v>
      </c>
      <c r="M163" s="149">
        <f t="shared" si="16"/>
        <v>1.0309090909090908</v>
      </c>
      <c r="N163" s="138">
        <f t="shared" si="17"/>
        <v>3.0586711867934957</v>
      </c>
      <c r="O163" s="149"/>
      <c r="V163" s="158">
        <f t="shared" si="18"/>
        <v>139.36405878657342</v>
      </c>
      <c r="W163" s="158">
        <f t="shared" si="19"/>
        <v>46.681030926271035</v>
      </c>
      <c r="X163" s="158">
        <f t="shared" si="20"/>
        <v>27.613135887774433</v>
      </c>
      <c r="Y163" s="158">
        <f t="shared" si="21"/>
        <v>22.237806521767926</v>
      </c>
      <c r="Z163" s="158">
        <f t="shared" si="22"/>
        <v>12.778461790392271</v>
      </c>
      <c r="AA163" s="158">
        <f t="shared" si="23"/>
        <v>6.3402650368007762</v>
      </c>
    </row>
    <row r="164" spans="1:27" ht="19.5" thickBot="1" x14ac:dyDescent="0.35">
      <c r="A164" s="142">
        <v>110</v>
      </c>
      <c r="B164" s="143" t="s">
        <v>220</v>
      </c>
      <c r="C164" s="142">
        <v>26</v>
      </c>
      <c r="D164" s="143" t="s">
        <v>221</v>
      </c>
      <c r="E164" s="142">
        <v>554356</v>
      </c>
      <c r="F164" s="143" t="s">
        <v>228</v>
      </c>
      <c r="G164" s="144">
        <v>3.5906872100420477</v>
      </c>
      <c r="H164" s="145">
        <v>16.152896815348281</v>
      </c>
      <c r="I164" s="146">
        <v>10.475710581195269</v>
      </c>
      <c r="J164" s="147">
        <v>0.71809309758393647</v>
      </c>
      <c r="K164" s="148">
        <v>25</v>
      </c>
      <c r="M164" s="149">
        <f t="shared" si="16"/>
        <v>0.64853448275862069</v>
      </c>
      <c r="N164" s="138">
        <f t="shared" si="17"/>
        <v>10.475710581195269</v>
      </c>
      <c r="O164" s="149"/>
      <c r="V164" s="158">
        <f t="shared" si="18"/>
        <v>167.8882739096546</v>
      </c>
      <c r="W164" s="158">
        <f t="shared" si="19"/>
        <v>25.201137464721967</v>
      </c>
      <c r="X164" s="158">
        <f t="shared" si="20"/>
        <v>-4.1542192158613558</v>
      </c>
      <c r="Y164" s="158">
        <f t="shared" si="21"/>
        <v>-12.429632442972137</v>
      </c>
      <c r="Z164" s="158">
        <f t="shared" si="22"/>
        <v>-26.992458491338237</v>
      </c>
      <c r="AA164" s="158">
        <f t="shared" si="23"/>
        <v>-36.904174582699376</v>
      </c>
    </row>
    <row r="165" spans="1:27" ht="19.5" thickBot="1" x14ac:dyDescent="0.35">
      <c r="A165" s="142">
        <v>110</v>
      </c>
      <c r="B165" s="143" t="s">
        <v>220</v>
      </c>
      <c r="C165" s="142">
        <v>26</v>
      </c>
      <c r="D165" s="143" t="s">
        <v>221</v>
      </c>
      <c r="E165" s="142">
        <v>454426</v>
      </c>
      <c r="F165" s="143" t="s">
        <v>229</v>
      </c>
      <c r="G165" s="144">
        <v>8.270629616811938</v>
      </c>
      <c r="H165" s="145">
        <v>12.453707247466269</v>
      </c>
      <c r="I165" s="146">
        <v>8.2127967454771476</v>
      </c>
      <c r="J165" s="147">
        <v>0.77898930361380558</v>
      </c>
      <c r="K165" s="148">
        <v>56</v>
      </c>
      <c r="M165" s="149">
        <f t="shared" si="16"/>
        <v>0.65946601941747562</v>
      </c>
      <c r="N165" s="138">
        <f t="shared" si="17"/>
        <v>8.2127967454771476</v>
      </c>
      <c r="O165" s="149"/>
      <c r="V165" s="158">
        <f t="shared" si="18"/>
        <v>412.54635462621201</v>
      </c>
      <c r="W165" s="158">
        <f t="shared" si="19"/>
        <v>89.335103746717252</v>
      </c>
      <c r="X165" s="158">
        <f t="shared" si="20"/>
        <v>22.84010083938249</v>
      </c>
      <c r="Y165" s="158">
        <f t="shared" si="21"/>
        <v>4.0948465205992139</v>
      </c>
      <c r="Z165" s="158">
        <f t="shared" si="22"/>
        <v>-28.892494459850145</v>
      </c>
      <c r="AA165" s="158">
        <f t="shared" si="23"/>
        <v>-51.344260162553198</v>
      </c>
    </row>
    <row r="166" spans="1:27" ht="19.5" thickBot="1" x14ac:dyDescent="0.35">
      <c r="A166" s="142">
        <v>110</v>
      </c>
      <c r="B166" s="143" t="s">
        <v>220</v>
      </c>
      <c r="C166" s="142">
        <v>26</v>
      </c>
      <c r="D166" s="143" t="s">
        <v>221</v>
      </c>
      <c r="E166" s="142">
        <v>554431</v>
      </c>
      <c r="F166" s="143" t="s">
        <v>230</v>
      </c>
      <c r="G166" s="144">
        <v>2.0619326909649489</v>
      </c>
      <c r="H166" s="145">
        <v>6.3047644847787074</v>
      </c>
      <c r="I166" s="146">
        <v>4.520031153702889</v>
      </c>
      <c r="J166" s="147">
        <v>0.87836357529275122</v>
      </c>
      <c r="K166" s="148">
        <v>152</v>
      </c>
      <c r="M166" s="149">
        <f t="shared" si="16"/>
        <v>0.716923076923077</v>
      </c>
      <c r="N166" s="138">
        <f t="shared" si="17"/>
        <v>4.520031153702889</v>
      </c>
      <c r="O166" s="149"/>
      <c r="V166" s="158">
        <f t="shared" si="18"/>
        <v>106.67713701160918</v>
      </c>
      <c r="W166" s="158">
        <f t="shared" si="19"/>
        <v>32.555970719626117</v>
      </c>
      <c r="X166" s="158">
        <f t="shared" si="20"/>
        <v>17.306850663721701</v>
      </c>
      <c r="Y166" s="158">
        <f t="shared" si="21"/>
        <v>13.008051940696811</v>
      </c>
      <c r="Z166" s="158">
        <f t="shared" si="22"/>
        <v>5.4431538138867257</v>
      </c>
      <c r="AA166" s="158">
        <f t="shared" si="23"/>
        <v>0.29435081067953445</v>
      </c>
    </row>
    <row r="167" spans="1:27" ht="19.5" thickBot="1" x14ac:dyDescent="0.35">
      <c r="A167" s="142">
        <v>110</v>
      </c>
      <c r="B167" s="143" t="s">
        <v>220</v>
      </c>
      <c r="C167" s="142">
        <v>26</v>
      </c>
      <c r="D167" s="143" t="s">
        <v>221</v>
      </c>
      <c r="E167" s="142">
        <v>554476</v>
      </c>
      <c r="F167" s="143" t="s">
        <v>231</v>
      </c>
      <c r="G167" s="144">
        <v>2.0199468106564877</v>
      </c>
      <c r="H167" s="145">
        <v>9.4061882717718461</v>
      </c>
      <c r="I167" s="146">
        <v>5.9877814287937099</v>
      </c>
      <c r="J167" s="147">
        <v>0.83886564048783918</v>
      </c>
      <c r="K167" s="148">
        <v>105</v>
      </c>
      <c r="M167" s="149">
        <f t="shared" si="16"/>
        <v>0.63657894736842113</v>
      </c>
      <c r="N167" s="138">
        <f t="shared" si="17"/>
        <v>5.9877814287937099</v>
      </c>
      <c r="O167" s="149"/>
      <c r="V167" s="158">
        <f t="shared" si="18"/>
        <v>112.40229481840123</v>
      </c>
      <c r="W167" s="158">
        <f t="shared" si="19"/>
        <v>30.625895911066323</v>
      </c>
      <c r="X167" s="158">
        <f t="shared" si="20"/>
        <v>13.801847031895376</v>
      </c>
      <c r="Y167" s="158">
        <f t="shared" si="21"/>
        <v>9.0590684602305096</v>
      </c>
      <c r="Z167" s="158">
        <f t="shared" si="22"/>
        <v>0.71286780177860187</v>
      </c>
      <c r="AA167" s="158">
        <f t="shared" si="23"/>
        <v>-4.967703475620417</v>
      </c>
    </row>
    <row r="168" spans="1:27" ht="19.5" thickBot="1" x14ac:dyDescent="0.35">
      <c r="A168" s="142">
        <v>110</v>
      </c>
      <c r="B168" s="143" t="s">
        <v>220</v>
      </c>
      <c r="C168" s="142">
        <v>26</v>
      </c>
      <c r="D168" s="143" t="s">
        <v>221</v>
      </c>
      <c r="E168" s="142">
        <v>554471</v>
      </c>
      <c r="F168" s="143" t="s">
        <v>232</v>
      </c>
      <c r="G168" s="144">
        <v>1.8614832399778634</v>
      </c>
      <c r="H168" s="145">
        <v>9.6697083344215624</v>
      </c>
      <c r="I168" s="146">
        <v>6.7983421651169378</v>
      </c>
      <c r="J168" s="147">
        <v>0.81705302313592931</v>
      </c>
      <c r="K168" s="148">
        <v>83</v>
      </c>
      <c r="M168" s="149">
        <f t="shared" si="16"/>
        <v>0.70305555555555566</v>
      </c>
      <c r="N168" s="138">
        <f t="shared" si="17"/>
        <v>6.7983421651169378</v>
      </c>
      <c r="O168" s="149"/>
      <c r="V168" s="158">
        <f t="shared" si="18"/>
        <v>91.35132204411866</v>
      </c>
      <c r="W168" s="158">
        <f t="shared" si="19"/>
        <v>23.115911933769812</v>
      </c>
      <c r="X168" s="158">
        <f t="shared" si="20"/>
        <v>9.0776821960231295</v>
      </c>
      <c r="Y168" s="158">
        <f t="shared" si="21"/>
        <v>5.120239153479238</v>
      </c>
      <c r="Z168" s="158">
        <f t="shared" si="22"/>
        <v>-1.8439514003022603</v>
      </c>
      <c r="AA168" s="158">
        <f t="shared" si="23"/>
        <v>-6.5839022412975723</v>
      </c>
    </row>
    <row r="169" spans="1:27" ht="19.5" thickBot="1" x14ac:dyDescent="0.35">
      <c r="A169" s="142">
        <v>110</v>
      </c>
      <c r="B169" s="143" t="s">
        <v>220</v>
      </c>
      <c r="C169" s="142">
        <v>26</v>
      </c>
      <c r="D169" s="143" t="s">
        <v>221</v>
      </c>
      <c r="E169" s="142">
        <v>454481</v>
      </c>
      <c r="F169" s="143" t="s">
        <v>233</v>
      </c>
      <c r="G169" s="144">
        <v>10.399239442446538</v>
      </c>
      <c r="H169" s="145">
        <v>13.270201226132547</v>
      </c>
      <c r="I169" s="146">
        <v>8.8530512745209631</v>
      </c>
      <c r="J169" s="147">
        <v>0.76175971621334848</v>
      </c>
      <c r="K169" s="148">
        <v>44</v>
      </c>
      <c r="M169" s="149">
        <f t="shared" si="16"/>
        <v>0.66713768115942029</v>
      </c>
      <c r="N169" s="138">
        <f t="shared" si="17"/>
        <v>8.8530512745209631</v>
      </c>
      <c r="O169" s="149"/>
      <c r="V169" s="158">
        <f t="shared" si="18"/>
        <v>501.41719015868898</v>
      </c>
      <c r="W169" s="158">
        <f t="shared" si="19"/>
        <v>99.694440174065349</v>
      </c>
      <c r="X169" s="158">
        <f t="shared" si="20"/>
        <v>17.047083822817815</v>
      </c>
      <c r="Y169" s="158">
        <f t="shared" si="21"/>
        <v>-6.2515949626876282</v>
      </c>
      <c r="Z169" s="158">
        <f t="shared" si="22"/>
        <v>-47.251916879969357</v>
      </c>
      <c r="AA169" s="158">
        <f t="shared" si="23"/>
        <v>-75.157458644241345</v>
      </c>
    </row>
    <row r="170" spans="1:27" ht="19.5" thickBot="1" x14ac:dyDescent="0.35">
      <c r="A170" s="142">
        <v>110</v>
      </c>
      <c r="B170" s="143" t="s">
        <v>220</v>
      </c>
      <c r="C170" s="142">
        <v>26</v>
      </c>
      <c r="D170" s="143" t="s">
        <v>221</v>
      </c>
      <c r="E170" s="142">
        <v>554486</v>
      </c>
      <c r="F170" s="143" t="s">
        <v>234</v>
      </c>
      <c r="G170" s="144">
        <v>4.7502856913022802</v>
      </c>
      <c r="H170" s="145">
        <v>6.5259232843112258</v>
      </c>
      <c r="I170" s="146">
        <v>3.8755563762635381</v>
      </c>
      <c r="J170" s="147">
        <v>0.89570673180562232</v>
      </c>
      <c r="K170" s="148">
        <v>190</v>
      </c>
      <c r="M170" s="149">
        <f t="shared" si="16"/>
        <v>0.5938709677419356</v>
      </c>
      <c r="N170" s="138">
        <f t="shared" si="17"/>
        <v>3.8755563762635381</v>
      </c>
      <c r="O170" s="149"/>
      <c r="V170" s="158">
        <f t="shared" si="18"/>
        <v>302.5440267742207</v>
      </c>
      <c r="W170" s="158">
        <f t="shared" si="19"/>
        <v>96.401329073089286</v>
      </c>
      <c r="X170" s="158">
        <f t="shared" si="20"/>
        <v>53.991112084469584</v>
      </c>
      <c r="Y170" s="158">
        <f t="shared" si="21"/>
        <v>42.035472285877027</v>
      </c>
      <c r="Z170" s="158">
        <f t="shared" si="22"/>
        <v>20.99629298381662</v>
      </c>
      <c r="AA170" s="158">
        <f t="shared" si="23"/>
        <v>6.676656716468556</v>
      </c>
    </row>
    <row r="171" spans="1:27" ht="19.5" thickBot="1" x14ac:dyDescent="0.35">
      <c r="A171" s="142">
        <v>110</v>
      </c>
      <c r="B171" s="143" t="s">
        <v>220</v>
      </c>
      <c r="C171" s="142">
        <v>26</v>
      </c>
      <c r="D171" s="143" t="s">
        <v>221</v>
      </c>
      <c r="E171" s="142">
        <v>554491</v>
      </c>
      <c r="F171" s="143" t="s">
        <v>235</v>
      </c>
      <c r="G171" s="144">
        <v>3.3012442740771761</v>
      </c>
      <c r="H171" s="145">
        <v>7.5729021921555484</v>
      </c>
      <c r="I171" s="146">
        <v>5.3207210802084886</v>
      </c>
      <c r="J171" s="147">
        <v>0.85681658664435112</v>
      </c>
      <c r="K171" s="148">
        <v>124</v>
      </c>
      <c r="M171" s="149">
        <f t="shared" si="16"/>
        <v>0.7026</v>
      </c>
      <c r="N171" s="138">
        <f t="shared" si="17"/>
        <v>5.3207210802084886</v>
      </c>
      <c r="O171" s="149"/>
      <c r="V171" s="158">
        <f t="shared" si="18"/>
        <v>170.00139703287795</v>
      </c>
      <c r="W171" s="158">
        <f t="shared" si="19"/>
        <v>48.910963070846101</v>
      </c>
      <c r="X171" s="158">
        <f t="shared" si="20"/>
        <v>23.998746257707403</v>
      </c>
      <c r="Y171" s="158">
        <f t="shared" si="21"/>
        <v>16.975875073571515</v>
      </c>
      <c r="Z171" s="158">
        <f t="shared" si="22"/>
        <v>4.6172352560937151</v>
      </c>
      <c r="AA171" s="158">
        <f t="shared" si="23"/>
        <v>-3.7942728357697293</v>
      </c>
    </row>
    <row r="172" spans="1:27" ht="19.5" thickBot="1" x14ac:dyDescent="0.35">
      <c r="A172" s="142">
        <v>110</v>
      </c>
      <c r="B172" s="143" t="s">
        <v>220</v>
      </c>
      <c r="C172" s="142">
        <v>26</v>
      </c>
      <c r="D172" s="143" t="s">
        <v>221</v>
      </c>
      <c r="E172" s="142">
        <v>554601</v>
      </c>
      <c r="F172" s="143" t="s">
        <v>236</v>
      </c>
      <c r="G172" s="144">
        <v>3.9852030364082958</v>
      </c>
      <c r="H172" s="145">
        <v>0</v>
      </c>
      <c r="I172" s="146">
        <v>-0.10915378614988915</v>
      </c>
      <c r="J172" s="147">
        <v>1.0029373860132922</v>
      </c>
      <c r="K172" s="148">
        <v>286</v>
      </c>
      <c r="M172" s="149">
        <f t="shared" si="16"/>
        <v>0.66316681728657856</v>
      </c>
      <c r="N172" s="138">
        <f t="shared" si="17"/>
        <v>-0.10915378614988915</v>
      </c>
      <c r="O172" s="149"/>
      <c r="V172" s="158">
        <f t="shared" si="18"/>
        <v>254.50516204068742</v>
      </c>
      <c r="W172" s="158">
        <f t="shared" si="19"/>
        <v>99.634917083742906</v>
      </c>
      <c r="X172" s="158">
        <f t="shared" si="20"/>
        <v>67.773101133186202</v>
      </c>
      <c r="Y172" s="158">
        <f t="shared" si="21"/>
        <v>58.791105239693714</v>
      </c>
      <c r="Z172" s="158">
        <f t="shared" si="22"/>
        <v>42.984856032034841</v>
      </c>
      <c r="AA172" s="158">
        <f t="shared" si="23"/>
        <v>32.226844222012964</v>
      </c>
    </row>
    <row r="173" spans="1:27" ht="19.5" thickBot="1" x14ac:dyDescent="0.35">
      <c r="A173" s="142">
        <v>110</v>
      </c>
      <c r="B173" s="143" t="s">
        <v>220</v>
      </c>
      <c r="C173" s="142">
        <v>26</v>
      </c>
      <c r="D173" s="143" t="s">
        <v>221</v>
      </c>
      <c r="E173" s="142">
        <v>554611</v>
      </c>
      <c r="F173" s="143" t="s">
        <v>237</v>
      </c>
      <c r="G173" s="144">
        <v>3.0016649497715413</v>
      </c>
      <c r="H173" s="145">
        <v>2.6651875322090448</v>
      </c>
      <c r="I173" s="146">
        <v>1.2976131797442787</v>
      </c>
      <c r="J173" s="147">
        <v>0.96508054425514389</v>
      </c>
      <c r="K173" s="148">
        <v>263</v>
      </c>
      <c r="M173" s="149">
        <f t="shared" si="16"/>
        <v>0.486875</v>
      </c>
      <c r="N173" s="138">
        <f t="shared" si="17"/>
        <v>1.2976131797442787</v>
      </c>
      <c r="O173" s="149"/>
      <c r="V173" s="158">
        <f t="shared" si="18"/>
        <v>251.24846038074327</v>
      </c>
      <c r="W173" s="158">
        <f t="shared" si="19"/>
        <v>92.362669847611514</v>
      </c>
      <c r="X173" s="158">
        <f t="shared" si="20"/>
        <v>59.674726359611306</v>
      </c>
      <c r="Y173" s="158">
        <f t="shared" si="21"/>
        <v>50.459841224641401</v>
      </c>
      <c r="Z173" s="158">
        <f t="shared" si="22"/>
        <v>34.243760457023583</v>
      </c>
      <c r="AA173" s="158">
        <f t="shared" si="23"/>
        <v>23.206810063645598</v>
      </c>
    </row>
    <row r="174" spans="1:27" ht="19.5" thickBot="1" x14ac:dyDescent="0.35">
      <c r="A174" s="142">
        <v>110</v>
      </c>
      <c r="B174" s="143" t="s">
        <v>220</v>
      </c>
      <c r="C174" s="142">
        <v>26</v>
      </c>
      <c r="D174" s="143" t="s">
        <v>221</v>
      </c>
      <c r="E174" s="142">
        <v>554636</v>
      </c>
      <c r="F174" s="143" t="s">
        <v>238</v>
      </c>
      <c r="G174" s="144">
        <v>2.7065897065897064</v>
      </c>
      <c r="H174" s="145">
        <v>5.9114981339968011</v>
      </c>
      <c r="I174" s="146">
        <v>4.3911347076594991</v>
      </c>
      <c r="J174" s="147">
        <v>0.88183224670696148</v>
      </c>
      <c r="K174" s="148">
        <v>160</v>
      </c>
      <c r="M174" s="149">
        <f t="shared" si="16"/>
        <v>0.7428125000000001</v>
      </c>
      <c r="N174" s="138">
        <f t="shared" si="17"/>
        <v>4.3911347076594991</v>
      </c>
      <c r="O174" s="149"/>
      <c r="V174" s="158">
        <f t="shared" si="18"/>
        <v>135.6826471662701</v>
      </c>
      <c r="W174" s="158">
        <f t="shared" si="19"/>
        <v>41.778766007601867</v>
      </c>
      <c r="X174" s="158">
        <f t="shared" si="20"/>
        <v>22.459701978535275</v>
      </c>
      <c r="Y174" s="158">
        <f t="shared" si="21"/>
        <v>17.013566891807351</v>
      </c>
      <c r="Z174" s="158">
        <f t="shared" si="22"/>
        <v>7.4296203591926799</v>
      </c>
      <c r="AA174" s="158">
        <f t="shared" si="23"/>
        <v>0.90661742345964202</v>
      </c>
    </row>
    <row r="175" spans="1:27" ht="19.5" thickBot="1" x14ac:dyDescent="0.35">
      <c r="A175" s="142">
        <v>110</v>
      </c>
      <c r="B175" s="143" t="s">
        <v>220</v>
      </c>
      <c r="C175" s="142">
        <v>26</v>
      </c>
      <c r="D175" s="143" t="s">
        <v>221</v>
      </c>
      <c r="E175" s="142">
        <v>454671</v>
      </c>
      <c r="F175" s="143" t="s">
        <v>239</v>
      </c>
      <c r="G175" s="144">
        <v>4.3740007442467412</v>
      </c>
      <c r="H175" s="145">
        <v>10.288064093082264</v>
      </c>
      <c r="I175" s="146">
        <v>6.0516679231975008</v>
      </c>
      <c r="J175" s="147">
        <v>0.83714642119440785</v>
      </c>
      <c r="K175" s="148">
        <v>104</v>
      </c>
      <c r="M175" s="149">
        <f t="shared" si="16"/>
        <v>0.5882222222222222</v>
      </c>
      <c r="N175" s="138">
        <f t="shared" si="17"/>
        <v>6.0516679231975008</v>
      </c>
      <c r="O175" s="149"/>
      <c r="V175" s="158">
        <f t="shared" si="18"/>
        <v>262.86572346181481</v>
      </c>
      <c r="W175" s="158">
        <f t="shared" si="19"/>
        <v>71.229437567376493</v>
      </c>
      <c r="X175" s="158">
        <f t="shared" si="20"/>
        <v>31.803658442959424</v>
      </c>
      <c r="Y175" s="158">
        <f t="shared" si="21"/>
        <v>20.689345726358972</v>
      </c>
      <c r="Z175" s="158">
        <f t="shared" si="22"/>
        <v>1.1307087982662869</v>
      </c>
      <c r="AA175" s="158">
        <f t="shared" si="23"/>
        <v>-12.18124423347489</v>
      </c>
    </row>
    <row r="176" spans="1:27" ht="19.5" thickBot="1" x14ac:dyDescent="0.35">
      <c r="A176" s="142">
        <v>110</v>
      </c>
      <c r="B176" s="143" t="s">
        <v>220</v>
      </c>
      <c r="C176" s="142">
        <v>27</v>
      </c>
      <c r="D176" s="143" t="s">
        <v>240</v>
      </c>
      <c r="E176" s="142">
        <v>554184</v>
      </c>
      <c r="F176" s="143" t="s">
        <v>536</v>
      </c>
      <c r="G176" s="144">
        <v>3.9752389572564639</v>
      </c>
      <c r="H176" s="145">
        <v>1.2577860233717324</v>
      </c>
      <c r="I176" s="146">
        <v>1.255270451324989</v>
      </c>
      <c r="J176" s="147">
        <v>0.96622000943185038</v>
      </c>
      <c r="K176" s="148">
        <v>264</v>
      </c>
      <c r="M176" s="149">
        <f t="shared" si="16"/>
        <v>0.99800000000000011</v>
      </c>
      <c r="N176" s="138">
        <f t="shared" si="17"/>
        <v>1.255270451324989</v>
      </c>
      <c r="O176" s="149"/>
      <c r="V176" s="158">
        <f t="shared" si="18"/>
        <v>162.5188854375437</v>
      </c>
      <c r="W176" s="158">
        <f t="shared" si="19"/>
        <v>59.865560982514289</v>
      </c>
      <c r="X176" s="158">
        <f t="shared" si="20"/>
        <v>38.746453620036597</v>
      </c>
      <c r="Y176" s="158">
        <f t="shared" si="21"/>
        <v>32.792877844620477</v>
      </c>
      <c r="Z176" s="158">
        <f t="shared" si="22"/>
        <v>22.315952281663261</v>
      </c>
      <c r="AA176" s="158">
        <f t="shared" si="23"/>
        <v>15.185172078324436</v>
      </c>
    </row>
    <row r="177" spans="1:27" ht="19.5" thickBot="1" x14ac:dyDescent="0.35">
      <c r="A177" s="142">
        <v>110</v>
      </c>
      <c r="B177" s="143" t="s">
        <v>220</v>
      </c>
      <c r="C177" s="142">
        <v>27</v>
      </c>
      <c r="D177" s="143" t="s">
        <v>240</v>
      </c>
      <c r="E177" s="142">
        <v>554506</v>
      </c>
      <c r="F177" s="143" t="s">
        <v>242</v>
      </c>
      <c r="G177" s="144">
        <v>2.6208074601622977</v>
      </c>
      <c r="H177" s="145">
        <v>10.683730272297858</v>
      </c>
      <c r="I177" s="146">
        <v>7.1104040580096637</v>
      </c>
      <c r="J177" s="147">
        <v>0.808655272844374</v>
      </c>
      <c r="K177" s="148">
        <v>79</v>
      </c>
      <c r="M177" s="149">
        <f t="shared" si="16"/>
        <v>0.66553571428571434</v>
      </c>
      <c r="N177" s="138">
        <f t="shared" si="17"/>
        <v>7.1104040580096637</v>
      </c>
      <c r="O177" s="149"/>
      <c r="V177" s="158">
        <f t="shared" si="18"/>
        <v>134.46903336231912</v>
      </c>
      <c r="W177" s="158">
        <f t="shared" si="19"/>
        <v>32.983515850593889</v>
      </c>
      <c r="X177" s="158">
        <f t="shared" si="20"/>
        <v>12.104664128595649</v>
      </c>
      <c r="Y177" s="158">
        <f t="shared" si="21"/>
        <v>6.2188175491401001</v>
      </c>
      <c r="Z177" s="158">
        <f t="shared" si="22"/>
        <v>-4.1389201893422998</v>
      </c>
      <c r="AA177" s="158">
        <f t="shared" si="23"/>
        <v>-11.188579058551481</v>
      </c>
    </row>
    <row r="178" spans="1:27" ht="19.5" thickBot="1" x14ac:dyDescent="0.35">
      <c r="A178" s="142">
        <v>110</v>
      </c>
      <c r="B178" s="143" t="s">
        <v>220</v>
      </c>
      <c r="C178" s="142">
        <v>27</v>
      </c>
      <c r="D178" s="143" t="s">
        <v>240</v>
      </c>
      <c r="E178" s="142">
        <v>554196</v>
      </c>
      <c r="F178" s="143" t="s">
        <v>243</v>
      </c>
      <c r="G178" s="144">
        <v>3.1714420394420397</v>
      </c>
      <c r="H178" s="145">
        <v>12.612559051224945</v>
      </c>
      <c r="I178" s="146">
        <v>7.7866786442500011</v>
      </c>
      <c r="J178" s="147">
        <v>0.79045636668788433</v>
      </c>
      <c r="K178" s="148">
        <v>63</v>
      </c>
      <c r="M178" s="149">
        <f t="shared" si="16"/>
        <v>0.61737500000000001</v>
      </c>
      <c r="N178" s="138">
        <f t="shared" si="17"/>
        <v>7.7866786442500011</v>
      </c>
      <c r="O178" s="149"/>
      <c r="V178" s="158">
        <f t="shared" si="18"/>
        <v>171.46707958400117</v>
      </c>
      <c r="W178" s="158">
        <f t="shared" si="19"/>
        <v>39.079250774521185</v>
      </c>
      <c r="X178" s="158">
        <f t="shared" si="20"/>
        <v>11.842794625090159</v>
      </c>
      <c r="Y178" s="158">
        <f t="shared" si="21"/>
        <v>4.1647094316063011</v>
      </c>
      <c r="Z178" s="158">
        <f t="shared" si="22"/>
        <v>-9.3469565104555379</v>
      </c>
      <c r="AA178" s="158">
        <f t="shared" si="23"/>
        <v>-18.543234505828309</v>
      </c>
    </row>
    <row r="179" spans="1:27" ht="19.5" thickBot="1" x14ac:dyDescent="0.35">
      <c r="A179" s="142">
        <v>110</v>
      </c>
      <c r="B179" s="143" t="s">
        <v>220</v>
      </c>
      <c r="C179" s="142">
        <v>27</v>
      </c>
      <c r="D179" s="143" t="s">
        <v>240</v>
      </c>
      <c r="E179" s="142">
        <v>554257</v>
      </c>
      <c r="F179" s="143" t="s">
        <v>244</v>
      </c>
      <c r="G179" s="144">
        <v>3.4906875203649386</v>
      </c>
      <c r="H179" s="145">
        <v>8.0213424537847793</v>
      </c>
      <c r="I179" s="146">
        <v>4.8400207413104939</v>
      </c>
      <c r="J179" s="147">
        <v>0.86975248655097337</v>
      </c>
      <c r="K179" s="148">
        <v>142</v>
      </c>
      <c r="M179" s="149">
        <f t="shared" si="16"/>
        <v>0.60339285714285706</v>
      </c>
      <c r="N179" s="138">
        <f t="shared" si="17"/>
        <v>4.8400207413104939</v>
      </c>
      <c r="O179" s="149"/>
      <c r="V179" s="158">
        <f t="shared" si="18"/>
        <v>212.47194684238656</v>
      </c>
      <c r="W179" s="158">
        <f t="shared" si="19"/>
        <v>63.381049486190669</v>
      </c>
      <c r="X179" s="158">
        <f t="shared" si="20"/>
        <v>32.708232168783525</v>
      </c>
      <c r="Y179" s="158">
        <f t="shared" si="21"/>
        <v>24.061420586721702</v>
      </c>
      <c r="Z179" s="158">
        <f t="shared" si="22"/>
        <v>8.8450187604014072</v>
      </c>
      <c r="AA179" s="158">
        <f t="shared" si="23"/>
        <v>-1.5115325252934078</v>
      </c>
    </row>
    <row r="180" spans="1:27" ht="19.5" thickBot="1" x14ac:dyDescent="0.35">
      <c r="A180" s="142">
        <v>110</v>
      </c>
      <c r="B180" s="143" t="s">
        <v>220</v>
      </c>
      <c r="C180" s="142">
        <v>27</v>
      </c>
      <c r="D180" s="143" t="s">
        <v>240</v>
      </c>
      <c r="E180" s="142">
        <v>554321</v>
      </c>
      <c r="F180" s="143" t="s">
        <v>245</v>
      </c>
      <c r="G180" s="144">
        <v>2.5343313424514755</v>
      </c>
      <c r="H180" s="145">
        <v>9.86453490955817</v>
      </c>
      <c r="I180" s="146">
        <v>6.240304783786498</v>
      </c>
      <c r="J180" s="147">
        <v>0.83207010368468259</v>
      </c>
      <c r="K180" s="148">
        <v>96</v>
      </c>
      <c r="M180" s="149">
        <f t="shared" si="16"/>
        <v>0.63259999999999994</v>
      </c>
      <c r="N180" s="138">
        <f t="shared" si="17"/>
        <v>6.240304783786498</v>
      </c>
      <c r="O180" s="149"/>
      <c r="V180" s="158">
        <f t="shared" si="18"/>
        <v>140.76323356938033</v>
      </c>
      <c r="W180" s="158">
        <f t="shared" si="19"/>
        <v>37.516926391025699</v>
      </c>
      <c r="X180" s="158">
        <f t="shared" si="20"/>
        <v>16.275823312729898</v>
      </c>
      <c r="Y180" s="158">
        <f t="shared" si="21"/>
        <v>10.287856370777561</v>
      </c>
      <c r="Z180" s="158">
        <f t="shared" si="22"/>
        <v>-0.24958974409923532</v>
      </c>
      <c r="AA180" s="158">
        <f t="shared" si="23"/>
        <v>-7.4215613018034183</v>
      </c>
    </row>
    <row r="181" spans="1:27" ht="19.5" thickBot="1" x14ac:dyDescent="0.35">
      <c r="A181" s="142">
        <v>110</v>
      </c>
      <c r="B181" s="143" t="s">
        <v>220</v>
      </c>
      <c r="C181" s="142">
        <v>27</v>
      </c>
      <c r="D181" s="143" t="s">
        <v>240</v>
      </c>
      <c r="E181" s="142">
        <v>454355</v>
      </c>
      <c r="F181" s="143" t="s">
        <v>246</v>
      </c>
      <c r="G181" s="144">
        <v>3.729047579312796</v>
      </c>
      <c r="H181" s="145">
        <v>6.4359597161328841</v>
      </c>
      <c r="I181" s="146">
        <v>3.5773209422171948</v>
      </c>
      <c r="J181" s="147">
        <v>0.90373240478991002</v>
      </c>
      <c r="K181" s="148">
        <v>198</v>
      </c>
      <c r="M181" s="149">
        <f t="shared" si="16"/>
        <v>0.55583333333333329</v>
      </c>
      <c r="N181" s="138">
        <f t="shared" si="17"/>
        <v>3.5773209422171948</v>
      </c>
      <c r="O181" s="149"/>
      <c r="V181" s="158">
        <f t="shared" si="18"/>
        <v>256.02849379972719</v>
      </c>
      <c r="W181" s="158">
        <f t="shared" si="19"/>
        <v>83.129025845842648</v>
      </c>
      <c r="X181" s="158">
        <f t="shared" si="20"/>
        <v>47.558015885682956</v>
      </c>
      <c r="Y181" s="158">
        <f t="shared" si="21"/>
        <v>37.530380741304072</v>
      </c>
      <c r="Z181" s="158">
        <f t="shared" si="22"/>
        <v>19.884046682037237</v>
      </c>
      <c r="AA181" s="158">
        <f t="shared" si="23"/>
        <v>7.8736406888685568</v>
      </c>
    </row>
    <row r="182" spans="1:27" ht="19.5" thickBot="1" x14ac:dyDescent="0.35">
      <c r="A182" s="142">
        <v>110</v>
      </c>
      <c r="B182" s="143" t="s">
        <v>220</v>
      </c>
      <c r="C182" s="142">
        <v>27</v>
      </c>
      <c r="D182" s="143" t="s">
        <v>240</v>
      </c>
      <c r="E182" s="142">
        <v>554357</v>
      </c>
      <c r="F182" s="143" t="s">
        <v>537</v>
      </c>
      <c r="G182" s="144">
        <v>4.4497067785987827</v>
      </c>
      <c r="H182" s="145">
        <v>4.4946781878283719</v>
      </c>
      <c r="I182" s="146">
        <v>3.0001976903754382</v>
      </c>
      <c r="J182" s="147">
        <v>0.91926309619055313</v>
      </c>
      <c r="K182" s="148">
        <v>216</v>
      </c>
      <c r="M182" s="149">
        <f t="shared" si="16"/>
        <v>0.66749999999999998</v>
      </c>
      <c r="N182" s="138">
        <f t="shared" si="17"/>
        <v>3.0001976903754382</v>
      </c>
      <c r="O182" s="149"/>
      <c r="V182" s="158">
        <f t="shared" si="18"/>
        <v>258.77067498834714</v>
      </c>
      <c r="W182" s="158">
        <f t="shared" si="19"/>
        <v>86.971749428144648</v>
      </c>
      <c r="X182" s="158">
        <f t="shared" si="20"/>
        <v>51.627156616114519</v>
      </c>
      <c r="Y182" s="158">
        <f t="shared" si="21"/>
        <v>41.66334953156349</v>
      </c>
      <c r="Z182" s="158">
        <f t="shared" si="22"/>
        <v>24.129338193442784</v>
      </c>
      <c r="AA182" s="158">
        <f t="shared" si="23"/>
        <v>12.195381024074644</v>
      </c>
    </row>
    <row r="183" spans="1:27" ht="19.5" thickBot="1" x14ac:dyDescent="0.35">
      <c r="A183" s="142">
        <v>110</v>
      </c>
      <c r="B183" s="143" t="s">
        <v>220</v>
      </c>
      <c r="C183" s="142">
        <v>27</v>
      </c>
      <c r="D183" s="143" t="s">
        <v>240</v>
      </c>
      <c r="E183" s="142">
        <v>554381</v>
      </c>
      <c r="F183" s="143" t="s">
        <v>248</v>
      </c>
      <c r="G183" s="144">
        <v>4.5199524895653918</v>
      </c>
      <c r="H183" s="145">
        <v>5.309790325319919</v>
      </c>
      <c r="I183" s="146">
        <v>3.2776893195672749</v>
      </c>
      <c r="J183" s="147">
        <v>0.91179564994664097</v>
      </c>
      <c r="K183" s="148">
        <v>207</v>
      </c>
      <c r="M183" s="149">
        <f t="shared" si="16"/>
        <v>0.61729166666666668</v>
      </c>
      <c r="N183" s="138">
        <f t="shared" si="17"/>
        <v>3.2776893195672749</v>
      </c>
      <c r="O183" s="149"/>
      <c r="V183" s="158">
        <f t="shared" si="18"/>
        <v>281.92661784152921</v>
      </c>
      <c r="W183" s="158">
        <f t="shared" si="19"/>
        <v>93.221457801742645</v>
      </c>
      <c r="X183" s="158">
        <f t="shared" si="20"/>
        <v>54.39870602150522</v>
      </c>
      <c r="Y183" s="158">
        <f t="shared" si="21"/>
        <v>43.454389551744249</v>
      </c>
      <c r="Z183" s="158">
        <f t="shared" si="22"/>
        <v>24.19490696237246</v>
      </c>
      <c r="AA183" s="158">
        <f t="shared" si="23"/>
        <v>11.086563646427701</v>
      </c>
    </row>
    <row r="184" spans="1:27" ht="19.5" thickBot="1" x14ac:dyDescent="0.35">
      <c r="A184" s="142">
        <v>110</v>
      </c>
      <c r="B184" s="143" t="s">
        <v>220</v>
      </c>
      <c r="C184" s="142">
        <v>27</v>
      </c>
      <c r="D184" s="143" t="s">
        <v>240</v>
      </c>
      <c r="E184" s="142">
        <v>554376</v>
      </c>
      <c r="F184" s="143" t="s">
        <v>538</v>
      </c>
      <c r="G184" s="144">
        <v>3.0343497082627509</v>
      </c>
      <c r="H184" s="145">
        <v>7.9094377074093627</v>
      </c>
      <c r="I184" s="146">
        <v>5.1411345098160854</v>
      </c>
      <c r="J184" s="147">
        <v>0.86164935606676396</v>
      </c>
      <c r="K184" s="148">
        <v>129</v>
      </c>
      <c r="M184" s="149">
        <f t="shared" si="16"/>
        <v>0.64999999999999991</v>
      </c>
      <c r="N184" s="138">
        <f t="shared" si="17"/>
        <v>5.1411345098160854</v>
      </c>
      <c r="O184" s="149"/>
      <c r="V184" s="158">
        <f t="shared" si="18"/>
        <v>169.85485014489782</v>
      </c>
      <c r="W184" s="158">
        <f t="shared" si="19"/>
        <v>49.547379794006723</v>
      </c>
      <c r="X184" s="158">
        <f t="shared" si="20"/>
        <v>24.796243906910902</v>
      </c>
      <c r="Y184" s="158">
        <f t="shared" si="21"/>
        <v>17.818782194051924</v>
      </c>
      <c r="Z184" s="158">
        <f t="shared" si="22"/>
        <v>5.5400526134415093</v>
      </c>
      <c r="AA184" s="158">
        <f t="shared" si="23"/>
        <v>-2.8170671627205484</v>
      </c>
    </row>
    <row r="185" spans="1:27" ht="19.5" thickBot="1" x14ac:dyDescent="0.35">
      <c r="A185" s="142">
        <v>110</v>
      </c>
      <c r="B185" s="143" t="s">
        <v>220</v>
      </c>
      <c r="C185" s="142">
        <v>27</v>
      </c>
      <c r="D185" s="143" t="s">
        <v>240</v>
      </c>
      <c r="E185" s="142">
        <v>554416</v>
      </c>
      <c r="F185" s="143" t="s">
        <v>250</v>
      </c>
      <c r="G185" s="144">
        <v>3.9243355211097128</v>
      </c>
      <c r="H185" s="145">
        <v>5.6060446110323667</v>
      </c>
      <c r="I185" s="146">
        <v>3.6655887149863906</v>
      </c>
      <c r="J185" s="147">
        <v>0.90135707242351215</v>
      </c>
      <c r="K185" s="148">
        <v>196</v>
      </c>
      <c r="M185" s="149">
        <f t="shared" si="16"/>
        <v>0.65386363636363631</v>
      </c>
      <c r="N185" s="138">
        <f t="shared" si="17"/>
        <v>3.6655887149863906</v>
      </c>
      <c r="O185" s="149"/>
      <c r="V185" s="158">
        <f t="shared" si="18"/>
        <v>228.43935560524571</v>
      </c>
      <c r="W185" s="158">
        <f t="shared" si="19"/>
        <v>73.764661381052974</v>
      </c>
      <c r="X185" s="158">
        <f t="shared" si="20"/>
        <v>41.943076537883393</v>
      </c>
      <c r="Y185" s="158">
        <f t="shared" si="21"/>
        <v>32.972421982935543</v>
      </c>
      <c r="Z185" s="158">
        <f t="shared" si="22"/>
        <v>17.186130925504134</v>
      </c>
      <c r="AA185" s="158">
        <f t="shared" si="23"/>
        <v>6.4417029843073301</v>
      </c>
    </row>
    <row r="186" spans="1:27" ht="19.5" thickBot="1" x14ac:dyDescent="0.35">
      <c r="A186" s="142">
        <v>110</v>
      </c>
      <c r="B186" s="143" t="s">
        <v>220</v>
      </c>
      <c r="C186" s="142">
        <v>27</v>
      </c>
      <c r="D186" s="143" t="s">
        <v>240</v>
      </c>
      <c r="E186" s="142">
        <v>454466</v>
      </c>
      <c r="F186" s="143" t="s">
        <v>251</v>
      </c>
      <c r="G186" s="144">
        <v>1.8288818863853922</v>
      </c>
      <c r="H186" s="145">
        <v>0.54678216643962896</v>
      </c>
      <c r="I186" s="146">
        <v>0.35540840818575881</v>
      </c>
      <c r="J186" s="147">
        <v>0.99043577209701417</v>
      </c>
      <c r="K186" s="148">
        <v>278</v>
      </c>
      <c r="M186" s="149">
        <f t="shared" si="16"/>
        <v>0.65</v>
      </c>
      <c r="N186" s="138">
        <f t="shared" si="17"/>
        <v>0.35540840818575881</v>
      </c>
      <c r="O186" s="149"/>
      <c r="V186" s="158">
        <f t="shared" si="18"/>
        <v>117.67758014355024</v>
      </c>
      <c r="W186" s="158">
        <f t="shared" si="19"/>
        <v>45.16512295298979</v>
      </c>
      <c r="X186" s="158">
        <f t="shared" si="20"/>
        <v>30.246966364740267</v>
      </c>
      <c r="Y186" s="158">
        <f t="shared" si="21"/>
        <v>26.041467801128306</v>
      </c>
      <c r="Z186" s="158">
        <f t="shared" si="22"/>
        <v>18.640756519678892</v>
      </c>
      <c r="AA186" s="158">
        <f t="shared" si="23"/>
        <v>13.603701977364272</v>
      </c>
    </row>
    <row r="187" spans="1:27" ht="19.5" thickBot="1" x14ac:dyDescent="0.35">
      <c r="A187" s="142">
        <v>110</v>
      </c>
      <c r="B187" s="143" t="s">
        <v>220</v>
      </c>
      <c r="C187" s="142">
        <v>27</v>
      </c>
      <c r="D187" s="143" t="s">
        <v>240</v>
      </c>
      <c r="E187" s="142">
        <v>554496</v>
      </c>
      <c r="F187" s="143" t="s">
        <v>252</v>
      </c>
      <c r="G187" s="144">
        <v>3.0121534750010834</v>
      </c>
      <c r="H187" s="145">
        <v>4.9798259366563666</v>
      </c>
      <c r="I187" s="146">
        <v>3.2368868588266384</v>
      </c>
      <c r="J187" s="147">
        <v>0.91289366570692676</v>
      </c>
      <c r="K187" s="148">
        <v>208</v>
      </c>
      <c r="M187" s="149">
        <f t="shared" si="16"/>
        <v>0.65</v>
      </c>
      <c r="N187" s="138">
        <f t="shared" si="17"/>
        <v>3.2368868588266384</v>
      </c>
      <c r="O187" s="149"/>
      <c r="V187" s="158">
        <f t="shared" si="18"/>
        <v>178.64013690768058</v>
      </c>
      <c r="W187" s="158">
        <f t="shared" si="19"/>
        <v>59.212714320485929</v>
      </c>
      <c r="X187" s="158">
        <f t="shared" si="20"/>
        <v>34.642632708098525</v>
      </c>
      <c r="Y187" s="158">
        <f t="shared" si="21"/>
        <v>27.716211047522002</v>
      </c>
      <c r="Z187" s="158">
        <f t="shared" si="22"/>
        <v>15.527300232753246</v>
      </c>
      <c r="AA187" s="158">
        <f t="shared" si="23"/>
        <v>7.2313126917591637</v>
      </c>
    </row>
    <row r="188" spans="1:27" ht="19.5" thickBot="1" x14ac:dyDescent="0.35">
      <c r="A188" s="142">
        <v>110</v>
      </c>
      <c r="B188" s="143" t="s">
        <v>220</v>
      </c>
      <c r="C188" s="142">
        <v>27</v>
      </c>
      <c r="D188" s="143" t="s">
        <v>240</v>
      </c>
      <c r="E188" s="142">
        <v>554516</v>
      </c>
      <c r="F188" s="143" t="s">
        <v>253</v>
      </c>
      <c r="G188" s="144">
        <v>2.6973816843382079</v>
      </c>
      <c r="H188" s="145">
        <v>5.5609482659033445</v>
      </c>
      <c r="I188" s="146">
        <v>4.389441831219707</v>
      </c>
      <c r="J188" s="147">
        <v>0.88187780290571438</v>
      </c>
      <c r="K188" s="148">
        <v>161</v>
      </c>
      <c r="M188" s="149">
        <f t="shared" si="16"/>
        <v>0.78933333333333344</v>
      </c>
      <c r="N188" s="138">
        <f t="shared" si="17"/>
        <v>4.389441831219707</v>
      </c>
      <c r="O188" s="149"/>
      <c r="V188" s="158">
        <f t="shared" si="18"/>
        <v>127.2581138333895</v>
      </c>
      <c r="W188" s="158">
        <f t="shared" si="19"/>
        <v>39.18927282345912</v>
      </c>
      <c r="X188" s="158">
        <f t="shared" si="20"/>
        <v>21.070665185062559</v>
      </c>
      <c r="Y188" s="158">
        <f t="shared" si="21"/>
        <v>15.962944405543217</v>
      </c>
      <c r="Z188" s="158">
        <f t="shared" si="22"/>
        <v>6.9745293047622505</v>
      </c>
      <c r="AA188" s="158">
        <f t="shared" si="23"/>
        <v>0.85685555830973259</v>
      </c>
    </row>
    <row r="189" spans="1:27" ht="19.5" thickBot="1" x14ac:dyDescent="0.35">
      <c r="A189" s="142">
        <v>110</v>
      </c>
      <c r="B189" s="143" t="s">
        <v>220</v>
      </c>
      <c r="C189" s="142">
        <v>27</v>
      </c>
      <c r="D189" s="143" t="s">
        <v>240</v>
      </c>
      <c r="E189" s="142">
        <v>554531</v>
      </c>
      <c r="F189" s="143" t="s">
        <v>254</v>
      </c>
      <c r="G189" s="144">
        <v>2.5112282917332012</v>
      </c>
      <c r="H189" s="145">
        <v>18.317729276716491</v>
      </c>
      <c r="I189" s="146">
        <v>11.733302024748944</v>
      </c>
      <c r="J189" s="147">
        <v>0.68425064788953949</v>
      </c>
      <c r="K189" s="148">
        <v>18</v>
      </c>
      <c r="M189" s="149">
        <f t="shared" si="16"/>
        <v>0.64054347826086955</v>
      </c>
      <c r="N189" s="138">
        <f t="shared" si="17"/>
        <v>11.733302024748944</v>
      </c>
      <c r="O189" s="149"/>
      <c r="V189" s="158">
        <f t="shared" si="18"/>
        <v>113.27860932808511</v>
      </c>
      <c r="W189" s="158">
        <f t="shared" si="19"/>
        <v>12.242200416828172</v>
      </c>
      <c r="X189" s="158">
        <f t="shared" si="20"/>
        <v>-8.5442551475097499</v>
      </c>
      <c r="Y189" s="158">
        <f t="shared" si="21"/>
        <v>-14.404054815202102</v>
      </c>
      <c r="Z189" s="158">
        <f t="shared" si="22"/>
        <v>-24.715955973118113</v>
      </c>
      <c r="AA189" s="158">
        <f t="shared" si="23"/>
        <v>-31.734417657683053</v>
      </c>
    </row>
    <row r="190" spans="1:27" ht="19.5" thickBot="1" x14ac:dyDescent="0.35">
      <c r="A190" s="142">
        <v>110</v>
      </c>
      <c r="B190" s="143" t="s">
        <v>220</v>
      </c>
      <c r="C190" s="142">
        <v>27</v>
      </c>
      <c r="D190" s="143" t="s">
        <v>240</v>
      </c>
      <c r="E190" s="142">
        <v>554533</v>
      </c>
      <c r="F190" s="143" t="s">
        <v>255</v>
      </c>
      <c r="G190" s="144">
        <v>3.5167137566137558</v>
      </c>
      <c r="H190" s="145">
        <v>1.7061382913852507</v>
      </c>
      <c r="I190" s="146">
        <v>0.93695427835240019</v>
      </c>
      <c r="J190" s="147">
        <v>0.97478606570231663</v>
      </c>
      <c r="K190" s="148">
        <v>267</v>
      </c>
      <c r="M190" s="149">
        <f t="shared" si="16"/>
        <v>0.54916666666666669</v>
      </c>
      <c r="N190" s="138">
        <f t="shared" si="17"/>
        <v>0.93695427835240019</v>
      </c>
      <c r="O190" s="149"/>
      <c r="V190" s="158">
        <f t="shared" si="18"/>
        <v>263.59506419429317</v>
      </c>
      <c r="W190" s="158">
        <f t="shared" si="19"/>
        <v>98.561160753113271</v>
      </c>
      <c r="X190" s="158">
        <f t="shared" si="20"/>
        <v>64.608351687003278</v>
      </c>
      <c r="Y190" s="158">
        <f t="shared" si="21"/>
        <v>55.036894991704486</v>
      </c>
      <c r="Z190" s="158">
        <f t="shared" si="22"/>
        <v>38.193330198291733</v>
      </c>
      <c r="AA190" s="158">
        <f t="shared" si="23"/>
        <v>26.729303116990131</v>
      </c>
    </row>
    <row r="191" spans="1:27" ht="19.5" thickBot="1" x14ac:dyDescent="0.35">
      <c r="A191" s="142">
        <v>110</v>
      </c>
      <c r="B191" s="143" t="s">
        <v>220</v>
      </c>
      <c r="C191" s="142">
        <v>27</v>
      </c>
      <c r="D191" s="143" t="s">
        <v>240</v>
      </c>
      <c r="E191" s="142">
        <v>454535</v>
      </c>
      <c r="F191" s="143" t="s">
        <v>256</v>
      </c>
      <c r="G191" s="144">
        <v>7.4460326411109019</v>
      </c>
      <c r="H191" s="145">
        <v>7.923682697044633</v>
      </c>
      <c r="I191" s="146">
        <v>5.0792149085123395</v>
      </c>
      <c r="J191" s="147">
        <v>0.86331564522844717</v>
      </c>
      <c r="K191" s="148">
        <v>134</v>
      </c>
      <c r="M191" s="149">
        <f t="shared" si="16"/>
        <v>0.64101694915254237</v>
      </c>
      <c r="N191" s="138">
        <f t="shared" si="17"/>
        <v>5.0792149085123395</v>
      </c>
      <c r="O191" s="149"/>
      <c r="V191" s="158">
        <f t="shared" si="18"/>
        <v>423.46755740467603</v>
      </c>
      <c r="W191" s="158">
        <f t="shared" si="19"/>
        <v>124.10619754331169</v>
      </c>
      <c r="X191" s="158">
        <f t="shared" si="20"/>
        <v>62.517888224998934</v>
      </c>
      <c r="Y191" s="158">
        <f t="shared" si="21"/>
        <v>45.15585392530096</v>
      </c>
      <c r="Z191" s="158">
        <f t="shared" si="22"/>
        <v>14.602662391137281</v>
      </c>
      <c r="AA191" s="158">
        <f t="shared" si="23"/>
        <v>-6.1923782943611299</v>
      </c>
    </row>
    <row r="192" spans="1:27" ht="19.5" thickBot="1" x14ac:dyDescent="0.35">
      <c r="A192" s="142">
        <v>110</v>
      </c>
      <c r="B192" s="143" t="s">
        <v>220</v>
      </c>
      <c r="C192" s="142">
        <v>27</v>
      </c>
      <c r="D192" s="143" t="s">
        <v>240</v>
      </c>
      <c r="E192" s="142">
        <v>454651</v>
      </c>
      <c r="F192" s="143" t="s">
        <v>539</v>
      </c>
      <c r="G192" s="144">
        <v>10.895669109990308</v>
      </c>
      <c r="H192" s="145">
        <v>56.811563727870094</v>
      </c>
      <c r="I192" s="146">
        <v>37.160177673600458</v>
      </c>
      <c r="J192" s="147">
        <v>0</v>
      </c>
      <c r="K192" s="148">
        <v>1</v>
      </c>
      <c r="M192" s="149">
        <f t="shared" si="16"/>
        <v>0.65409531502423268</v>
      </c>
      <c r="N192" s="138">
        <f t="shared" si="17"/>
        <v>37.160177673600458</v>
      </c>
      <c r="O192" s="149"/>
      <c r="V192" s="158">
        <f t="shared" si="18"/>
        <v>0</v>
      </c>
      <c r="W192" s="158">
        <f t="shared" si="19"/>
        <v>-429.29238748675664</v>
      </c>
      <c r="X192" s="158">
        <f t="shared" si="20"/>
        <v>-517.61170952877137</v>
      </c>
      <c r="Y192" s="158">
        <f t="shared" si="21"/>
        <v>-542.50934214106314</v>
      </c>
      <c r="Z192" s="158">
        <f t="shared" si="22"/>
        <v>-586.32345544251086</v>
      </c>
      <c r="AA192" s="158">
        <f t="shared" si="23"/>
        <v>-616.14411321843772</v>
      </c>
    </row>
    <row r="193" spans="1:27" ht="19.5" thickBot="1" x14ac:dyDescent="0.35">
      <c r="A193" s="142">
        <v>110</v>
      </c>
      <c r="B193" s="143" t="s">
        <v>220</v>
      </c>
      <c r="C193" s="142">
        <v>27</v>
      </c>
      <c r="D193" s="143" t="s">
        <v>240</v>
      </c>
      <c r="E193" s="142">
        <v>554686</v>
      </c>
      <c r="F193" s="143" t="s">
        <v>258</v>
      </c>
      <c r="G193" s="144">
        <v>1.7385762385762389</v>
      </c>
      <c r="H193" s="145">
        <v>7.4773827638677535</v>
      </c>
      <c r="I193" s="146">
        <v>4.6100940655692346</v>
      </c>
      <c r="J193" s="147">
        <v>0.87593993478550114</v>
      </c>
      <c r="K193" s="148">
        <v>150</v>
      </c>
      <c r="M193" s="149">
        <f t="shared" si="16"/>
        <v>0.61653846153846159</v>
      </c>
      <c r="N193" s="138">
        <f t="shared" si="17"/>
        <v>4.6100940655692346</v>
      </c>
      <c r="O193" s="149"/>
      <c r="V193" s="158">
        <f t="shared" si="18"/>
        <v>104.30448945439079</v>
      </c>
      <c r="W193" s="158">
        <f t="shared" si="19"/>
        <v>31.631356103219613</v>
      </c>
      <c r="X193" s="158">
        <f t="shared" si="20"/>
        <v>16.68014323447899</v>
      </c>
      <c r="Y193" s="158">
        <f t="shared" si="21"/>
        <v>12.465325949797084</v>
      </c>
      <c r="Z193" s="158">
        <f t="shared" si="22"/>
        <v>5.0482158601902363</v>
      </c>
      <c r="AA193" s="158">
        <f t="shared" si="23"/>
        <v>0</v>
      </c>
    </row>
    <row r="194" spans="1:27" ht="19.5" thickBot="1" x14ac:dyDescent="0.35">
      <c r="A194" s="142">
        <v>110</v>
      </c>
      <c r="B194" s="143" t="s">
        <v>220</v>
      </c>
      <c r="C194" s="142">
        <v>27</v>
      </c>
      <c r="D194" s="143" t="s">
        <v>240</v>
      </c>
      <c r="E194" s="142">
        <v>454696</v>
      </c>
      <c r="F194" s="143" t="s">
        <v>259</v>
      </c>
      <c r="G194" s="144">
        <v>4.5380946795140344</v>
      </c>
      <c r="H194" s="145">
        <v>2.4239247474620655</v>
      </c>
      <c r="I194" s="146">
        <v>1.6714062917727062</v>
      </c>
      <c r="J194" s="147">
        <v>0.95502157426550427</v>
      </c>
      <c r="K194" s="148">
        <v>250</v>
      </c>
      <c r="M194" s="149">
        <f t="shared" si="16"/>
        <v>0.68954545454545457</v>
      </c>
      <c r="N194" s="138">
        <f t="shared" si="17"/>
        <v>1.6714062917727062</v>
      </c>
      <c r="O194" s="149"/>
      <c r="V194" s="158">
        <f t="shared" si="18"/>
        <v>265.41101613441407</v>
      </c>
      <c r="W194" s="158">
        <f t="shared" si="19"/>
        <v>95.801204195500389</v>
      </c>
      <c r="X194" s="158">
        <f t="shared" si="20"/>
        <v>60.906982823870287</v>
      </c>
      <c r="Y194" s="158">
        <f t="shared" si="21"/>
        <v>51.070137568315324</v>
      </c>
      <c r="Z194" s="158">
        <f t="shared" si="22"/>
        <v>33.759549880435458</v>
      </c>
      <c r="AA194" s="158">
        <f t="shared" si="23"/>
        <v>21.977658785463031</v>
      </c>
    </row>
    <row r="195" spans="1:27" ht="19.5" thickBot="1" x14ac:dyDescent="0.35">
      <c r="A195" s="142">
        <v>110</v>
      </c>
      <c r="B195" s="143" t="s">
        <v>220</v>
      </c>
      <c r="C195" s="142">
        <v>31</v>
      </c>
      <c r="D195" s="143" t="s">
        <v>260</v>
      </c>
      <c r="E195" s="142">
        <v>455151</v>
      </c>
      <c r="F195" s="143" t="s">
        <v>261</v>
      </c>
      <c r="G195" s="144">
        <v>9.600868431864221</v>
      </c>
      <c r="H195" s="145">
        <v>13.644599020357937</v>
      </c>
      <c r="I195" s="146">
        <v>8.7716023396904106</v>
      </c>
      <c r="J195" s="147">
        <v>0.76395155005079585</v>
      </c>
      <c r="K195" s="148">
        <v>45</v>
      </c>
      <c r="M195" s="149">
        <f t="shared" si="16"/>
        <v>0.64286259541984736</v>
      </c>
      <c r="N195" s="138">
        <f t="shared" si="17"/>
        <v>8.7716023396904106</v>
      </c>
      <c r="O195" s="149"/>
      <c r="V195" s="158">
        <f t="shared" si="18"/>
        <v>481.78501392688963</v>
      </c>
      <c r="W195" s="158">
        <f t="shared" si="19"/>
        <v>96.898511538039799</v>
      </c>
      <c r="X195" s="158">
        <f t="shared" si="20"/>
        <v>17.714915590501089</v>
      </c>
      <c r="Y195" s="158">
        <f t="shared" si="21"/>
        <v>-4.6073128329021662</v>
      </c>
      <c r="Z195" s="158">
        <f t="shared" si="22"/>
        <v>-43.889306447063873</v>
      </c>
      <c r="AA195" s="158">
        <f t="shared" si="23"/>
        <v>-70.625323681158065</v>
      </c>
    </row>
    <row r="196" spans="1:27" ht="19.5" thickBot="1" x14ac:dyDescent="0.35">
      <c r="A196" s="142">
        <v>110</v>
      </c>
      <c r="B196" s="143" t="s">
        <v>220</v>
      </c>
      <c r="C196" s="142">
        <v>31</v>
      </c>
      <c r="D196" s="143" t="s">
        <v>260</v>
      </c>
      <c r="E196" s="142">
        <v>455231</v>
      </c>
      <c r="F196" s="143" t="s">
        <v>262</v>
      </c>
      <c r="G196" s="144">
        <v>4.5932318577479867</v>
      </c>
      <c r="H196" s="145">
        <v>11.538716450944705</v>
      </c>
      <c r="I196" s="146">
        <v>7.8256445816831581</v>
      </c>
      <c r="J196" s="147">
        <v>0.78940777273939955</v>
      </c>
      <c r="K196" s="148">
        <v>62</v>
      </c>
      <c r="M196" s="149">
        <f t="shared" si="16"/>
        <v>0.67820754716981124</v>
      </c>
      <c r="N196" s="138">
        <f t="shared" si="17"/>
        <v>7.8256445816831581</v>
      </c>
      <c r="O196" s="149"/>
      <c r="V196" s="158">
        <f t="shared" si="18"/>
        <v>225.76273512208448</v>
      </c>
      <c r="W196" s="158">
        <f t="shared" si="19"/>
        <v>51.222293643948788</v>
      </c>
      <c r="X196" s="158">
        <f t="shared" si="20"/>
        <v>15.313682381331263</v>
      </c>
      <c r="Y196" s="158">
        <f t="shared" si="21"/>
        <v>5.1908758406634892</v>
      </c>
      <c r="Z196" s="158">
        <f t="shared" si="22"/>
        <v>-12.622938010959167</v>
      </c>
      <c r="AA196" s="158">
        <f t="shared" si="23"/>
        <v>-24.747333702786459</v>
      </c>
    </row>
    <row r="197" spans="1:27" ht="19.5" thickBot="1" x14ac:dyDescent="0.35">
      <c r="A197" s="142">
        <v>110</v>
      </c>
      <c r="B197" s="143" t="s">
        <v>220</v>
      </c>
      <c r="C197" s="142">
        <v>31</v>
      </c>
      <c r="D197" s="143" t="s">
        <v>260</v>
      </c>
      <c r="E197" s="142">
        <v>455298</v>
      </c>
      <c r="F197" s="143" t="s">
        <v>263</v>
      </c>
      <c r="G197" s="144">
        <v>1.9563433722788568</v>
      </c>
      <c r="H197" s="145">
        <v>11.245469640829556</v>
      </c>
      <c r="I197" s="146">
        <v>6.2412356506604043</v>
      </c>
      <c r="J197" s="147">
        <v>0.83204505356565239</v>
      </c>
      <c r="K197" s="148">
        <v>95</v>
      </c>
      <c r="M197" s="149">
        <f t="shared" si="16"/>
        <v>0.55500000000000005</v>
      </c>
      <c r="N197" s="138">
        <f t="shared" si="17"/>
        <v>6.2412356506604043</v>
      </c>
      <c r="O197" s="149"/>
      <c r="V197" s="158">
        <f t="shared" si="18"/>
        <v>123.84944165530918</v>
      </c>
      <c r="W197" s="158">
        <f t="shared" si="19"/>
        <v>33.006242427255948</v>
      </c>
      <c r="X197" s="158">
        <f t="shared" si="20"/>
        <v>14.316859615414545</v>
      </c>
      <c r="Y197" s="158">
        <f t="shared" si="21"/>
        <v>9.0482346278003245</v>
      </c>
      <c r="Z197" s="158">
        <f t="shared" si="22"/>
        <v>-0.22333491235766614</v>
      </c>
      <c r="AA197" s="158">
        <f t="shared" si="23"/>
        <v>-6.5337285611006113</v>
      </c>
    </row>
    <row r="198" spans="1:27" ht="19.5" thickBot="1" x14ac:dyDescent="0.35">
      <c r="A198" s="142">
        <v>110</v>
      </c>
      <c r="B198" s="143" t="s">
        <v>220</v>
      </c>
      <c r="C198" s="142">
        <v>31</v>
      </c>
      <c r="D198" s="143" t="s">
        <v>260</v>
      </c>
      <c r="E198" s="142">
        <v>555406</v>
      </c>
      <c r="F198" s="143" t="s">
        <v>264</v>
      </c>
      <c r="G198" s="144">
        <v>2.6404956531183768</v>
      </c>
      <c r="H198" s="145">
        <v>7.9530522897090883</v>
      </c>
      <c r="I198" s="146">
        <v>4.1810332037327775</v>
      </c>
      <c r="J198" s="147">
        <v>0.88748618910121368</v>
      </c>
      <c r="K198" s="148">
        <v>176</v>
      </c>
      <c r="M198" s="149">
        <f t="shared" ref="M198:M261" si="24">IF(ISERROR(I198/H198),$O$3,(I198/H198))</f>
        <v>0.52571428571428569</v>
      </c>
      <c r="N198" s="138">
        <f t="shared" ref="N198:N261" si="25">I198</f>
        <v>4.1810332037327775</v>
      </c>
      <c r="O198" s="149"/>
      <c r="V198" s="158">
        <f t="shared" ref="V198:V261" si="26">(((($O$5-N198))/M198)*G198)+((((($O$5-N198)/$T$2))*$T$3/M198)*G198)</f>
        <v>188.23153820211832</v>
      </c>
      <c r="W198" s="158">
        <f t="shared" ref="W198:W261" si="27">(((($P$5-N198))/M198)*G198)+((((($P$5-N198)/$T$2))*$T$3/M198)*G198)</f>
        <v>58.789304599367355</v>
      </c>
      <c r="X198" s="158">
        <f t="shared" ref="X198:X261" si="28">(((($Q$5-N198))/M198)*G198)+((((($Q$5-N198)/$T$2))*$T$3/M198)*G198)</f>
        <v>32.158852607595762</v>
      </c>
      <c r="Y198" s="158">
        <f t="shared" ref="Y198:Y261" si="29">(((($R$5-N198))/M198)*G198)+((((($R$5-N198)/$T$2))*$T$3/M198)*G198)</f>
        <v>24.65160283868353</v>
      </c>
      <c r="Z198" s="158">
        <f t="shared" ref="Z198:Z261" si="30">(((($S$5-N198))/M198)*G198)+((((($S$5-N198)/$T$2))*$T$3/M198)*G198)</f>
        <v>11.44056799535462</v>
      </c>
      <c r="AA198" s="158">
        <f t="shared" ref="AA198:AA261" si="31">(((($T$5-N198))/M198)*G198)+((((($T$5-N198)/$T$2))*$T$3/M198)*G198)</f>
        <v>2.4489048246716671</v>
      </c>
    </row>
    <row r="199" spans="1:27" ht="19.5" thickBot="1" x14ac:dyDescent="0.35">
      <c r="A199" s="142">
        <v>110</v>
      </c>
      <c r="B199" s="143" t="s">
        <v>220</v>
      </c>
      <c r="C199" s="142">
        <v>31</v>
      </c>
      <c r="D199" s="143" t="s">
        <v>260</v>
      </c>
      <c r="E199" s="142">
        <v>554412</v>
      </c>
      <c r="F199" s="143" t="s">
        <v>265</v>
      </c>
      <c r="G199" s="144">
        <v>2.6921407279830221</v>
      </c>
      <c r="H199" s="145">
        <v>7.8004837495004962</v>
      </c>
      <c r="I199" s="146">
        <v>4.1323991291996673</v>
      </c>
      <c r="J199" s="147">
        <v>0.88879495772337413</v>
      </c>
      <c r="K199" s="148">
        <v>180</v>
      </c>
      <c r="M199" s="149">
        <f t="shared" si="24"/>
        <v>0.52976190476190477</v>
      </c>
      <c r="N199" s="138">
        <f t="shared" si="25"/>
        <v>4.1323991291996673</v>
      </c>
      <c r="O199" s="149"/>
      <c r="V199" s="158">
        <f t="shared" si="26"/>
        <v>190.72767959733287</v>
      </c>
      <c r="W199" s="158">
        <f t="shared" si="27"/>
        <v>59.762044445035166</v>
      </c>
      <c r="X199" s="158">
        <f t="shared" si="28"/>
        <v>32.818179506806707</v>
      </c>
      <c r="Y199" s="158">
        <f t="shared" si="29"/>
        <v>25.222577153019483</v>
      </c>
      <c r="Z199" s="158">
        <f t="shared" si="30"/>
        <v>11.856062058838233</v>
      </c>
      <c r="AA199" s="158">
        <f t="shared" si="31"/>
        <v>2.7585762889465961</v>
      </c>
    </row>
    <row r="200" spans="1:27" ht="19.5" thickBot="1" x14ac:dyDescent="0.35">
      <c r="A200" s="142">
        <v>110</v>
      </c>
      <c r="B200" s="143" t="s">
        <v>220</v>
      </c>
      <c r="C200" s="142">
        <v>31</v>
      </c>
      <c r="D200" s="143" t="s">
        <v>260</v>
      </c>
      <c r="E200" s="142">
        <v>554413</v>
      </c>
      <c r="F200" s="143" t="s">
        <v>266</v>
      </c>
      <c r="G200" s="144">
        <v>3.8745519713261647</v>
      </c>
      <c r="H200" s="145">
        <v>7.2266419981498613</v>
      </c>
      <c r="I200" s="146">
        <v>4.5166512488436634</v>
      </c>
      <c r="J200" s="147">
        <v>0.87845453031694165</v>
      </c>
      <c r="K200" s="148">
        <v>153</v>
      </c>
      <c r="M200" s="149">
        <f t="shared" si="24"/>
        <v>0.625</v>
      </c>
      <c r="N200" s="138">
        <f t="shared" si="25"/>
        <v>4.5166512488436634</v>
      </c>
      <c r="O200" s="149"/>
      <c r="V200" s="158">
        <f t="shared" si="26"/>
        <v>229.96189029105307</v>
      </c>
      <c r="W200" s="158">
        <f t="shared" si="27"/>
        <v>70.196835211955673</v>
      </c>
      <c r="X200" s="158">
        <f t="shared" si="28"/>
        <v>37.327998582453738</v>
      </c>
      <c r="Y200" s="158">
        <f t="shared" si="29"/>
        <v>28.062118819410813</v>
      </c>
      <c r="Z200" s="158">
        <f t="shared" si="30"/>
        <v>11.756299222123973</v>
      </c>
      <c r="AA200" s="158">
        <f t="shared" si="31"/>
        <v>0.65827099954605706</v>
      </c>
    </row>
    <row r="201" spans="1:27" ht="19.5" thickBot="1" x14ac:dyDescent="0.35">
      <c r="A201" s="142">
        <v>110</v>
      </c>
      <c r="B201" s="143" t="s">
        <v>220</v>
      </c>
      <c r="C201" s="142">
        <v>31</v>
      </c>
      <c r="D201" s="143" t="s">
        <v>260</v>
      </c>
      <c r="E201" s="142">
        <v>454414</v>
      </c>
      <c r="F201" s="143" t="s">
        <v>267</v>
      </c>
      <c r="G201" s="144">
        <v>3.2393056718394044</v>
      </c>
      <c r="H201" s="145">
        <v>8.0264114084782197</v>
      </c>
      <c r="I201" s="146">
        <v>5.5413109531609246</v>
      </c>
      <c r="J201" s="147">
        <v>0.85088039670225757</v>
      </c>
      <c r="K201" s="148">
        <v>118</v>
      </c>
      <c r="M201" s="149">
        <f t="shared" si="24"/>
        <v>0.69038461538461537</v>
      </c>
      <c r="N201" s="138">
        <f t="shared" si="25"/>
        <v>5.5413109531609246</v>
      </c>
      <c r="O201" s="149"/>
      <c r="V201" s="158">
        <f t="shared" si="26"/>
        <v>168.58714433533825</v>
      </c>
      <c r="W201" s="158">
        <f t="shared" si="27"/>
        <v>47.666306786077442</v>
      </c>
      <c r="X201" s="158">
        <f t="shared" si="28"/>
        <v>22.788981437668397</v>
      </c>
      <c r="Y201" s="158">
        <f t="shared" si="29"/>
        <v>15.775946321677711</v>
      </c>
      <c r="Z201" s="158">
        <f t="shared" si="30"/>
        <v>3.4346157243521054</v>
      </c>
      <c r="AA201" s="158">
        <f t="shared" si="31"/>
        <v>-4.96511140718526</v>
      </c>
    </row>
    <row r="202" spans="1:27" ht="19.5" thickBot="1" x14ac:dyDescent="0.35">
      <c r="A202" s="142">
        <v>110</v>
      </c>
      <c r="B202" s="143" t="s">
        <v>220</v>
      </c>
      <c r="C202" s="142">
        <v>31</v>
      </c>
      <c r="D202" s="143" t="s">
        <v>260</v>
      </c>
      <c r="E202" s="142">
        <v>455456</v>
      </c>
      <c r="F202" s="143" t="s">
        <v>268</v>
      </c>
      <c r="G202" s="144">
        <v>1.6022852177690901</v>
      </c>
      <c r="H202" s="145">
        <v>1.8723258298400769</v>
      </c>
      <c r="I202" s="146">
        <v>1.3231102530869878</v>
      </c>
      <c r="J202" s="147">
        <v>0.96439440455025172</v>
      </c>
      <c r="K202" s="148">
        <v>261</v>
      </c>
      <c r="M202" s="149">
        <f t="shared" si="24"/>
        <v>0.70666666666666678</v>
      </c>
      <c r="N202" s="138">
        <f t="shared" si="25"/>
        <v>1.3231102530869878</v>
      </c>
      <c r="O202" s="149"/>
      <c r="V202" s="158">
        <f t="shared" si="26"/>
        <v>92.33684076342675</v>
      </c>
      <c r="W202" s="158">
        <f t="shared" si="27"/>
        <v>33.902851025368122</v>
      </c>
      <c r="X202" s="158">
        <f t="shared" si="28"/>
        <v>21.881090313306572</v>
      </c>
      <c r="Y202" s="158">
        <f t="shared" si="29"/>
        <v>18.492099380842184</v>
      </c>
      <c r="Z202" s="158">
        <f t="shared" si="30"/>
        <v>12.528253942008453</v>
      </c>
      <c r="AA202" s="158">
        <f t="shared" si="31"/>
        <v>8.4691556182245762</v>
      </c>
    </row>
    <row r="203" spans="1:27" ht="19.5" thickBot="1" x14ac:dyDescent="0.35">
      <c r="A203" s="142">
        <v>110</v>
      </c>
      <c r="B203" s="143" t="s">
        <v>220</v>
      </c>
      <c r="C203" s="142">
        <v>31</v>
      </c>
      <c r="D203" s="143" t="s">
        <v>260</v>
      </c>
      <c r="E203" s="142">
        <v>455566</v>
      </c>
      <c r="F203" s="143" t="s">
        <v>269</v>
      </c>
      <c r="G203" s="144">
        <v>2.8902111342504053</v>
      </c>
      <c r="H203" s="145">
        <v>9.3418780655976619</v>
      </c>
      <c r="I203" s="146">
        <v>7.2468754105164086</v>
      </c>
      <c r="J203" s="147">
        <v>0.8049827566980452</v>
      </c>
      <c r="K203" s="148">
        <v>74</v>
      </c>
      <c r="M203" s="149">
        <f t="shared" si="24"/>
        <v>0.77574074074074073</v>
      </c>
      <c r="N203" s="138">
        <f t="shared" si="25"/>
        <v>7.2468754105164086</v>
      </c>
      <c r="O203" s="149"/>
      <c r="V203" s="158">
        <f t="shared" si="26"/>
        <v>126.6469270220714</v>
      </c>
      <c r="W203" s="158">
        <f t="shared" si="27"/>
        <v>30.628786907356446</v>
      </c>
      <c r="X203" s="158">
        <f t="shared" si="28"/>
        <v>10.874751462391963</v>
      </c>
      <c r="Y203" s="158">
        <f t="shared" si="29"/>
        <v>5.305995886064693</v>
      </c>
      <c r="Z203" s="158">
        <f t="shared" si="30"/>
        <v>-4.4937345368517549</v>
      </c>
      <c r="AA203" s="158">
        <f t="shared" si="31"/>
        <v>-11.163603791708381</v>
      </c>
    </row>
    <row r="204" spans="1:27" ht="19.5" thickBot="1" x14ac:dyDescent="0.35">
      <c r="A204" s="142">
        <v>110</v>
      </c>
      <c r="B204" s="143" t="s">
        <v>220</v>
      </c>
      <c r="C204" s="142">
        <v>31</v>
      </c>
      <c r="D204" s="143" t="s">
        <v>260</v>
      </c>
      <c r="E204" s="142">
        <v>555624</v>
      </c>
      <c r="F204" s="143" t="s">
        <v>270</v>
      </c>
      <c r="G204" s="144">
        <v>2.6579356498262534</v>
      </c>
      <c r="H204" s="145">
        <v>4.8910138215158812</v>
      </c>
      <c r="I204" s="146">
        <v>2.5564953013231086</v>
      </c>
      <c r="J204" s="147">
        <v>0.93120336173367357</v>
      </c>
      <c r="K204" s="148">
        <v>230</v>
      </c>
      <c r="M204" s="149">
        <f t="shared" si="24"/>
        <v>0.52269230769230768</v>
      </c>
      <c r="N204" s="138">
        <f t="shared" si="25"/>
        <v>2.5564953013231086</v>
      </c>
      <c r="O204" s="149"/>
      <c r="V204" s="158">
        <f t="shared" si="26"/>
        <v>199.95763812011228</v>
      </c>
      <c r="W204" s="158">
        <f t="shared" si="27"/>
        <v>68.907140739905159</v>
      </c>
      <c r="X204" s="158">
        <f t="shared" si="28"/>
        <v>41.945816898014762</v>
      </c>
      <c r="Y204" s="158">
        <f t="shared" si="29"/>
        <v>34.345292797104278</v>
      </c>
      <c r="Z204" s="158">
        <f t="shared" si="30"/>
        <v>20.970116558730826</v>
      </c>
      <c r="AA204" s="158">
        <f t="shared" si="31"/>
        <v>11.866735861441557</v>
      </c>
    </row>
    <row r="205" spans="1:27" ht="19.5" thickBot="1" x14ac:dyDescent="0.35">
      <c r="A205" s="142">
        <v>110</v>
      </c>
      <c r="B205" s="143" t="s">
        <v>220</v>
      </c>
      <c r="C205" s="142">
        <v>31</v>
      </c>
      <c r="D205" s="143" t="s">
        <v>260</v>
      </c>
      <c r="E205" s="142">
        <v>455676</v>
      </c>
      <c r="F205" s="143" t="s">
        <v>271</v>
      </c>
      <c r="G205" s="144">
        <v>1.9523576781641299</v>
      </c>
      <c r="H205" s="145">
        <v>4.0976098229719256</v>
      </c>
      <c r="I205" s="146">
        <v>2.4841759551767297</v>
      </c>
      <c r="J205" s="147">
        <v>0.93314951351964193</v>
      </c>
      <c r="K205" s="148">
        <v>233</v>
      </c>
      <c r="M205" s="149">
        <f t="shared" si="24"/>
        <v>0.60624999999999996</v>
      </c>
      <c r="N205" s="138">
        <f t="shared" si="25"/>
        <v>2.4841759551767297</v>
      </c>
      <c r="O205" s="149"/>
      <c r="V205" s="158">
        <f t="shared" si="26"/>
        <v>126.89776607872003</v>
      </c>
      <c r="W205" s="158">
        <f t="shared" si="27"/>
        <v>43.903525900103929</v>
      </c>
      <c r="X205" s="158">
        <f t="shared" si="28"/>
        <v>26.828927701705531</v>
      </c>
      <c r="Y205" s="158">
        <f t="shared" si="29"/>
        <v>22.015518097587567</v>
      </c>
      <c r="Z205" s="158">
        <f t="shared" si="30"/>
        <v>13.545023049115201</v>
      </c>
      <c r="AA205" s="158">
        <f t="shared" si="31"/>
        <v>7.7798548190683894</v>
      </c>
    </row>
    <row r="206" spans="1:27" ht="19.5" thickBot="1" x14ac:dyDescent="0.35">
      <c r="A206" s="142">
        <v>110</v>
      </c>
      <c r="B206" s="143" t="s">
        <v>220</v>
      </c>
      <c r="C206" s="142">
        <v>31</v>
      </c>
      <c r="D206" s="143" t="s">
        <v>260</v>
      </c>
      <c r="E206" s="142">
        <v>455678</v>
      </c>
      <c r="F206" s="143" t="s">
        <v>272</v>
      </c>
      <c r="G206" s="144">
        <v>9.0627591209834257</v>
      </c>
      <c r="H206" s="145">
        <v>6.068791994333818</v>
      </c>
      <c r="I206" s="146">
        <v>3.4834866047476112</v>
      </c>
      <c r="J206" s="147">
        <v>0.90625753635127615</v>
      </c>
      <c r="K206" s="148">
        <v>201</v>
      </c>
      <c r="M206" s="149">
        <f t="shared" si="24"/>
        <v>0.57399999999999995</v>
      </c>
      <c r="N206" s="138">
        <f t="shared" si="25"/>
        <v>3.4834866047476112</v>
      </c>
      <c r="O206" s="149"/>
      <c r="V206" s="158">
        <f t="shared" si="26"/>
        <v>604.22026280643661</v>
      </c>
      <c r="W206" s="158">
        <f t="shared" si="27"/>
        <v>197.3191620031148</v>
      </c>
      <c r="X206" s="158">
        <f t="shared" si="28"/>
        <v>113.60645148548986</v>
      </c>
      <c r="Y206" s="158">
        <f t="shared" si="29"/>
        <v>90.007444345744759</v>
      </c>
      <c r="Z206" s="158">
        <f t="shared" si="30"/>
        <v>48.47861352381333</v>
      </c>
      <c r="AA206" s="158">
        <f t="shared" si="31"/>
        <v>20.213359283594286</v>
      </c>
    </row>
    <row r="207" spans="1:27" ht="19.5" thickBot="1" x14ac:dyDescent="0.35">
      <c r="A207" s="142">
        <v>110</v>
      </c>
      <c r="B207" s="143" t="s">
        <v>220</v>
      </c>
      <c r="C207" s="142">
        <v>31</v>
      </c>
      <c r="D207" s="143" t="s">
        <v>260</v>
      </c>
      <c r="E207" s="142">
        <v>555679</v>
      </c>
      <c r="F207" s="143" t="s">
        <v>273</v>
      </c>
      <c r="G207" s="144">
        <v>3.757448525190461</v>
      </c>
      <c r="H207" s="145">
        <v>10.113245662646522</v>
      </c>
      <c r="I207" s="146">
        <v>5.878989386522675</v>
      </c>
      <c r="J207" s="147">
        <v>0.84179329178236784</v>
      </c>
      <c r="K207" s="148">
        <v>107</v>
      </c>
      <c r="M207" s="149">
        <f t="shared" si="24"/>
        <v>0.58131578947368412</v>
      </c>
      <c r="N207" s="138">
        <f t="shared" si="25"/>
        <v>5.878989386522675</v>
      </c>
      <c r="O207" s="149"/>
      <c r="V207" s="158">
        <f t="shared" si="26"/>
        <v>229.76373936316574</v>
      </c>
      <c r="W207" s="158">
        <f t="shared" si="27"/>
        <v>63.184359644097512</v>
      </c>
      <c r="X207" s="158">
        <f t="shared" si="28"/>
        <v>28.913596146290697</v>
      </c>
      <c r="Y207" s="158">
        <f t="shared" si="29"/>
        <v>19.252506600050506</v>
      </c>
      <c r="Z207" s="158">
        <f t="shared" si="30"/>
        <v>2.2512085816427212</v>
      </c>
      <c r="AA207" s="158">
        <f t="shared" si="31"/>
        <v>-9.3201745127797508</v>
      </c>
    </row>
    <row r="208" spans="1:27" ht="19.5" thickBot="1" x14ac:dyDescent="0.35">
      <c r="A208" s="142">
        <v>110</v>
      </c>
      <c r="B208" s="143" t="s">
        <v>220</v>
      </c>
      <c r="C208" s="142">
        <v>31</v>
      </c>
      <c r="D208" s="143" t="s">
        <v>260</v>
      </c>
      <c r="E208" s="142">
        <v>554700</v>
      </c>
      <c r="F208" s="143" t="s">
        <v>274</v>
      </c>
      <c r="G208" s="144">
        <v>2.6247581669761875</v>
      </c>
      <c r="H208" s="145">
        <v>12.95357432458975</v>
      </c>
      <c r="I208" s="146">
        <v>7.4254459878310062</v>
      </c>
      <c r="J208" s="147">
        <v>0.80017732818575216</v>
      </c>
      <c r="K208" s="148">
        <v>69</v>
      </c>
      <c r="M208" s="149">
        <f t="shared" si="24"/>
        <v>0.57323529411764695</v>
      </c>
      <c r="N208" s="138">
        <f t="shared" si="25"/>
        <v>7.4254459878310062</v>
      </c>
      <c r="O208" s="149"/>
      <c r="V208" s="158">
        <f t="shared" si="26"/>
        <v>154.71688945335291</v>
      </c>
      <c r="W208" s="158">
        <f t="shared" si="27"/>
        <v>36.712899001737973</v>
      </c>
      <c r="X208" s="158">
        <f t="shared" si="28"/>
        <v>12.435663395596361</v>
      </c>
      <c r="Y208" s="158">
        <f t="shared" si="29"/>
        <v>5.5917964026385043</v>
      </c>
      <c r="Z208" s="158">
        <f t="shared" si="30"/>
        <v>-6.451837163608956</v>
      </c>
      <c r="AA208" s="158">
        <f t="shared" si="31"/>
        <v>-14.648946448617917</v>
      </c>
    </row>
    <row r="209" spans="1:27" ht="19.5" thickBot="1" x14ac:dyDescent="0.35">
      <c r="A209" s="142">
        <v>160</v>
      </c>
      <c r="B209" s="143" t="s">
        <v>275</v>
      </c>
      <c r="C209" s="142">
        <v>45</v>
      </c>
      <c r="D209" s="143" t="s">
        <v>276</v>
      </c>
      <c r="E209" s="142">
        <v>557105</v>
      </c>
      <c r="F209" s="143" t="s">
        <v>277</v>
      </c>
      <c r="G209" s="144">
        <v>3.8480691393992146</v>
      </c>
      <c r="H209" s="145">
        <v>5.7171529936270273</v>
      </c>
      <c r="I209" s="146">
        <v>4.0799682727247424</v>
      </c>
      <c r="J209" s="147">
        <v>0.89020589975210873</v>
      </c>
      <c r="K209" s="148">
        <v>182</v>
      </c>
      <c r="M209" s="149">
        <f t="shared" si="24"/>
        <v>0.71363636363636362</v>
      </c>
      <c r="N209" s="138">
        <f t="shared" si="25"/>
        <v>4.0799682727247424</v>
      </c>
      <c r="O209" s="149"/>
      <c r="V209" s="158">
        <f t="shared" si="26"/>
        <v>202.69893777129556</v>
      </c>
      <c r="W209" s="158">
        <f t="shared" si="27"/>
        <v>63.733687126459813</v>
      </c>
      <c r="X209" s="158">
        <f t="shared" si="28"/>
        <v>35.144042674101129</v>
      </c>
      <c r="Y209" s="158">
        <f t="shared" si="29"/>
        <v>27.084487328417545</v>
      </c>
      <c r="Z209" s="158">
        <f t="shared" si="30"/>
        <v>12.901521559184687</v>
      </c>
      <c r="AA209" s="158">
        <f t="shared" si="31"/>
        <v>3.248345069179031</v>
      </c>
    </row>
    <row r="210" spans="1:27" ht="19.5" thickBot="1" x14ac:dyDescent="0.35">
      <c r="A210" s="142">
        <v>160</v>
      </c>
      <c r="B210" s="143" t="s">
        <v>275</v>
      </c>
      <c r="C210" s="142">
        <v>45</v>
      </c>
      <c r="D210" s="143" t="s">
        <v>276</v>
      </c>
      <c r="E210" s="142">
        <v>557178</v>
      </c>
      <c r="F210" s="143" t="s">
        <v>278</v>
      </c>
      <c r="G210" s="144">
        <v>2.9895671015622725</v>
      </c>
      <c r="H210" s="145">
        <v>1.6724829482459604</v>
      </c>
      <c r="I210" s="146">
        <v>0.970040109982657</v>
      </c>
      <c r="J210" s="147">
        <v>0.97389570850540375</v>
      </c>
      <c r="K210" s="148">
        <v>265</v>
      </c>
      <c r="M210" s="149">
        <f t="shared" si="24"/>
        <v>0.57999999999999996</v>
      </c>
      <c r="N210" s="138">
        <f t="shared" si="25"/>
        <v>0.970040109982657</v>
      </c>
      <c r="O210" s="149"/>
      <c r="V210" s="158">
        <f t="shared" si="26"/>
        <v>211.97657653057365</v>
      </c>
      <c r="W210" s="158">
        <f t="shared" si="27"/>
        <v>79.139095283556827</v>
      </c>
      <c r="X210" s="158">
        <f t="shared" si="28"/>
        <v>51.810131091599615</v>
      </c>
      <c r="Y210" s="158">
        <f t="shared" si="29"/>
        <v>44.105967445482221</v>
      </c>
      <c r="Z210" s="158">
        <f t="shared" si="30"/>
        <v>30.548409418168525</v>
      </c>
      <c r="AA210" s="158">
        <f t="shared" si="31"/>
        <v>21.320896460684267</v>
      </c>
    </row>
    <row r="211" spans="1:27" ht="19.5" thickBot="1" x14ac:dyDescent="0.35">
      <c r="A211" s="142">
        <v>160</v>
      </c>
      <c r="B211" s="143" t="s">
        <v>275</v>
      </c>
      <c r="C211" s="142">
        <v>45</v>
      </c>
      <c r="D211" s="143" t="s">
        <v>276</v>
      </c>
      <c r="E211" s="142">
        <v>557224</v>
      </c>
      <c r="F211" s="143" t="s">
        <v>279</v>
      </c>
      <c r="G211" s="144">
        <v>3.3355971104975688</v>
      </c>
      <c r="H211" s="145">
        <v>0.89938919498359082</v>
      </c>
      <c r="I211" s="146">
        <v>0.84542584328457526</v>
      </c>
      <c r="J211" s="147">
        <v>0.97724914421264497</v>
      </c>
      <c r="K211" s="148">
        <v>268</v>
      </c>
      <c r="M211" s="149">
        <f t="shared" si="24"/>
        <v>0.93999999999999984</v>
      </c>
      <c r="N211" s="138">
        <f t="shared" si="25"/>
        <v>0.84542584328457526</v>
      </c>
      <c r="O211" s="149"/>
      <c r="V211" s="158">
        <f t="shared" si="26"/>
        <v>146.43542223602273</v>
      </c>
      <c r="W211" s="158">
        <f t="shared" si="27"/>
        <v>54.984928304078089</v>
      </c>
      <c r="X211" s="158">
        <f t="shared" si="28"/>
        <v>36.170605339346011</v>
      </c>
      <c r="Y211" s="158">
        <f t="shared" si="29"/>
        <v>30.866759134525037</v>
      </c>
      <c r="Z211" s="158">
        <f t="shared" si="30"/>
        <v>21.533208343966958</v>
      </c>
      <c r="AA211" s="158">
        <f t="shared" si="31"/>
        <v>15.180629163726707</v>
      </c>
    </row>
    <row r="212" spans="1:27" ht="19.5" thickBot="1" x14ac:dyDescent="0.35">
      <c r="A212" s="142">
        <v>160</v>
      </c>
      <c r="B212" s="143" t="s">
        <v>275</v>
      </c>
      <c r="C212" s="142">
        <v>45</v>
      </c>
      <c r="D212" s="143" t="s">
        <v>276</v>
      </c>
      <c r="E212" s="142">
        <v>557432</v>
      </c>
      <c r="F212" s="143" t="s">
        <v>280</v>
      </c>
      <c r="G212" s="144">
        <v>3.7485562538819845</v>
      </c>
      <c r="H212" s="145">
        <v>6.4024649423750093</v>
      </c>
      <c r="I212" s="146">
        <v>4.3710161700339389</v>
      </c>
      <c r="J212" s="147">
        <v>0.88237364717609457</v>
      </c>
      <c r="K212" s="148">
        <v>164</v>
      </c>
      <c r="M212" s="149">
        <f t="shared" si="24"/>
        <v>0.68270833333333336</v>
      </c>
      <c r="N212" s="138">
        <f t="shared" si="25"/>
        <v>4.3710161700339389</v>
      </c>
      <c r="O212" s="149"/>
      <c r="V212" s="158">
        <f t="shared" si="26"/>
        <v>204.58626195867731</v>
      </c>
      <c r="W212" s="158">
        <f t="shared" si="27"/>
        <v>63.08212114813459</v>
      </c>
      <c r="X212" s="158">
        <f t="shared" si="28"/>
        <v>33.970144912798972</v>
      </c>
      <c r="Y212" s="158">
        <f t="shared" si="29"/>
        <v>25.763341778821729</v>
      </c>
      <c r="Z212" s="158">
        <f t="shared" si="30"/>
        <v>11.32125373157352</v>
      </c>
      <c r="AA212" s="158">
        <f t="shared" si="31"/>
        <v>1.4917140518885506</v>
      </c>
    </row>
    <row r="213" spans="1:27" ht="19.5" thickBot="1" x14ac:dyDescent="0.35">
      <c r="A213" s="142">
        <v>160</v>
      </c>
      <c r="B213" s="143" t="s">
        <v>275</v>
      </c>
      <c r="C213" s="142">
        <v>45</v>
      </c>
      <c r="D213" s="143" t="s">
        <v>276</v>
      </c>
      <c r="E213" s="142">
        <v>557433</v>
      </c>
      <c r="F213" s="143" t="s">
        <v>281</v>
      </c>
      <c r="G213" s="144">
        <v>3.1089604484710822</v>
      </c>
      <c r="H213" s="145">
        <v>0.64330184740161478</v>
      </c>
      <c r="I213" s="146">
        <v>0.13830989719134718</v>
      </c>
      <c r="J213" s="147">
        <v>0.99627800764554453</v>
      </c>
      <c r="K213" s="148">
        <v>280</v>
      </c>
      <c r="M213" s="149">
        <f t="shared" si="24"/>
        <v>0.215</v>
      </c>
      <c r="N213" s="138">
        <f t="shared" si="25"/>
        <v>0.13830989719134718</v>
      </c>
      <c r="O213" s="149"/>
      <c r="V213" s="158">
        <f t="shared" si="26"/>
        <v>608.34842835825577</v>
      </c>
      <c r="W213" s="158">
        <f t="shared" si="27"/>
        <v>235.68475775945541</v>
      </c>
      <c r="X213" s="158">
        <f t="shared" si="28"/>
        <v>159.01579344433546</v>
      </c>
      <c r="Y213" s="158">
        <f t="shared" si="29"/>
        <v>137.40245151475543</v>
      </c>
      <c r="Z213" s="158">
        <f t="shared" si="30"/>
        <v>99.367935266891749</v>
      </c>
      <c r="AA213" s="158">
        <f t="shared" si="31"/>
        <v>73.480973116205078</v>
      </c>
    </row>
    <row r="214" spans="1:27" ht="19.5" thickBot="1" x14ac:dyDescent="0.35">
      <c r="A214" s="142">
        <v>160</v>
      </c>
      <c r="B214" s="143" t="s">
        <v>275</v>
      </c>
      <c r="C214" s="142">
        <v>45</v>
      </c>
      <c r="D214" s="143" t="s">
        <v>276</v>
      </c>
      <c r="E214" s="142">
        <v>557434</v>
      </c>
      <c r="F214" s="143" t="s">
        <v>282</v>
      </c>
      <c r="G214" s="144">
        <v>3.7472367864044478</v>
      </c>
      <c r="H214" s="145">
        <v>9.6070790430467436</v>
      </c>
      <c r="I214" s="146">
        <v>6.6182100074322019</v>
      </c>
      <c r="J214" s="147">
        <v>0.82190047460042293</v>
      </c>
      <c r="K214" s="148">
        <v>89</v>
      </c>
      <c r="M214" s="149">
        <f t="shared" si="24"/>
        <v>0.68888888888888899</v>
      </c>
      <c r="N214" s="138">
        <f t="shared" si="25"/>
        <v>6.6182100074322019</v>
      </c>
      <c r="O214" s="149"/>
      <c r="V214" s="158">
        <f t="shared" si="26"/>
        <v>188.78883117862313</v>
      </c>
      <c r="W214" s="158">
        <f t="shared" si="27"/>
        <v>48.603595235282363</v>
      </c>
      <c r="X214" s="158">
        <f t="shared" si="28"/>
        <v>19.762960367985301</v>
      </c>
      <c r="Y214" s="158">
        <f t="shared" si="29"/>
        <v>11.632649642891428</v>
      </c>
      <c r="Z214" s="158">
        <f t="shared" si="30"/>
        <v>-2.6748293384385087</v>
      </c>
      <c r="AA214" s="158">
        <f t="shared" si="31"/>
        <v>-12.41275171525424</v>
      </c>
    </row>
    <row r="215" spans="1:27" ht="19.5" thickBot="1" x14ac:dyDescent="0.35">
      <c r="A215" s="142">
        <v>160</v>
      </c>
      <c r="B215" s="143" t="s">
        <v>275</v>
      </c>
      <c r="C215" s="142">
        <v>45</v>
      </c>
      <c r="D215" s="143" t="s">
        <v>276</v>
      </c>
      <c r="E215" s="142">
        <v>557436</v>
      </c>
      <c r="F215" s="143" t="s">
        <v>283</v>
      </c>
      <c r="G215" s="144">
        <v>4.8968438782934056</v>
      </c>
      <c r="H215" s="145">
        <v>8.9853793777338886</v>
      </c>
      <c r="I215" s="146">
        <v>6.217269889888823</v>
      </c>
      <c r="J215" s="147">
        <v>0.83268998484079559</v>
      </c>
      <c r="K215" s="148">
        <v>98</v>
      </c>
      <c r="M215" s="149">
        <f t="shared" si="24"/>
        <v>0.69193181818181815</v>
      </c>
      <c r="N215" s="138">
        <f t="shared" si="25"/>
        <v>6.217269889888823</v>
      </c>
      <c r="O215" s="149"/>
      <c r="V215" s="158">
        <f t="shared" si="26"/>
        <v>248.84642561547989</v>
      </c>
      <c r="W215" s="158">
        <f t="shared" si="27"/>
        <v>66.459679122700507</v>
      </c>
      <c r="X215" s="158">
        <f t="shared" si="28"/>
        <v>28.936829267395225</v>
      </c>
      <c r="Y215" s="158">
        <f t="shared" si="29"/>
        <v>18.358961269052273</v>
      </c>
      <c r="Z215" s="158">
        <f t="shared" si="30"/>
        <v>-0.25565620017453095</v>
      </c>
      <c r="AA215" s="158">
        <f t="shared" si="31"/>
        <v>-12.925092949023707</v>
      </c>
    </row>
    <row r="216" spans="1:27" ht="19.5" thickBot="1" x14ac:dyDescent="0.35">
      <c r="A216" s="142">
        <v>160</v>
      </c>
      <c r="B216" s="143" t="s">
        <v>275</v>
      </c>
      <c r="C216" s="142">
        <v>45</v>
      </c>
      <c r="D216" s="143" t="s">
        <v>276</v>
      </c>
      <c r="E216" s="142">
        <v>557437</v>
      </c>
      <c r="F216" s="143" t="s">
        <v>540</v>
      </c>
      <c r="G216" s="144">
        <v>3.1521611030053944</v>
      </c>
      <c r="H216" s="145">
        <v>1.9034560112677503</v>
      </c>
      <c r="I216" s="146">
        <v>1.5132475289578613</v>
      </c>
      <c r="J216" s="147">
        <v>0.95927771007314333</v>
      </c>
      <c r="K216" s="148">
        <v>253</v>
      </c>
      <c r="M216" s="149">
        <f t="shared" si="24"/>
        <v>0.79499999999999993</v>
      </c>
      <c r="N216" s="138">
        <f t="shared" si="25"/>
        <v>1.5132475289578613</v>
      </c>
      <c r="O216" s="149"/>
      <c r="V216" s="158">
        <f t="shared" si="26"/>
        <v>160.61301692894921</v>
      </c>
      <c r="W216" s="158">
        <f t="shared" si="27"/>
        <v>58.429323287698068</v>
      </c>
      <c r="X216" s="158">
        <f t="shared" si="28"/>
        <v>37.406834165589757</v>
      </c>
      <c r="Y216" s="158">
        <f t="shared" si="29"/>
        <v>31.480495526926315</v>
      </c>
      <c r="Z216" s="158">
        <f t="shared" si="30"/>
        <v>21.051501067069239</v>
      </c>
      <c r="AA216" s="158">
        <f t="shared" si="31"/>
        <v>13.953343617328963</v>
      </c>
    </row>
    <row r="217" spans="1:27" ht="19.5" thickBot="1" x14ac:dyDescent="0.35">
      <c r="A217" s="142">
        <v>160</v>
      </c>
      <c r="B217" s="143" t="s">
        <v>275</v>
      </c>
      <c r="C217" s="142">
        <v>45</v>
      </c>
      <c r="D217" s="143" t="s">
        <v>276</v>
      </c>
      <c r="E217" s="142">
        <v>557440</v>
      </c>
      <c r="F217" s="143" t="s">
        <v>284</v>
      </c>
      <c r="G217" s="144">
        <v>2.875057239081289</v>
      </c>
      <c r="H217" s="145">
        <v>2.4347341349756282</v>
      </c>
      <c r="I217" s="146">
        <v>1.4017112234216831</v>
      </c>
      <c r="J217" s="147">
        <v>0.96227921094097735</v>
      </c>
      <c r="K217" s="148">
        <v>260</v>
      </c>
      <c r="M217" s="149">
        <f t="shared" si="24"/>
        <v>0.57571428571428573</v>
      </c>
      <c r="N217" s="138">
        <f t="shared" si="25"/>
        <v>1.4017112234216831</v>
      </c>
      <c r="O217" s="149"/>
      <c r="V217" s="158">
        <f t="shared" si="26"/>
        <v>202.92506902273379</v>
      </c>
      <c r="W217" s="158">
        <f t="shared" si="27"/>
        <v>74.224694885917259</v>
      </c>
      <c r="X217" s="158">
        <f t="shared" si="28"/>
        <v>47.74686736872664</v>
      </c>
      <c r="Y217" s="158">
        <f t="shared" si="29"/>
        <v>40.282643157618764</v>
      </c>
      <c r="Z217" s="158">
        <f t="shared" si="30"/>
        <v>27.147323411136774</v>
      </c>
      <c r="AA217" s="158">
        <f t="shared" si="31"/>
        <v>18.207193269914171</v>
      </c>
    </row>
    <row r="218" spans="1:27" ht="19.5" thickBot="1" x14ac:dyDescent="0.35">
      <c r="A218" s="142">
        <v>160</v>
      </c>
      <c r="B218" s="143" t="s">
        <v>275</v>
      </c>
      <c r="C218" s="142">
        <v>45</v>
      </c>
      <c r="D218" s="143" t="s">
        <v>276</v>
      </c>
      <c r="E218" s="142">
        <v>557441</v>
      </c>
      <c r="F218" s="143" t="s">
        <v>285</v>
      </c>
      <c r="G218" s="144">
        <v>2.5461804329391748</v>
      </c>
      <c r="H218" s="145">
        <v>6.2839222990691406</v>
      </c>
      <c r="I218" s="146">
        <v>4.3928544321930216</v>
      </c>
      <c r="J218" s="147">
        <v>0.88178596801183173</v>
      </c>
      <c r="K218" s="148">
        <v>159</v>
      </c>
      <c r="M218" s="149">
        <f t="shared" si="24"/>
        <v>0.69906250000000014</v>
      </c>
      <c r="N218" s="138">
        <f t="shared" si="25"/>
        <v>4.3928544321930216</v>
      </c>
      <c r="O218" s="149"/>
      <c r="V218" s="158">
        <f t="shared" si="26"/>
        <v>135.62241195930372</v>
      </c>
      <c r="W218" s="158">
        <f t="shared" si="27"/>
        <v>41.755292503240049</v>
      </c>
      <c r="X218" s="158">
        <f t="shared" si="28"/>
        <v>22.443791544811997</v>
      </c>
      <c r="Y218" s="158">
        <f t="shared" si="29"/>
        <v>16.999788523297273</v>
      </c>
      <c r="Z218" s="158">
        <f t="shared" si="30"/>
        <v>7.4195939356274021</v>
      </c>
      <c r="AA218" s="158">
        <f t="shared" si="31"/>
        <v>0.89914463975518111</v>
      </c>
    </row>
    <row r="219" spans="1:27" ht="19.5" thickBot="1" x14ac:dyDescent="0.35">
      <c r="A219" s="142">
        <v>160</v>
      </c>
      <c r="B219" s="143" t="s">
        <v>275</v>
      </c>
      <c r="C219" s="142">
        <v>45</v>
      </c>
      <c r="D219" s="143" t="s">
        <v>276</v>
      </c>
      <c r="E219" s="142">
        <v>557439</v>
      </c>
      <c r="F219" s="143" t="s">
        <v>286</v>
      </c>
      <c r="G219" s="144">
        <v>3.7911894120016649</v>
      </c>
      <c r="H219" s="145">
        <v>1.3188473211524689</v>
      </c>
      <c r="I219" s="146">
        <v>1.4335870380927338</v>
      </c>
      <c r="J219" s="147">
        <v>0.961421415939268</v>
      </c>
      <c r="K219" s="148">
        <v>258</v>
      </c>
      <c r="M219" s="149">
        <f t="shared" si="24"/>
        <v>1.087</v>
      </c>
      <c r="N219" s="138">
        <f t="shared" si="25"/>
        <v>1.4335870380927338</v>
      </c>
      <c r="O219" s="149"/>
      <c r="V219" s="158">
        <f t="shared" si="26"/>
        <v>141.597256987805</v>
      </c>
      <c r="W219" s="158">
        <f t="shared" si="27"/>
        <v>51.712456487578912</v>
      </c>
      <c r="X219" s="158">
        <f t="shared" si="28"/>
        <v>33.220247276655925</v>
      </c>
      <c r="Y219" s="158">
        <f t="shared" si="29"/>
        <v>28.007206455258171</v>
      </c>
      <c r="Z219" s="158">
        <f t="shared" si="30"/>
        <v>18.833452277480156</v>
      </c>
      <c r="AA219" s="158">
        <f t="shared" si="31"/>
        <v>12.589633488456336</v>
      </c>
    </row>
    <row r="220" spans="1:27" ht="19.5" thickBot="1" x14ac:dyDescent="0.35">
      <c r="A220" s="142">
        <v>160</v>
      </c>
      <c r="B220" s="143" t="s">
        <v>275</v>
      </c>
      <c r="C220" s="142">
        <v>45</v>
      </c>
      <c r="D220" s="143" t="s">
        <v>276</v>
      </c>
      <c r="E220" s="142">
        <v>457443</v>
      </c>
      <c r="F220" s="143" t="s">
        <v>287</v>
      </c>
      <c r="G220" s="144">
        <v>4.0983728111111111</v>
      </c>
      <c r="H220" s="145">
        <v>8.2959753948743984</v>
      </c>
      <c r="I220" s="146">
        <v>5.6485832468041863</v>
      </c>
      <c r="J220" s="147">
        <v>0.84799364264565713</v>
      </c>
      <c r="K220" s="148">
        <v>114</v>
      </c>
      <c r="M220" s="149">
        <f t="shared" si="24"/>
        <v>0.68088235294117649</v>
      </c>
      <c r="N220" s="138">
        <f t="shared" si="25"/>
        <v>5.6485832468041863</v>
      </c>
      <c r="O220" s="149"/>
      <c r="V220" s="158">
        <f t="shared" si="26"/>
        <v>215.53960840076758</v>
      </c>
      <c r="W220" s="158">
        <f t="shared" si="27"/>
        <v>60.415355263002347</v>
      </c>
      <c r="X220" s="158">
        <f t="shared" si="28"/>
        <v>28.50128161820944</v>
      </c>
      <c r="Y220" s="158">
        <f t="shared" si="29"/>
        <v>19.504554034729132</v>
      </c>
      <c r="Z220" s="158">
        <f t="shared" si="30"/>
        <v>3.6723804372176301</v>
      </c>
      <c r="AA220" s="158">
        <f t="shared" si="31"/>
        <v>-7.1032759694785197</v>
      </c>
    </row>
    <row r="221" spans="1:27" ht="19.5" thickBot="1" x14ac:dyDescent="0.35">
      <c r="A221" s="142">
        <v>160</v>
      </c>
      <c r="B221" s="143" t="s">
        <v>275</v>
      </c>
      <c r="C221" s="142">
        <v>45</v>
      </c>
      <c r="D221" s="143" t="s">
        <v>276</v>
      </c>
      <c r="E221" s="142">
        <v>557444</v>
      </c>
      <c r="F221" s="143" t="s">
        <v>541</v>
      </c>
      <c r="G221" s="144">
        <v>6.0225891789421091</v>
      </c>
      <c r="H221" s="145">
        <v>13.781448067254567</v>
      </c>
      <c r="I221" s="146">
        <v>8.8715996413664033</v>
      </c>
      <c r="J221" s="147">
        <v>0.7612605698688838</v>
      </c>
      <c r="K221" s="148">
        <v>43</v>
      </c>
      <c r="M221" s="149">
        <f t="shared" si="24"/>
        <v>0.64373493975903606</v>
      </c>
      <c r="N221" s="138">
        <f t="shared" si="25"/>
        <v>8.8715996413664033</v>
      </c>
      <c r="O221" s="149"/>
      <c r="V221" s="158">
        <f t="shared" si="26"/>
        <v>300.74928469282582</v>
      </c>
      <c r="W221" s="158">
        <f t="shared" si="27"/>
        <v>59.638588074357088</v>
      </c>
      <c r="X221" s="158">
        <f t="shared" si="28"/>
        <v>10.034323281569405</v>
      </c>
      <c r="Y221" s="158">
        <f t="shared" si="29"/>
        <v>-3.9493524561829969</v>
      </c>
      <c r="Z221" s="158">
        <f t="shared" si="30"/>
        <v>-28.557409080896555</v>
      </c>
      <c r="AA221" s="158">
        <f t="shared" si="31"/>
        <v>-45.306086158699401</v>
      </c>
    </row>
    <row r="222" spans="1:27" ht="19.5" thickBot="1" x14ac:dyDescent="0.35">
      <c r="A222" s="142">
        <v>160</v>
      </c>
      <c r="B222" s="143" t="s">
        <v>275</v>
      </c>
      <c r="C222" s="142">
        <v>45</v>
      </c>
      <c r="D222" s="143" t="s">
        <v>276</v>
      </c>
      <c r="E222" s="142">
        <v>557445</v>
      </c>
      <c r="F222" s="143" t="s">
        <v>288</v>
      </c>
      <c r="G222" s="144">
        <v>3.0671238161600978</v>
      </c>
      <c r="H222" s="145">
        <v>14.019649214498971</v>
      </c>
      <c r="I222" s="146">
        <v>8.0645586818751642</v>
      </c>
      <c r="J222" s="147">
        <v>0.78297846816797023</v>
      </c>
      <c r="K222" s="148">
        <v>58</v>
      </c>
      <c r="M222" s="149">
        <f t="shared" si="24"/>
        <v>0.57523255813953489</v>
      </c>
      <c r="N222" s="138">
        <f t="shared" si="25"/>
        <v>8.0645586818751642</v>
      </c>
      <c r="O222" s="149"/>
      <c r="V222" s="158">
        <f t="shared" si="26"/>
        <v>176.29207031276763</v>
      </c>
      <c r="W222" s="158">
        <f t="shared" si="27"/>
        <v>38.878960182984805</v>
      </c>
      <c r="X222" s="158">
        <f t="shared" si="28"/>
        <v>10.608641211345599</v>
      </c>
      <c r="Y222" s="158">
        <f t="shared" si="29"/>
        <v>2.6391052217765845</v>
      </c>
      <c r="Z222" s="158">
        <f t="shared" si="30"/>
        <v>-11.385447162153943</v>
      </c>
      <c r="AA222" s="158">
        <f t="shared" si="31"/>
        <v>-20.930804709945129</v>
      </c>
    </row>
    <row r="223" spans="1:27" ht="19.5" thickBot="1" x14ac:dyDescent="0.35">
      <c r="A223" s="142">
        <v>160</v>
      </c>
      <c r="B223" s="143" t="s">
        <v>275</v>
      </c>
      <c r="C223" s="142">
        <v>45</v>
      </c>
      <c r="D223" s="143" t="s">
        <v>276</v>
      </c>
      <c r="E223" s="142">
        <v>457446</v>
      </c>
      <c r="F223" s="143" t="s">
        <v>289</v>
      </c>
      <c r="G223" s="144">
        <v>7.3002462539154163</v>
      </c>
      <c r="H223" s="145">
        <v>4.794358817858793</v>
      </c>
      <c r="I223" s="146">
        <v>3.5101555630751879</v>
      </c>
      <c r="J223" s="147">
        <v>0.90553986060274161</v>
      </c>
      <c r="K223" s="148">
        <v>200</v>
      </c>
      <c r="M223" s="149">
        <f t="shared" si="24"/>
        <v>0.73214285714285721</v>
      </c>
      <c r="N223" s="138">
        <f t="shared" si="25"/>
        <v>3.5101555630751879</v>
      </c>
      <c r="O223" s="149"/>
      <c r="V223" s="158">
        <f t="shared" si="26"/>
        <v>381.28029600792263</v>
      </c>
      <c r="W223" s="158">
        <f t="shared" si="27"/>
        <v>124.31054688361404</v>
      </c>
      <c r="X223" s="158">
        <f t="shared" si="28"/>
        <v>71.443562307360111</v>
      </c>
      <c r="Y223" s="158">
        <f t="shared" si="29"/>
        <v>56.540110504671937</v>
      </c>
      <c r="Z223" s="158">
        <f t="shared" si="30"/>
        <v>30.313459319238582</v>
      </c>
      <c r="AA223" s="158">
        <f t="shared" si="31"/>
        <v>12.463138254232033</v>
      </c>
    </row>
    <row r="224" spans="1:27" ht="19.5" thickBot="1" x14ac:dyDescent="0.35">
      <c r="A224" s="142">
        <v>160</v>
      </c>
      <c r="B224" s="143" t="s">
        <v>275</v>
      </c>
      <c r="C224" s="142">
        <v>45</v>
      </c>
      <c r="D224" s="143" t="s">
        <v>276</v>
      </c>
      <c r="E224" s="142">
        <v>557447</v>
      </c>
      <c r="F224" s="143" t="s">
        <v>290</v>
      </c>
      <c r="G224" s="144">
        <v>2.9612506945259045</v>
      </c>
      <c r="H224" s="145">
        <v>3.7146466593775158</v>
      </c>
      <c r="I224" s="146">
        <v>3.0628950182321883</v>
      </c>
      <c r="J224" s="147">
        <v>0.9175758779967258</v>
      </c>
      <c r="K224" s="148">
        <v>212</v>
      </c>
      <c r="M224" s="149">
        <f t="shared" si="24"/>
        <v>0.82454545454545458</v>
      </c>
      <c r="N224" s="138">
        <f t="shared" si="25"/>
        <v>3.0628950182321883</v>
      </c>
      <c r="O224" s="149"/>
      <c r="V224" s="158">
        <f t="shared" si="26"/>
        <v>139.15463333056141</v>
      </c>
      <c r="W224" s="158">
        <f t="shared" si="27"/>
        <v>46.59941836772343</v>
      </c>
      <c r="X224" s="158">
        <f t="shared" si="28"/>
        <v>27.557818574102637</v>
      </c>
      <c r="Y224" s="158">
        <f t="shared" si="29"/>
        <v>22.189901961401194</v>
      </c>
      <c r="Z224" s="158">
        <f t="shared" si="30"/>
        <v>12.743601972802548</v>
      </c>
      <c r="AA224" s="158">
        <f t="shared" si="31"/>
        <v>6.3142837010703508</v>
      </c>
    </row>
    <row r="225" spans="1:27" ht="19.5" thickBot="1" x14ac:dyDescent="0.35">
      <c r="A225" s="142">
        <v>160</v>
      </c>
      <c r="B225" s="143" t="s">
        <v>275</v>
      </c>
      <c r="C225" s="142">
        <v>45</v>
      </c>
      <c r="D225" s="143" t="s">
        <v>276</v>
      </c>
      <c r="E225" s="142">
        <v>457453</v>
      </c>
      <c r="F225" s="143" t="s">
        <v>542</v>
      </c>
      <c r="G225" s="144">
        <v>7.7095109330981</v>
      </c>
      <c r="H225" s="145">
        <v>3.5021676776000024</v>
      </c>
      <c r="I225" s="146">
        <v>2.1758838071014828</v>
      </c>
      <c r="J225" s="147">
        <v>0.94144581798791316</v>
      </c>
      <c r="K225" s="148">
        <v>240</v>
      </c>
      <c r="M225" s="149">
        <f t="shared" si="24"/>
        <v>0.62129629629629624</v>
      </c>
      <c r="N225" s="138">
        <f t="shared" si="25"/>
        <v>2.1758838071014828</v>
      </c>
      <c r="O225" s="149"/>
      <c r="V225" s="158">
        <f t="shared" si="26"/>
        <v>493.30839272207339</v>
      </c>
      <c r="W225" s="158">
        <f t="shared" si="27"/>
        <v>173.51581175343654</v>
      </c>
      <c r="X225" s="158">
        <f t="shared" si="28"/>
        <v>107.72413976370794</v>
      </c>
      <c r="Y225" s="158">
        <f t="shared" si="29"/>
        <v>89.177157741252913</v>
      </c>
      <c r="Z225" s="158">
        <f t="shared" si="30"/>
        <v>56.538730450355523</v>
      </c>
      <c r="AA225" s="158">
        <f t="shared" si="31"/>
        <v>34.324441554677591</v>
      </c>
    </row>
    <row r="226" spans="1:27" ht="19.5" thickBot="1" x14ac:dyDescent="0.35">
      <c r="A226" s="142">
        <v>160</v>
      </c>
      <c r="B226" s="143" t="s">
        <v>275</v>
      </c>
      <c r="C226" s="142">
        <v>45</v>
      </c>
      <c r="D226" s="143" t="s">
        <v>276</v>
      </c>
      <c r="E226" s="142">
        <v>557459</v>
      </c>
      <c r="F226" s="143" t="s">
        <v>293</v>
      </c>
      <c r="G226" s="144">
        <v>2.8369629421676046</v>
      </c>
      <c r="H226" s="145">
        <v>8.1072613456228879</v>
      </c>
      <c r="I226" s="146">
        <v>4.3497219567385406</v>
      </c>
      <c r="J226" s="147">
        <v>0.88294668569820389</v>
      </c>
      <c r="K226" s="148">
        <v>165</v>
      </c>
      <c r="M226" s="149">
        <f t="shared" si="24"/>
        <v>0.53652173913043477</v>
      </c>
      <c r="N226" s="138">
        <f t="shared" si="25"/>
        <v>4.3497219567385406</v>
      </c>
      <c r="O226" s="149"/>
      <c r="V226" s="158">
        <f t="shared" si="26"/>
        <v>197.14961329015722</v>
      </c>
      <c r="W226" s="158">
        <f t="shared" si="27"/>
        <v>60.877604062617493</v>
      </c>
      <c r="X226" s="158">
        <f t="shared" si="28"/>
        <v>32.84204643547276</v>
      </c>
      <c r="Y226" s="158">
        <f t="shared" si="29"/>
        <v>24.938690773963909</v>
      </c>
      <c r="Z226" s="158">
        <f t="shared" si="30"/>
        <v>11.030600562847486</v>
      </c>
      <c r="AA226" s="158">
        <f t="shared" si="31"/>
        <v>1.5645092226236113</v>
      </c>
    </row>
    <row r="227" spans="1:27" ht="19.5" thickBot="1" x14ac:dyDescent="0.35">
      <c r="A227" s="142">
        <v>160</v>
      </c>
      <c r="B227" s="143" t="s">
        <v>275</v>
      </c>
      <c r="C227" s="142">
        <v>45</v>
      </c>
      <c r="D227" s="143" t="s">
        <v>276</v>
      </c>
      <c r="E227" s="142">
        <v>557559</v>
      </c>
      <c r="F227" s="143" t="s">
        <v>294</v>
      </c>
      <c r="G227" s="144">
        <v>2.9777762320543215</v>
      </c>
      <c r="H227" s="145">
        <v>7.3880635365346246</v>
      </c>
      <c r="I227" s="146">
        <v>5.8567194580529032</v>
      </c>
      <c r="J227" s="147">
        <v>0.8423925873149507</v>
      </c>
      <c r="K227" s="148">
        <v>108</v>
      </c>
      <c r="M227" s="149">
        <f t="shared" si="24"/>
        <v>0.79272727272727284</v>
      </c>
      <c r="N227" s="138">
        <f t="shared" si="25"/>
        <v>5.8567194580529032</v>
      </c>
      <c r="O227" s="149"/>
      <c r="V227" s="158">
        <f t="shared" si="26"/>
        <v>133.62198087064661</v>
      </c>
      <c r="W227" s="158">
        <f t="shared" si="27"/>
        <v>36.814575683671031</v>
      </c>
      <c r="X227" s="158">
        <f t="shared" si="28"/>
        <v>16.898162898401036</v>
      </c>
      <c r="Y227" s="158">
        <f t="shared" si="29"/>
        <v>11.283632385513855</v>
      </c>
      <c r="Z227" s="158">
        <f t="shared" si="30"/>
        <v>1.4033485907956056</v>
      </c>
      <c r="AA227" s="158">
        <f t="shared" si="31"/>
        <v>-5.3213467087346009</v>
      </c>
    </row>
    <row r="228" spans="1:27" ht="19.5" thickBot="1" x14ac:dyDescent="0.35">
      <c r="A228" s="142">
        <v>160</v>
      </c>
      <c r="B228" s="143" t="s">
        <v>275</v>
      </c>
      <c r="C228" s="142">
        <v>45</v>
      </c>
      <c r="D228" s="143" t="s">
        <v>276</v>
      </c>
      <c r="E228" s="142">
        <v>457574</v>
      </c>
      <c r="F228" s="143" t="s">
        <v>295</v>
      </c>
      <c r="G228" s="144">
        <v>3.3124110479673949</v>
      </c>
      <c r="H228" s="145">
        <v>12.679585773562913</v>
      </c>
      <c r="I228" s="146">
        <v>8.5330593307084701</v>
      </c>
      <c r="J228" s="147">
        <v>0.77037086836184387</v>
      </c>
      <c r="K228" s="148">
        <v>48</v>
      </c>
      <c r="M228" s="149">
        <f t="shared" si="24"/>
        <v>0.67297619047619051</v>
      </c>
      <c r="N228" s="138">
        <f t="shared" si="25"/>
        <v>8.5330593307084701</v>
      </c>
      <c r="O228" s="149"/>
      <c r="V228" s="158">
        <f t="shared" si="26"/>
        <v>160.1177528005866</v>
      </c>
      <c r="W228" s="158">
        <f t="shared" si="27"/>
        <v>33.269396148294959</v>
      </c>
      <c r="X228" s="158">
        <f t="shared" si="28"/>
        <v>7.1725884987073814</v>
      </c>
      <c r="Y228" s="158">
        <f t="shared" si="29"/>
        <v>-0.1842244182212612</v>
      </c>
      <c r="Z228" s="158">
        <f t="shared" si="30"/>
        <v>-13.130524964110654</v>
      </c>
      <c r="AA228" s="158">
        <f t="shared" si="31"/>
        <v>-21.942005305777336</v>
      </c>
    </row>
    <row r="229" spans="1:27" ht="19.5" thickBot="1" x14ac:dyDescent="0.35">
      <c r="A229" s="142">
        <v>160</v>
      </c>
      <c r="B229" s="143" t="s">
        <v>275</v>
      </c>
      <c r="C229" s="142">
        <v>45</v>
      </c>
      <c r="D229" s="143" t="s">
        <v>276</v>
      </c>
      <c r="E229" s="142">
        <v>557612</v>
      </c>
      <c r="F229" s="143" t="s">
        <v>296</v>
      </c>
      <c r="G229" s="144">
        <v>3.8271842644328</v>
      </c>
      <c r="H229" s="145">
        <v>-0.26128869970889756</v>
      </c>
      <c r="I229" s="146">
        <v>3.5273974460701178E-2</v>
      </c>
      <c r="J229" s="147">
        <v>0.99905075872428462</v>
      </c>
      <c r="K229" s="148">
        <v>284</v>
      </c>
      <c r="M229" s="149">
        <f t="shared" si="24"/>
        <v>-0.13500000000000004</v>
      </c>
      <c r="N229" s="138">
        <f t="shared" si="25"/>
        <v>3.5273974460701178E-2</v>
      </c>
      <c r="O229" s="149"/>
      <c r="V229" s="158">
        <f t="shared" si="26"/>
        <v>-1195.9919802687768</v>
      </c>
      <c r="W229" s="158">
        <f t="shared" si="27"/>
        <v>-465.38145571767484</v>
      </c>
      <c r="X229" s="158">
        <f t="shared" si="28"/>
        <v>-315.07125202904126</v>
      </c>
      <c r="Y229" s="158">
        <f t="shared" si="29"/>
        <v>-272.69809808275045</v>
      </c>
      <c r="Z229" s="158">
        <f t="shared" si="30"/>
        <v>-198.13108213980016</v>
      </c>
      <c r="AA229" s="158">
        <f t="shared" si="31"/>
        <v>-147.379456778633</v>
      </c>
    </row>
    <row r="230" spans="1:27" ht="19.5" thickBot="1" x14ac:dyDescent="0.35">
      <c r="A230" s="142">
        <v>160</v>
      </c>
      <c r="B230" s="143" t="s">
        <v>275</v>
      </c>
      <c r="C230" s="142">
        <v>45</v>
      </c>
      <c r="D230" s="143" t="s">
        <v>276</v>
      </c>
      <c r="E230" s="142">
        <v>557712</v>
      </c>
      <c r="F230" s="143" t="s">
        <v>543</v>
      </c>
      <c r="G230" s="144">
        <v>5.7046753832273573</v>
      </c>
      <c r="H230" s="145">
        <v>6.3106132394221168</v>
      </c>
      <c r="I230" s="146">
        <v>4.2097049151311703</v>
      </c>
      <c r="J230" s="147">
        <v>0.88671461821018549</v>
      </c>
      <c r="K230" s="148">
        <v>171</v>
      </c>
      <c r="M230" s="149">
        <f t="shared" si="24"/>
        <v>0.66708333333333336</v>
      </c>
      <c r="N230" s="138">
        <f t="shared" si="25"/>
        <v>4.2097049151311703</v>
      </c>
      <c r="O230" s="149"/>
      <c r="V230" s="158">
        <f t="shared" si="26"/>
        <v>320.20626451242413</v>
      </c>
      <c r="W230" s="158">
        <f t="shared" si="27"/>
        <v>99.816629105982855</v>
      </c>
      <c r="X230" s="158">
        <f t="shared" si="28"/>
        <v>54.475356463955862</v>
      </c>
      <c r="Y230" s="158">
        <f t="shared" si="29"/>
        <v>41.693438279870271</v>
      </c>
      <c r="Z230" s="158">
        <f t="shared" si="30"/>
        <v>19.200198852324021</v>
      </c>
      <c r="AA230" s="158">
        <f t="shared" si="31"/>
        <v>3.890903634459157</v>
      </c>
    </row>
    <row r="231" spans="1:27" ht="19.5" thickBot="1" x14ac:dyDescent="0.35">
      <c r="A231" s="142">
        <v>160</v>
      </c>
      <c r="B231" s="143" t="s">
        <v>275</v>
      </c>
      <c r="C231" s="142">
        <v>42</v>
      </c>
      <c r="D231" s="143" t="s">
        <v>299</v>
      </c>
      <c r="E231" s="142">
        <v>457163</v>
      </c>
      <c r="F231" s="143" t="s">
        <v>300</v>
      </c>
      <c r="G231" s="144">
        <v>2.456290679625579</v>
      </c>
      <c r="H231" s="145">
        <v>9.363712605670095</v>
      </c>
      <c r="I231" s="146">
        <v>7.0451759409183046</v>
      </c>
      <c r="J231" s="147">
        <v>0.81041059591264064</v>
      </c>
      <c r="K231" s="148">
        <v>80</v>
      </c>
      <c r="M231" s="149">
        <f t="shared" si="24"/>
        <v>0.75239130434782608</v>
      </c>
      <c r="N231" s="138">
        <f t="shared" si="25"/>
        <v>7.0451759409183046</v>
      </c>
      <c r="O231" s="149"/>
      <c r="V231" s="158">
        <f t="shared" si="26"/>
        <v>111.72135980645324</v>
      </c>
      <c r="W231" s="158">
        <f t="shared" si="27"/>
        <v>27.586434632583845</v>
      </c>
      <c r="X231" s="158">
        <f t="shared" si="28"/>
        <v>10.277160655203959</v>
      </c>
      <c r="Y231" s="158">
        <f t="shared" si="29"/>
        <v>5.3975948443467221</v>
      </c>
      <c r="Z231" s="158">
        <f t="shared" si="30"/>
        <v>-3.189319928956734</v>
      </c>
      <c r="AA231" s="158">
        <f t="shared" si="31"/>
        <v>-9.0337254757254364</v>
      </c>
    </row>
    <row r="232" spans="1:27" ht="19.5" thickBot="1" x14ac:dyDescent="0.35">
      <c r="A232" s="142">
        <v>160</v>
      </c>
      <c r="B232" s="143" t="s">
        <v>275</v>
      </c>
      <c r="C232" s="142">
        <v>42</v>
      </c>
      <c r="D232" s="143" t="s">
        <v>299</v>
      </c>
      <c r="E232" s="142">
        <v>457165</v>
      </c>
      <c r="F232" s="143" t="s">
        <v>301</v>
      </c>
      <c r="G232" s="144">
        <v>3.326340992863813</v>
      </c>
      <c r="H232" s="145">
        <v>10.822702806847774</v>
      </c>
      <c r="I232" s="146">
        <v>8.0042906175645001</v>
      </c>
      <c r="J232" s="147">
        <v>0.78460031359723681</v>
      </c>
      <c r="K232" s="148">
        <v>59</v>
      </c>
      <c r="M232" s="149">
        <f t="shared" si="24"/>
        <v>0.73958333333333337</v>
      </c>
      <c r="N232" s="138">
        <f t="shared" si="25"/>
        <v>8.0042906175645001</v>
      </c>
      <c r="O232" s="149"/>
      <c r="V232" s="158">
        <f t="shared" si="26"/>
        <v>149.01268470852727</v>
      </c>
      <c r="W232" s="158">
        <f t="shared" si="27"/>
        <v>33.102933833344707</v>
      </c>
      <c r="X232" s="158">
        <f t="shared" si="28"/>
        <v>9.2565510095384624</v>
      </c>
      <c r="Y232" s="158">
        <f t="shared" si="29"/>
        <v>2.5341434439918187</v>
      </c>
      <c r="Z232" s="158">
        <f t="shared" si="30"/>
        <v>-9.29574943465723</v>
      </c>
      <c r="AA232" s="158">
        <f t="shared" si="31"/>
        <v>-17.34738304031579</v>
      </c>
    </row>
    <row r="233" spans="1:27" ht="19.5" thickBot="1" x14ac:dyDescent="0.35">
      <c r="A233" s="142">
        <v>160</v>
      </c>
      <c r="B233" s="143" t="s">
        <v>275</v>
      </c>
      <c r="C233" s="142">
        <v>42</v>
      </c>
      <c r="D233" s="143" t="s">
        <v>299</v>
      </c>
      <c r="E233" s="142">
        <v>557210</v>
      </c>
      <c r="F233" s="143" t="s">
        <v>302</v>
      </c>
      <c r="G233" s="144">
        <v>2.2747145523264414</v>
      </c>
      <c r="H233" s="145">
        <v>6.1546183830765235</v>
      </c>
      <c r="I233" s="146">
        <v>3.4641709184745002</v>
      </c>
      <c r="J233" s="147">
        <v>0.90677733166664765</v>
      </c>
      <c r="K233" s="148">
        <v>202</v>
      </c>
      <c r="M233" s="149">
        <f t="shared" si="24"/>
        <v>0.56285714285714283</v>
      </c>
      <c r="N233" s="138">
        <f t="shared" si="25"/>
        <v>3.4641709184745002</v>
      </c>
      <c r="O233" s="149"/>
      <c r="V233" s="158">
        <f t="shared" si="26"/>
        <v>154.74780181363221</v>
      </c>
      <c r="W233" s="158">
        <f t="shared" si="27"/>
        <v>50.595458796107167</v>
      </c>
      <c r="X233" s="158">
        <f t="shared" si="28"/>
        <v>29.167954855849271</v>
      </c>
      <c r="Y233" s="158">
        <f t="shared" si="29"/>
        <v>23.127440633500708</v>
      </c>
      <c r="Z233" s="158">
        <f t="shared" si="30"/>
        <v>12.497523377579487</v>
      </c>
      <c r="AA233" s="158">
        <f t="shared" si="31"/>
        <v>5.2626143313938449</v>
      </c>
    </row>
    <row r="234" spans="1:27" ht="19.5" thickBot="1" x14ac:dyDescent="0.35">
      <c r="A234" s="142">
        <v>160</v>
      </c>
      <c r="B234" s="143" t="s">
        <v>275</v>
      </c>
      <c r="C234" s="142">
        <v>42</v>
      </c>
      <c r="D234" s="143" t="s">
        <v>299</v>
      </c>
      <c r="E234" s="142">
        <v>557250</v>
      </c>
      <c r="F234" s="143" t="s">
        <v>303</v>
      </c>
      <c r="G234" s="144">
        <v>2.9376340331368493</v>
      </c>
      <c r="H234" s="145">
        <v>7.8294299904471956</v>
      </c>
      <c r="I234" s="146">
        <v>5.6525080431032908</v>
      </c>
      <c r="J234" s="147">
        <v>0.84788802430514276</v>
      </c>
      <c r="K234" s="148">
        <v>113</v>
      </c>
      <c r="M234" s="149">
        <f t="shared" si="24"/>
        <v>0.7219565217391305</v>
      </c>
      <c r="N234" s="138">
        <f t="shared" si="25"/>
        <v>5.6525080431032908</v>
      </c>
      <c r="O234" s="149"/>
      <c r="V234" s="158">
        <f t="shared" si="26"/>
        <v>145.68681804917458</v>
      </c>
      <c r="W234" s="158">
        <f t="shared" si="27"/>
        <v>40.82268586114099</v>
      </c>
      <c r="X234" s="158">
        <f t="shared" si="28"/>
        <v>19.248743878167751</v>
      </c>
      <c r="Y234" s="158">
        <f t="shared" si="29"/>
        <v>13.166948082277942</v>
      </c>
      <c r="Z234" s="158">
        <f t="shared" si="30"/>
        <v>2.4643847411419788</v>
      </c>
      <c r="AA234" s="158">
        <f t="shared" si="31"/>
        <v>-4.8199685110930899</v>
      </c>
    </row>
    <row r="235" spans="1:27" ht="19.5" thickBot="1" x14ac:dyDescent="0.35">
      <c r="A235" s="142">
        <v>160</v>
      </c>
      <c r="B235" s="143" t="s">
        <v>275</v>
      </c>
      <c r="C235" s="142">
        <v>42</v>
      </c>
      <c r="D235" s="143" t="s">
        <v>299</v>
      </c>
      <c r="E235" s="142">
        <v>457258</v>
      </c>
      <c r="F235" s="143" t="s">
        <v>304</v>
      </c>
      <c r="G235" s="144">
        <v>3.2454949073058987</v>
      </c>
      <c r="H235" s="145">
        <v>2.156835921770321</v>
      </c>
      <c r="I235" s="146">
        <v>1.4835949947605851</v>
      </c>
      <c r="J235" s="147">
        <v>0.96007567542351735</v>
      </c>
      <c r="K235" s="148">
        <v>255</v>
      </c>
      <c r="M235" s="149">
        <f t="shared" si="24"/>
        <v>0.68785714285714283</v>
      </c>
      <c r="N235" s="138">
        <f t="shared" si="25"/>
        <v>1.4835949947605851</v>
      </c>
      <c r="O235" s="149"/>
      <c r="V235" s="158">
        <f t="shared" si="26"/>
        <v>191.28603128475609</v>
      </c>
      <c r="W235" s="158">
        <f t="shared" si="27"/>
        <v>69.688991982761394</v>
      </c>
      <c r="X235" s="158">
        <f t="shared" si="28"/>
        <v>44.672550073924342</v>
      </c>
      <c r="Y235" s="158">
        <f t="shared" si="29"/>
        <v>37.620297344712235</v>
      </c>
      <c r="Z235" s="158">
        <f t="shared" si="30"/>
        <v>25.209952758151065</v>
      </c>
      <c r="AA235" s="158">
        <f t="shared" si="31"/>
        <v>16.763253489106642</v>
      </c>
    </row>
    <row r="236" spans="1:27" ht="19.5" thickBot="1" x14ac:dyDescent="0.35">
      <c r="A236" s="142">
        <v>160</v>
      </c>
      <c r="B236" s="143" t="s">
        <v>275</v>
      </c>
      <c r="C236" s="142">
        <v>42</v>
      </c>
      <c r="D236" s="143" t="s">
        <v>299</v>
      </c>
      <c r="E236" s="142">
        <v>557305</v>
      </c>
      <c r="F236" s="143" t="s">
        <v>305</v>
      </c>
      <c r="G236" s="144">
        <v>2.8560806017217275</v>
      </c>
      <c r="H236" s="145">
        <v>16.456118210272866</v>
      </c>
      <c r="I236" s="146">
        <v>10.14677246241931</v>
      </c>
      <c r="J236" s="147">
        <v>0.72694499602385276</v>
      </c>
      <c r="K236" s="148">
        <v>27</v>
      </c>
      <c r="M236" s="149">
        <f t="shared" si="24"/>
        <v>0.61659574468085099</v>
      </c>
      <c r="N236" s="138">
        <f t="shared" si="25"/>
        <v>10.14677246241931</v>
      </c>
      <c r="O236" s="149"/>
      <c r="V236" s="158">
        <f t="shared" si="26"/>
        <v>142.18919563158158</v>
      </c>
      <c r="W236" s="158">
        <f t="shared" si="27"/>
        <v>22.815055458269253</v>
      </c>
      <c r="X236" s="158">
        <f t="shared" si="28"/>
        <v>-1.7440642390970185</v>
      </c>
      <c r="Y236" s="158">
        <f t="shared" si="29"/>
        <v>-8.6673956842301614</v>
      </c>
      <c r="Z236" s="158">
        <f t="shared" si="30"/>
        <v>-20.850868429778814</v>
      </c>
      <c r="AA236" s="158">
        <f t="shared" si="31"/>
        <v>-29.143154725010863</v>
      </c>
    </row>
    <row r="237" spans="1:27" ht="19.5" thickBot="1" x14ac:dyDescent="0.35">
      <c r="A237" s="142">
        <v>160</v>
      </c>
      <c r="B237" s="143" t="s">
        <v>275</v>
      </c>
      <c r="C237" s="142">
        <v>42</v>
      </c>
      <c r="D237" s="143" t="s">
        <v>299</v>
      </c>
      <c r="E237" s="142">
        <v>457308</v>
      </c>
      <c r="F237" s="143" t="s">
        <v>306</v>
      </c>
      <c r="G237" s="144">
        <v>9.2014397202331395</v>
      </c>
      <c r="H237" s="145">
        <v>10.541828556101466</v>
      </c>
      <c r="I237" s="146">
        <v>6.5038735045349716</v>
      </c>
      <c r="J237" s="147">
        <v>0.82497733025761366</v>
      </c>
      <c r="K237" s="148">
        <v>90</v>
      </c>
      <c r="M237" s="149">
        <f t="shared" si="24"/>
        <v>0.6169587628865979</v>
      </c>
      <c r="N237" s="138">
        <f t="shared" si="25"/>
        <v>6.5038735045349716</v>
      </c>
      <c r="O237" s="149"/>
      <c r="V237" s="158">
        <f t="shared" si="26"/>
        <v>519.56127346228573</v>
      </c>
      <c r="W237" s="158">
        <f t="shared" si="27"/>
        <v>135.19969483083904</v>
      </c>
      <c r="X237" s="158">
        <f t="shared" si="28"/>
        <v>56.124092669654189</v>
      </c>
      <c r="Y237" s="158">
        <f t="shared" si="29"/>
        <v>33.832308202962572</v>
      </c>
      <c r="Z237" s="158">
        <f t="shared" si="30"/>
        <v>-5.396111041720725</v>
      </c>
      <c r="AA237" s="158">
        <f t="shared" si="31"/>
        <v>-32.095664615651721</v>
      </c>
    </row>
    <row r="238" spans="1:27" ht="19.5" thickBot="1" x14ac:dyDescent="0.35">
      <c r="A238" s="142">
        <v>160</v>
      </c>
      <c r="B238" s="143" t="s">
        <v>275</v>
      </c>
      <c r="C238" s="142">
        <v>42</v>
      </c>
      <c r="D238" s="143" t="s">
        <v>299</v>
      </c>
      <c r="E238" s="142">
        <v>457345</v>
      </c>
      <c r="F238" s="143" t="s">
        <v>307</v>
      </c>
      <c r="G238" s="144">
        <v>2.4944492773355069</v>
      </c>
      <c r="H238" s="145">
        <v>2.0044504594380226</v>
      </c>
      <c r="I238" s="146">
        <v>1.791978710737592</v>
      </c>
      <c r="J238" s="147">
        <v>0.9517769068146662</v>
      </c>
      <c r="K238" s="148">
        <v>247</v>
      </c>
      <c r="M238" s="149">
        <f t="shared" si="24"/>
        <v>0.89399999999999991</v>
      </c>
      <c r="N238" s="138">
        <f t="shared" si="25"/>
        <v>1.791978710737592</v>
      </c>
      <c r="O238" s="149"/>
      <c r="V238" s="158">
        <f t="shared" si="26"/>
        <v>112.1417764180035</v>
      </c>
      <c r="W238" s="158">
        <f t="shared" si="27"/>
        <v>40.233731893503233</v>
      </c>
      <c r="X238" s="158">
        <f t="shared" si="28"/>
        <v>25.439922529793503</v>
      </c>
      <c r="Y238" s="158">
        <f t="shared" si="29"/>
        <v>21.269478034095211</v>
      </c>
      <c r="Z238" s="158">
        <f t="shared" si="30"/>
        <v>13.93045385869169</v>
      </c>
      <c r="AA238" s="158">
        <f t="shared" si="31"/>
        <v>8.935384648042362</v>
      </c>
    </row>
    <row r="239" spans="1:27" ht="19.5" thickBot="1" x14ac:dyDescent="0.35">
      <c r="A239" s="142">
        <v>160</v>
      </c>
      <c r="B239" s="143" t="s">
        <v>275</v>
      </c>
      <c r="C239" s="142">
        <v>42</v>
      </c>
      <c r="D239" s="143" t="s">
        <v>299</v>
      </c>
      <c r="E239" s="142">
        <v>557353</v>
      </c>
      <c r="F239" s="143" t="s">
        <v>308</v>
      </c>
      <c r="G239" s="144">
        <v>2.600180563864698</v>
      </c>
      <c r="H239" s="145">
        <v>5.3842414617512304</v>
      </c>
      <c r="I239" s="146">
        <v>3.9035750597696421</v>
      </c>
      <c r="J239" s="147">
        <v>0.89495273423994304</v>
      </c>
      <c r="K239" s="148">
        <v>189</v>
      </c>
      <c r="M239" s="149">
        <f t="shared" si="24"/>
        <v>0.72499999999999998</v>
      </c>
      <c r="N239" s="138">
        <f t="shared" si="25"/>
        <v>3.9035750597696421</v>
      </c>
      <c r="O239" s="149"/>
      <c r="V239" s="158">
        <f t="shared" si="26"/>
        <v>135.53788673456864</v>
      </c>
      <c r="W239" s="158">
        <f t="shared" si="27"/>
        <v>43.109404574529805</v>
      </c>
      <c r="X239" s="158">
        <f t="shared" si="28"/>
        <v>24.093877815395441</v>
      </c>
      <c r="Y239" s="158">
        <f t="shared" si="29"/>
        <v>18.733311313844329</v>
      </c>
      <c r="Z239" s="158">
        <f t="shared" si="30"/>
        <v>9.2999458322220505</v>
      </c>
      <c r="AA239" s="158">
        <f t="shared" si="31"/>
        <v>2.8794310139202355</v>
      </c>
    </row>
    <row r="240" spans="1:27" ht="19.5" thickBot="1" x14ac:dyDescent="0.35">
      <c r="A240" s="142">
        <v>160</v>
      </c>
      <c r="B240" s="143" t="s">
        <v>275</v>
      </c>
      <c r="C240" s="142">
        <v>42</v>
      </c>
      <c r="D240" s="143" t="s">
        <v>299</v>
      </c>
      <c r="E240" s="142">
        <v>457435</v>
      </c>
      <c r="F240" s="143" t="s">
        <v>309</v>
      </c>
      <c r="G240" s="144">
        <v>3.3634437715401972</v>
      </c>
      <c r="H240" s="145">
        <v>3.8650861685275046</v>
      </c>
      <c r="I240" s="146">
        <v>3.0831495052023246</v>
      </c>
      <c r="J240" s="147">
        <v>0.91703081905895545</v>
      </c>
      <c r="K240" s="148">
        <v>210</v>
      </c>
      <c r="M240" s="149">
        <f t="shared" si="24"/>
        <v>0.79769230769230759</v>
      </c>
      <c r="N240" s="138">
        <f t="shared" si="25"/>
        <v>3.0831495052023246</v>
      </c>
      <c r="O240" s="149"/>
      <c r="V240" s="158">
        <f t="shared" si="26"/>
        <v>163.27805140404811</v>
      </c>
      <c r="W240" s="158">
        <f t="shared" si="27"/>
        <v>54.613200665137761</v>
      </c>
      <c r="X240" s="158">
        <f t="shared" si="28"/>
        <v>32.257328008641203</v>
      </c>
      <c r="Y240" s="158">
        <f t="shared" si="29"/>
        <v>25.955102275252518</v>
      </c>
      <c r="Z240" s="158">
        <f t="shared" si="30"/>
        <v>14.864632886702273</v>
      </c>
      <c r="AA240" s="158">
        <f t="shared" si="31"/>
        <v>7.3162639414057704</v>
      </c>
    </row>
    <row r="241" spans="1:27" ht="19.5" thickBot="1" x14ac:dyDescent="0.35">
      <c r="A241" s="142">
        <v>160</v>
      </c>
      <c r="B241" s="143" t="s">
        <v>275</v>
      </c>
      <c r="C241" s="142">
        <v>42</v>
      </c>
      <c r="D241" s="143" t="s">
        <v>299</v>
      </c>
      <c r="E241" s="142">
        <v>557458</v>
      </c>
      <c r="F241" s="143" t="s">
        <v>310</v>
      </c>
      <c r="G241" s="144">
        <v>2.3177117404141168</v>
      </c>
      <c r="H241" s="145">
        <v>20.278621875385713</v>
      </c>
      <c r="I241" s="146">
        <v>13.33211523296635</v>
      </c>
      <c r="J241" s="147">
        <v>0.64122574035920643</v>
      </c>
      <c r="K241" s="148">
        <v>12</v>
      </c>
      <c r="M241" s="149">
        <f t="shared" si="24"/>
        <v>0.65744680851063819</v>
      </c>
      <c r="N241" s="138">
        <f t="shared" si="25"/>
        <v>13.33211523296635</v>
      </c>
      <c r="O241" s="149"/>
      <c r="V241" s="158">
        <f t="shared" si="26"/>
        <v>95.456357137723657</v>
      </c>
      <c r="W241" s="158">
        <f t="shared" si="27"/>
        <v>4.6033891675355862</v>
      </c>
      <c r="X241" s="158">
        <f t="shared" si="28"/>
        <v>-14.088003390361662</v>
      </c>
      <c r="Y241" s="158">
        <f t="shared" si="29"/>
        <v>-19.357194934849115</v>
      </c>
      <c r="Z241" s="158">
        <f t="shared" si="30"/>
        <v>-28.629761484940627</v>
      </c>
      <c r="AA241" s="158">
        <f t="shared" si="31"/>
        <v>-34.940833716217519</v>
      </c>
    </row>
    <row r="242" spans="1:27" ht="19.5" thickBot="1" x14ac:dyDescent="0.35">
      <c r="A242" s="142">
        <v>160</v>
      </c>
      <c r="B242" s="143" t="s">
        <v>275</v>
      </c>
      <c r="C242" s="142">
        <v>42</v>
      </c>
      <c r="D242" s="143" t="s">
        <v>299</v>
      </c>
      <c r="E242" s="142">
        <v>557503</v>
      </c>
      <c r="F242" s="143" t="s">
        <v>311</v>
      </c>
      <c r="G242" s="144">
        <v>2.7902735090423261</v>
      </c>
      <c r="H242" s="145">
        <v>10.751634168758088</v>
      </c>
      <c r="I242" s="146">
        <v>7.3648694055992898</v>
      </c>
      <c r="J242" s="147">
        <v>0.801807475995157</v>
      </c>
      <c r="K242" s="148">
        <v>70</v>
      </c>
      <c r="M242" s="149">
        <f t="shared" si="24"/>
        <v>0.68499999999999994</v>
      </c>
      <c r="N242" s="138">
        <f t="shared" si="25"/>
        <v>7.3648694055992898</v>
      </c>
      <c r="O242" s="149"/>
      <c r="V242" s="158">
        <f t="shared" si="26"/>
        <v>137.91814756793872</v>
      </c>
      <c r="W242" s="158">
        <f t="shared" si="27"/>
        <v>32.940575402945228</v>
      </c>
      <c r="X242" s="158">
        <f t="shared" si="28"/>
        <v>11.343295149484085</v>
      </c>
      <c r="Y242" s="158">
        <f t="shared" si="29"/>
        <v>5.2549201852879657</v>
      </c>
      <c r="Z242" s="158">
        <f t="shared" si="30"/>
        <v>-5.4592209805388396</v>
      </c>
      <c r="AA242" s="158">
        <f t="shared" si="31"/>
        <v>-12.75145430432802</v>
      </c>
    </row>
    <row r="243" spans="1:27" ht="19.5" thickBot="1" x14ac:dyDescent="0.35">
      <c r="A243" s="142">
        <v>160</v>
      </c>
      <c r="B243" s="143" t="s">
        <v>275</v>
      </c>
      <c r="C243" s="142">
        <v>42</v>
      </c>
      <c r="D243" s="143" t="s">
        <v>299</v>
      </c>
      <c r="E243" s="142">
        <v>557523</v>
      </c>
      <c r="F243" s="143" t="s">
        <v>312</v>
      </c>
      <c r="G243" s="144">
        <v>3.5784199740302469</v>
      </c>
      <c r="H243" s="145">
        <v>2.7945294494702244</v>
      </c>
      <c r="I243" s="146">
        <v>2.133623234670516</v>
      </c>
      <c r="J243" s="147">
        <v>0.94258307230359939</v>
      </c>
      <c r="K243" s="148">
        <v>241</v>
      </c>
      <c r="M243" s="149">
        <f t="shared" si="24"/>
        <v>0.76349999999999985</v>
      </c>
      <c r="N243" s="138">
        <f t="shared" si="25"/>
        <v>2.133623234670516</v>
      </c>
      <c r="O243" s="149"/>
      <c r="V243" s="158">
        <f t="shared" si="26"/>
        <v>186.55075612568427</v>
      </c>
      <c r="W243" s="158">
        <f t="shared" si="27"/>
        <v>65.763090501510305</v>
      </c>
      <c r="X243" s="158">
        <f t="shared" si="28"/>
        <v>40.91316292320279</v>
      </c>
      <c r="Y243" s="158">
        <f t="shared" si="29"/>
        <v>33.907851367568014</v>
      </c>
      <c r="Z243" s="158">
        <f t="shared" si="30"/>
        <v>21.580112462022658</v>
      </c>
      <c r="AA243" s="158">
        <f t="shared" si="31"/>
        <v>13.18963607547666</v>
      </c>
    </row>
    <row r="244" spans="1:27" ht="19.5" thickBot="1" x14ac:dyDescent="0.35">
      <c r="A244" s="142">
        <v>160</v>
      </c>
      <c r="B244" s="143" t="s">
        <v>275</v>
      </c>
      <c r="C244" s="142">
        <v>42</v>
      </c>
      <c r="D244" s="143" t="s">
        <v>299</v>
      </c>
      <c r="E244" s="142">
        <v>457543</v>
      </c>
      <c r="F244" s="143" t="s">
        <v>313</v>
      </c>
      <c r="G244" s="144">
        <v>3.0802030008650325</v>
      </c>
      <c r="H244" s="145">
        <v>3.2465392693895949</v>
      </c>
      <c r="I244" s="146">
        <v>1.8002060248765304</v>
      </c>
      <c r="J244" s="147">
        <v>0.95155550544755751</v>
      </c>
      <c r="K244" s="148">
        <v>246</v>
      </c>
      <c r="M244" s="149">
        <f t="shared" si="24"/>
        <v>0.55449999999999999</v>
      </c>
      <c r="N244" s="138">
        <f t="shared" si="25"/>
        <v>1.8002060248765304</v>
      </c>
      <c r="O244" s="149"/>
      <c r="V244" s="158">
        <f t="shared" si="26"/>
        <v>223.20659640729141</v>
      </c>
      <c r="W244" s="158">
        <f t="shared" si="27"/>
        <v>80.047776652187849</v>
      </c>
      <c r="X244" s="158">
        <f t="shared" si="28"/>
        <v>50.595379466375171</v>
      </c>
      <c r="Y244" s="158">
        <f t="shared" si="29"/>
        <v>42.292610064060021</v>
      </c>
      <c r="Z244" s="158">
        <f t="shared" si="30"/>
        <v>27.681643432267283</v>
      </c>
      <c r="AA244" s="158">
        <f t="shared" si="31"/>
        <v>17.737162011305095</v>
      </c>
    </row>
    <row r="245" spans="1:27" ht="19.5" thickBot="1" x14ac:dyDescent="0.35">
      <c r="A245" s="142">
        <v>160</v>
      </c>
      <c r="B245" s="143" t="s">
        <v>275</v>
      </c>
      <c r="C245" s="142">
        <v>42</v>
      </c>
      <c r="D245" s="143" t="s">
        <v>299</v>
      </c>
      <c r="E245" s="142">
        <v>457583</v>
      </c>
      <c r="F245" s="143" t="s">
        <v>314</v>
      </c>
      <c r="G245" s="144">
        <v>6.0121721622273636</v>
      </c>
      <c r="H245" s="145">
        <v>6.6531694237413479</v>
      </c>
      <c r="I245" s="146">
        <v>4.3403614028132615</v>
      </c>
      <c r="J245" s="147">
        <v>0.88319858314625976</v>
      </c>
      <c r="K245" s="148">
        <v>166</v>
      </c>
      <c r="M245" s="149">
        <f t="shared" si="24"/>
        <v>0.65237499999999993</v>
      </c>
      <c r="N245" s="138">
        <f t="shared" si="25"/>
        <v>4.3403614028132615</v>
      </c>
      <c r="O245" s="149"/>
      <c r="V245" s="158">
        <f t="shared" si="26"/>
        <v>343.70636268293038</v>
      </c>
      <c r="W245" s="158">
        <f t="shared" si="27"/>
        <v>106.20045391661506</v>
      </c>
      <c r="X245" s="158">
        <f t="shared" si="28"/>
        <v>57.337810518679852</v>
      </c>
      <c r="Y245" s="158">
        <f t="shared" si="29"/>
        <v>43.563201343028872</v>
      </c>
      <c r="Z245" s="158">
        <f t="shared" si="30"/>
        <v>19.323053835703991</v>
      </c>
      <c r="AA245" s="158">
        <f t="shared" si="31"/>
        <v>2.8247821879233621</v>
      </c>
    </row>
    <row r="246" spans="1:27" ht="19.5" thickBot="1" x14ac:dyDescent="0.35">
      <c r="A246" s="142">
        <v>160</v>
      </c>
      <c r="B246" s="143" t="s">
        <v>275</v>
      </c>
      <c r="C246" s="142">
        <v>42</v>
      </c>
      <c r="D246" s="143" t="s">
        <v>299</v>
      </c>
      <c r="E246" s="142">
        <v>457614</v>
      </c>
      <c r="F246" s="143" t="s">
        <v>315</v>
      </c>
      <c r="G246" s="144">
        <v>8.556177349674952</v>
      </c>
      <c r="H246" s="145">
        <v>3.2724894372442757</v>
      </c>
      <c r="I246" s="146">
        <v>2.5648135964402008</v>
      </c>
      <c r="J246" s="147">
        <v>0.93097951202040907</v>
      </c>
      <c r="K246" s="148">
        <v>228</v>
      </c>
      <c r="M246" s="149">
        <f t="shared" si="24"/>
        <v>0.78374999999999995</v>
      </c>
      <c r="N246" s="138">
        <f t="shared" si="25"/>
        <v>2.5648135964402008</v>
      </c>
      <c r="O246" s="149"/>
      <c r="V246" s="158">
        <f t="shared" si="26"/>
        <v>429.17800568472825</v>
      </c>
      <c r="W246" s="158">
        <f t="shared" si="27"/>
        <v>147.83084012613901</v>
      </c>
      <c r="X246" s="158">
        <f t="shared" si="28"/>
        <v>89.948632929199903</v>
      </c>
      <c r="Y246" s="158">
        <f t="shared" si="29"/>
        <v>73.631366262542628</v>
      </c>
      <c r="Z246" s="158">
        <f t="shared" si="30"/>
        <v>44.916725732827949</v>
      </c>
      <c r="AA246" s="158">
        <f t="shared" si="31"/>
        <v>25.373035267064523</v>
      </c>
    </row>
    <row r="247" spans="1:27" ht="19.5" thickBot="1" x14ac:dyDescent="0.35">
      <c r="A247" s="142">
        <v>160</v>
      </c>
      <c r="B247" s="143" t="s">
        <v>275</v>
      </c>
      <c r="C247" s="142">
        <v>42</v>
      </c>
      <c r="D247" s="143" t="s">
        <v>299</v>
      </c>
      <c r="E247" s="142">
        <v>457617</v>
      </c>
      <c r="F247" s="143" t="s">
        <v>544</v>
      </c>
      <c r="G247" s="144">
        <v>7.6637250357256459</v>
      </c>
      <c r="H247" s="145">
        <v>6.1327878780752432</v>
      </c>
      <c r="I247" s="146">
        <v>4.2035693934509357</v>
      </c>
      <c r="J247" s="147">
        <v>0.88687972833786377</v>
      </c>
      <c r="K247" s="148">
        <v>173</v>
      </c>
      <c r="M247" s="149">
        <f t="shared" si="24"/>
        <v>0.68542553191489364</v>
      </c>
      <c r="N247" s="138">
        <f t="shared" si="25"/>
        <v>4.2035693934509357</v>
      </c>
      <c r="O247" s="149"/>
      <c r="V247" s="158">
        <f t="shared" si="26"/>
        <v>418.73520404638214</v>
      </c>
      <c r="W247" s="158">
        <f t="shared" si="27"/>
        <v>130.5843196759071</v>
      </c>
      <c r="X247" s="158">
        <f t="shared" si="28"/>
        <v>71.302367572359799</v>
      </c>
      <c r="Y247" s="158">
        <f t="shared" si="29"/>
        <v>54.590506227778278</v>
      </c>
      <c r="Z247" s="158">
        <f t="shared" si="30"/>
        <v>25.181469720906058</v>
      </c>
      <c r="AA247" s="158">
        <f t="shared" si="31"/>
        <v>5.165161113738618</v>
      </c>
    </row>
    <row r="248" spans="1:27" ht="19.5" thickBot="1" x14ac:dyDescent="0.35">
      <c r="A248" s="142">
        <v>160</v>
      </c>
      <c r="B248" s="143" t="s">
        <v>275</v>
      </c>
      <c r="C248" s="142">
        <v>42</v>
      </c>
      <c r="D248" s="143" t="s">
        <v>299</v>
      </c>
      <c r="E248" s="142">
        <v>557668</v>
      </c>
      <c r="F248" s="143" t="s">
        <v>317</v>
      </c>
      <c r="G248" s="144">
        <v>4.1744710626853223</v>
      </c>
      <c r="H248" s="145">
        <v>2.8746156865873038</v>
      </c>
      <c r="I248" s="146">
        <v>1.9523431538072107</v>
      </c>
      <c r="J248" s="147">
        <v>0.94746141498687697</v>
      </c>
      <c r="K248" s="148">
        <v>243</v>
      </c>
      <c r="M248" s="149">
        <f t="shared" si="24"/>
        <v>0.6791666666666667</v>
      </c>
      <c r="N248" s="138">
        <f t="shared" si="25"/>
        <v>1.9523431538072107</v>
      </c>
      <c r="O248" s="149"/>
      <c r="V248" s="158">
        <f t="shared" si="26"/>
        <v>245.91313951370373</v>
      </c>
      <c r="W248" s="158">
        <f t="shared" si="27"/>
        <v>87.509406439554155</v>
      </c>
      <c r="X248" s="158">
        <f t="shared" si="28"/>
        <v>54.920637754563742</v>
      </c>
      <c r="Y248" s="158">
        <f t="shared" si="29"/>
        <v>45.733710463388881</v>
      </c>
      <c r="Z248" s="158">
        <f t="shared" si="30"/>
        <v>29.566829077687203</v>
      </c>
      <c r="AA248" s="158">
        <f t="shared" si="31"/>
        <v>18.563364650824482</v>
      </c>
    </row>
    <row r="249" spans="1:27" ht="19.5" thickBot="1" x14ac:dyDescent="0.35">
      <c r="A249" s="142">
        <v>160</v>
      </c>
      <c r="B249" s="143" t="s">
        <v>275</v>
      </c>
      <c r="C249" s="142">
        <v>44</v>
      </c>
      <c r="D249" s="143" t="s">
        <v>318</v>
      </c>
      <c r="E249" s="142">
        <v>557113</v>
      </c>
      <c r="F249" s="143" t="s">
        <v>319</v>
      </c>
      <c r="G249" s="144">
        <v>2.5533062174516035</v>
      </c>
      <c r="H249" s="145">
        <v>8.2246304248456426</v>
      </c>
      <c r="I249" s="146">
        <v>5.5163771206643268</v>
      </c>
      <c r="J249" s="147">
        <v>0.85155137929861668</v>
      </c>
      <c r="K249" s="148">
        <v>119</v>
      </c>
      <c r="M249" s="149">
        <f t="shared" si="24"/>
        <v>0.6707142857142856</v>
      </c>
      <c r="N249" s="138">
        <f t="shared" si="25"/>
        <v>5.5163771206643268</v>
      </c>
      <c r="O249" s="149"/>
      <c r="V249" s="158">
        <f t="shared" si="26"/>
        <v>136.88987047857302</v>
      </c>
      <c r="W249" s="158">
        <f t="shared" si="27"/>
        <v>38.781589478150671</v>
      </c>
      <c r="X249" s="158">
        <f t="shared" si="28"/>
        <v>18.597544484033232</v>
      </c>
      <c r="Y249" s="158">
        <f t="shared" si="29"/>
        <v>12.907567191698064</v>
      </c>
      <c r="Z249" s="158">
        <f t="shared" si="30"/>
        <v>2.8945143986401303</v>
      </c>
      <c r="AA249" s="158">
        <f t="shared" si="31"/>
        <v>-3.9205458213324946</v>
      </c>
    </row>
    <row r="250" spans="1:27" ht="19.5" thickBot="1" x14ac:dyDescent="0.35">
      <c r="A250" s="142">
        <v>160</v>
      </c>
      <c r="B250" s="143" t="s">
        <v>275</v>
      </c>
      <c r="C250" s="142">
        <v>44</v>
      </c>
      <c r="D250" s="143" t="s">
        <v>318</v>
      </c>
      <c r="E250" s="142">
        <v>457180</v>
      </c>
      <c r="F250" s="143" t="s">
        <v>320</v>
      </c>
      <c r="G250" s="144">
        <v>2.251466510688148</v>
      </c>
      <c r="H250" s="145">
        <v>6.6623242801045865</v>
      </c>
      <c r="I250" s="146">
        <v>4.0240438651831703</v>
      </c>
      <c r="J250" s="147">
        <v>0.89171085508447512</v>
      </c>
      <c r="K250" s="148">
        <v>185</v>
      </c>
      <c r="M250" s="149">
        <f t="shared" si="24"/>
        <v>0.60399999999999998</v>
      </c>
      <c r="N250" s="138">
        <f t="shared" si="25"/>
        <v>4.0240438651831703</v>
      </c>
      <c r="O250" s="149"/>
      <c r="V250" s="158">
        <f t="shared" si="26"/>
        <v>140.36140796834141</v>
      </c>
      <c r="W250" s="158">
        <f t="shared" si="27"/>
        <v>44.29559265734715</v>
      </c>
      <c r="X250" s="158">
        <f t="shared" si="28"/>
        <v>24.53174888328962</v>
      </c>
      <c r="Y250" s="158">
        <f t="shared" si="29"/>
        <v>18.960228292822144</v>
      </c>
      <c r="Z250" s="158">
        <f t="shared" si="30"/>
        <v>9.1556320802659581</v>
      </c>
      <c r="AA250" s="158">
        <f t="shared" si="31"/>
        <v>2.4824510832166284</v>
      </c>
    </row>
    <row r="251" spans="1:27" ht="19.5" thickBot="1" x14ac:dyDescent="0.35">
      <c r="A251" s="142">
        <v>160</v>
      </c>
      <c r="B251" s="143" t="s">
        <v>275</v>
      </c>
      <c r="C251" s="142">
        <v>44</v>
      </c>
      <c r="D251" s="143" t="s">
        <v>318</v>
      </c>
      <c r="E251" s="142">
        <v>557182</v>
      </c>
      <c r="F251" s="143" t="s">
        <v>321</v>
      </c>
      <c r="G251" s="144">
        <v>2.8395425426615799</v>
      </c>
      <c r="H251" s="145">
        <v>0.35216940228078886</v>
      </c>
      <c r="I251" s="146">
        <v>0.53529749146679906</v>
      </c>
      <c r="J251" s="147">
        <v>0.98559486189305578</v>
      </c>
      <c r="K251" s="148">
        <v>275</v>
      </c>
      <c r="M251" s="149">
        <f t="shared" si="24"/>
        <v>1.52</v>
      </c>
      <c r="N251" s="138">
        <f t="shared" si="25"/>
        <v>0.53529749146679906</v>
      </c>
      <c r="O251" s="149"/>
      <c r="V251" s="158">
        <f t="shared" si="26"/>
        <v>77.749630231049281</v>
      </c>
      <c r="W251" s="158">
        <f t="shared" si="27"/>
        <v>29.605304142172951</v>
      </c>
      <c r="X251" s="158">
        <f t="shared" si="28"/>
        <v>19.700459881522228</v>
      </c>
      <c r="Y251" s="158">
        <f t="shared" si="29"/>
        <v>16.908237661266362</v>
      </c>
      <c r="Z251" s="158">
        <f t="shared" si="30"/>
        <v>11.994568051541572</v>
      </c>
      <c r="AA251" s="158">
        <f t="shared" si="31"/>
        <v>8.6502379073381608</v>
      </c>
    </row>
    <row r="252" spans="1:27" ht="19.5" thickBot="1" x14ac:dyDescent="0.35">
      <c r="A252" s="142">
        <v>160</v>
      </c>
      <c r="B252" s="143" t="s">
        <v>275</v>
      </c>
      <c r="C252" s="142">
        <v>44</v>
      </c>
      <c r="D252" s="143" t="s">
        <v>318</v>
      </c>
      <c r="E252" s="142">
        <v>457192</v>
      </c>
      <c r="F252" s="143" t="s">
        <v>322</v>
      </c>
      <c r="G252" s="144">
        <v>2.5984562648251952</v>
      </c>
      <c r="H252" s="145">
        <v>4.2332827182450181</v>
      </c>
      <c r="I252" s="146">
        <v>2.8536173959806193</v>
      </c>
      <c r="J252" s="147">
        <v>0.92320764930012955</v>
      </c>
      <c r="K252" s="148">
        <v>221</v>
      </c>
      <c r="M252" s="149">
        <f t="shared" si="24"/>
        <v>0.67409090909090918</v>
      </c>
      <c r="N252" s="138">
        <f t="shared" si="25"/>
        <v>2.8536173959806193</v>
      </c>
      <c r="O252" s="149"/>
      <c r="V252" s="158">
        <f t="shared" si="26"/>
        <v>150.27662926160559</v>
      </c>
      <c r="W252" s="158">
        <f t="shared" si="27"/>
        <v>50.933631415999876</v>
      </c>
      <c r="X252" s="158">
        <f t="shared" si="28"/>
        <v>30.495565251558716</v>
      </c>
      <c r="Y252" s="158">
        <f t="shared" si="29"/>
        <v>24.733978195604031</v>
      </c>
      <c r="Z252" s="158">
        <f t="shared" si="30"/>
        <v>14.594908670530923</v>
      </c>
      <c r="AA252" s="158">
        <f t="shared" si="31"/>
        <v>7.6940792415910844</v>
      </c>
    </row>
    <row r="253" spans="1:27" ht="19.5" thickBot="1" x14ac:dyDescent="0.35">
      <c r="A253" s="142">
        <v>160</v>
      </c>
      <c r="B253" s="143" t="s">
        <v>275</v>
      </c>
      <c r="C253" s="142">
        <v>44</v>
      </c>
      <c r="D253" s="143" t="s">
        <v>318</v>
      </c>
      <c r="E253" s="142">
        <v>557303</v>
      </c>
      <c r="F253" s="143" t="s">
        <v>323</v>
      </c>
      <c r="G253" s="144">
        <v>3.4220960403097598</v>
      </c>
      <c r="H253" s="145">
        <v>0.58443713339470305</v>
      </c>
      <c r="I253" s="146">
        <v>0.45732205688135508</v>
      </c>
      <c r="J253" s="147">
        <v>0.98769322200506471</v>
      </c>
      <c r="K253" s="148">
        <v>277</v>
      </c>
      <c r="M253" s="149">
        <f t="shared" si="24"/>
        <v>0.78249999999999986</v>
      </c>
      <c r="N253" s="138">
        <f t="shared" si="25"/>
        <v>0.45732205688135508</v>
      </c>
      <c r="O253" s="149"/>
      <c r="V253" s="158">
        <f t="shared" si="26"/>
        <v>182.40008259371956</v>
      </c>
      <c r="W253" s="158">
        <f t="shared" si="27"/>
        <v>69.693789092459085</v>
      </c>
      <c r="X253" s="158">
        <f t="shared" si="28"/>
        <v>46.506461010134892</v>
      </c>
      <c r="Y253" s="158">
        <f t="shared" si="29"/>
        <v>39.969844078454329</v>
      </c>
      <c r="Z253" s="158">
        <f t="shared" si="30"/>
        <v>28.466900031018156</v>
      </c>
      <c r="AA253" s="158">
        <f t="shared" si="31"/>
        <v>20.637793562648856</v>
      </c>
    </row>
    <row r="254" spans="1:27" ht="19.5" thickBot="1" x14ac:dyDescent="0.35">
      <c r="A254" s="142">
        <v>160</v>
      </c>
      <c r="B254" s="143" t="s">
        <v>275</v>
      </c>
      <c r="C254" s="142">
        <v>44</v>
      </c>
      <c r="D254" s="143" t="s">
        <v>318</v>
      </c>
      <c r="E254" s="142">
        <v>457306</v>
      </c>
      <c r="F254" s="143" t="s">
        <v>324</v>
      </c>
      <c r="G254" s="144">
        <v>2.6425147732690633</v>
      </c>
      <c r="H254" s="145">
        <v>4.9195562240576081</v>
      </c>
      <c r="I254" s="146">
        <v>2.671697457065132</v>
      </c>
      <c r="J254" s="147">
        <v>0.92810321090140613</v>
      </c>
      <c r="K254" s="148">
        <v>224</v>
      </c>
      <c r="M254" s="149">
        <f t="shared" si="24"/>
        <v>0.54307692307692312</v>
      </c>
      <c r="N254" s="138">
        <f t="shared" si="25"/>
        <v>2.671697457065132</v>
      </c>
      <c r="O254" s="149"/>
      <c r="V254" s="158">
        <f t="shared" si="26"/>
        <v>190.69858038844023</v>
      </c>
      <c r="W254" s="158">
        <f t="shared" si="27"/>
        <v>65.298909889600367</v>
      </c>
      <c r="X254" s="158">
        <f t="shared" si="28"/>
        <v>39.500143814133317</v>
      </c>
      <c r="Y254" s="158">
        <f t="shared" si="29"/>
        <v>32.227350219863347</v>
      </c>
      <c r="Z254" s="158">
        <f t="shared" si="30"/>
        <v>19.428904378869071</v>
      </c>
      <c r="AA254" s="158">
        <f t="shared" si="31"/>
        <v>10.718056555425512</v>
      </c>
    </row>
    <row r="255" spans="1:27" ht="19.5" thickBot="1" x14ac:dyDescent="0.35">
      <c r="A255" s="142">
        <v>160</v>
      </c>
      <c r="B255" s="143" t="s">
        <v>275</v>
      </c>
      <c r="C255" s="142">
        <v>44</v>
      </c>
      <c r="D255" s="143" t="s">
        <v>318</v>
      </c>
      <c r="E255" s="142">
        <v>557307</v>
      </c>
      <c r="F255" s="143" t="s">
        <v>325</v>
      </c>
      <c r="G255" s="144">
        <v>3.049660826332139</v>
      </c>
      <c r="H255" s="145">
        <v>13.772023313987303</v>
      </c>
      <c r="I255" s="146">
        <v>9.0944539669866149</v>
      </c>
      <c r="J255" s="147">
        <v>0.75526344230997722</v>
      </c>
      <c r="K255" s="148">
        <v>39</v>
      </c>
      <c r="M255" s="149">
        <f t="shared" si="24"/>
        <v>0.66035714285714286</v>
      </c>
      <c r="N255" s="138">
        <f t="shared" si="25"/>
        <v>9.0944539669866149</v>
      </c>
      <c r="O255" s="149"/>
      <c r="V255" s="158">
        <f t="shared" si="26"/>
        <v>147.28761666135267</v>
      </c>
      <c r="W255" s="158">
        <f t="shared" si="27"/>
        <v>28.269525278839431</v>
      </c>
      <c r="X255" s="158">
        <f t="shared" si="28"/>
        <v>3.7836563278964839</v>
      </c>
      <c r="Y255" s="158">
        <f t="shared" si="29"/>
        <v>-3.1190253870206996</v>
      </c>
      <c r="Z255" s="158">
        <f t="shared" si="30"/>
        <v>-15.26615935155289</v>
      </c>
      <c r="AA255" s="158">
        <f t="shared" si="31"/>
        <v>-23.533712831921591</v>
      </c>
    </row>
    <row r="256" spans="1:27" ht="19.5" thickBot="1" x14ac:dyDescent="0.35">
      <c r="A256" s="142">
        <v>160</v>
      </c>
      <c r="B256" s="143" t="s">
        <v>275</v>
      </c>
      <c r="C256" s="142">
        <v>44</v>
      </c>
      <c r="D256" s="143" t="s">
        <v>318</v>
      </c>
      <c r="E256" s="142">
        <v>557347</v>
      </c>
      <c r="F256" s="143" t="s">
        <v>326</v>
      </c>
      <c r="G256" s="144">
        <v>2.8493458840345491</v>
      </c>
      <c r="H256" s="145">
        <v>5.9662816280937934</v>
      </c>
      <c r="I256" s="146">
        <v>3.6955850319898613</v>
      </c>
      <c r="J256" s="147">
        <v>0.9005498556963224</v>
      </c>
      <c r="K256" s="148">
        <v>195</v>
      </c>
      <c r="M256" s="149">
        <f t="shared" si="24"/>
        <v>0.61941176470588233</v>
      </c>
      <c r="N256" s="138">
        <f t="shared" si="25"/>
        <v>3.6955850319898613</v>
      </c>
      <c r="O256" s="149"/>
      <c r="V256" s="158">
        <f t="shared" si="26"/>
        <v>174.93173057201525</v>
      </c>
      <c r="W256" s="158">
        <f t="shared" si="27"/>
        <v>56.380506630187682</v>
      </c>
      <c r="X256" s="158">
        <f t="shared" si="28"/>
        <v>31.990687404436095</v>
      </c>
      <c r="Y256" s="158">
        <f t="shared" si="29"/>
        <v>25.115082559166851</v>
      </c>
      <c r="Z256" s="158">
        <f t="shared" si="30"/>
        <v>13.015597664450944</v>
      </c>
      <c r="AA256" s="158">
        <f t="shared" si="31"/>
        <v>4.7804749808567095</v>
      </c>
    </row>
    <row r="257" spans="1:27" ht="19.5" thickBot="1" x14ac:dyDescent="0.35">
      <c r="A257" s="142">
        <v>160</v>
      </c>
      <c r="B257" s="143" t="s">
        <v>275</v>
      </c>
      <c r="C257" s="142">
        <v>44</v>
      </c>
      <c r="D257" s="143" t="s">
        <v>318</v>
      </c>
      <c r="E257" s="142">
        <v>457348</v>
      </c>
      <c r="F257" s="143" t="s">
        <v>327</v>
      </c>
      <c r="G257" s="144">
        <v>7.8533208781537667</v>
      </c>
      <c r="H257" s="145">
        <v>6.7487373586675279</v>
      </c>
      <c r="I257" s="146">
        <v>5.1188536192157477</v>
      </c>
      <c r="J257" s="147">
        <v>0.86224894659606777</v>
      </c>
      <c r="K257" s="148">
        <v>131</v>
      </c>
      <c r="M257" s="149">
        <f t="shared" si="24"/>
        <v>0.7584905660377359</v>
      </c>
      <c r="N257" s="138">
        <f t="shared" si="25"/>
        <v>5.1188536192157477</v>
      </c>
      <c r="O257" s="149"/>
      <c r="V257" s="158">
        <f t="shared" si="26"/>
        <v>376.99096436791791</v>
      </c>
      <c r="W257" s="158">
        <f t="shared" si="27"/>
        <v>110.15554344270994</v>
      </c>
      <c r="X257" s="158">
        <f t="shared" si="28"/>
        <v>55.25887124481995</v>
      </c>
      <c r="Y257" s="158">
        <f t="shared" si="29"/>
        <v>39.783240947632351</v>
      </c>
      <c r="Z257" s="158">
        <f t="shared" si="30"/>
        <v>12.549687066788779</v>
      </c>
      <c r="AA257" s="158">
        <f t="shared" si="31"/>
        <v>-5.9859497202751761</v>
      </c>
    </row>
    <row r="258" spans="1:27" ht="19.5" thickBot="1" x14ac:dyDescent="0.35">
      <c r="A258" s="142">
        <v>160</v>
      </c>
      <c r="B258" s="143" t="s">
        <v>275</v>
      </c>
      <c r="C258" s="142">
        <v>44</v>
      </c>
      <c r="D258" s="143" t="s">
        <v>318</v>
      </c>
      <c r="E258" s="142">
        <v>457350</v>
      </c>
      <c r="F258" s="143" t="s">
        <v>328</v>
      </c>
      <c r="G258" s="144">
        <v>8.9100383937324263</v>
      </c>
      <c r="H258" s="145">
        <v>11.447762118707557</v>
      </c>
      <c r="I258" s="146">
        <v>6.757546638895902</v>
      </c>
      <c r="J258" s="147">
        <v>0.81815085228463169</v>
      </c>
      <c r="K258" s="148">
        <v>85</v>
      </c>
      <c r="M258" s="149">
        <f t="shared" si="24"/>
        <v>0.59029411764705886</v>
      </c>
      <c r="N258" s="138">
        <f t="shared" si="25"/>
        <v>6.757546638895902</v>
      </c>
      <c r="O258" s="149"/>
      <c r="V258" s="158">
        <f t="shared" si="26"/>
        <v>521.48235340228246</v>
      </c>
      <c r="W258" s="158">
        <f t="shared" si="27"/>
        <v>132.48070638287354</v>
      </c>
      <c r="X258" s="158">
        <f t="shared" si="28"/>
        <v>52.450492152621798</v>
      </c>
      <c r="Y258" s="158">
        <f t="shared" si="29"/>
        <v>29.889598050197467</v>
      </c>
      <c r="Z258" s="158">
        <f t="shared" si="30"/>
        <v>-9.8123923268947681</v>
      </c>
      <c r="AA258" s="158">
        <f t="shared" si="31"/>
        <v>-36.834266760658352</v>
      </c>
    </row>
    <row r="259" spans="1:27" ht="19.5" thickBot="1" x14ac:dyDescent="0.35">
      <c r="A259" s="142">
        <v>160</v>
      </c>
      <c r="B259" s="143" t="s">
        <v>275</v>
      </c>
      <c r="C259" s="142">
        <v>44</v>
      </c>
      <c r="D259" s="143" t="s">
        <v>318</v>
      </c>
      <c r="E259" s="142">
        <v>557352</v>
      </c>
      <c r="F259" s="143" t="s">
        <v>329</v>
      </c>
      <c r="G259" s="144">
        <v>3.7235578407680481</v>
      </c>
      <c r="H259" s="145">
        <v>11.816655435900048</v>
      </c>
      <c r="I259" s="146">
        <v>7.6606840070238373</v>
      </c>
      <c r="J259" s="147">
        <v>0.79384694889480611</v>
      </c>
      <c r="K259" s="148">
        <v>65</v>
      </c>
      <c r="M259" s="149">
        <f t="shared" si="24"/>
        <v>0.64829545454545456</v>
      </c>
      <c r="N259" s="138">
        <f t="shared" si="25"/>
        <v>7.6606840070238373</v>
      </c>
      <c r="O259" s="149"/>
      <c r="V259" s="158">
        <f t="shared" si="26"/>
        <v>192.53824880082163</v>
      </c>
      <c r="W259" s="158">
        <f t="shared" si="27"/>
        <v>44.516528254110355</v>
      </c>
      <c r="X259" s="158">
        <f t="shared" si="28"/>
        <v>14.063675170193456</v>
      </c>
      <c r="Y259" s="158">
        <f t="shared" si="29"/>
        <v>5.4788725409480863</v>
      </c>
      <c r="Z259" s="158">
        <f t="shared" si="30"/>
        <v>-9.6284077746361607</v>
      </c>
      <c r="AA259" s="158">
        <f t="shared" si="31"/>
        <v>-19.910689036759731</v>
      </c>
    </row>
    <row r="260" spans="1:27" ht="19.5" thickBot="1" x14ac:dyDescent="0.35">
      <c r="A260" s="142">
        <v>160</v>
      </c>
      <c r="B260" s="143" t="s">
        <v>275</v>
      </c>
      <c r="C260" s="142">
        <v>44</v>
      </c>
      <c r="D260" s="143" t="s">
        <v>318</v>
      </c>
      <c r="E260" s="142">
        <v>457449</v>
      </c>
      <c r="F260" s="143" t="s">
        <v>330</v>
      </c>
      <c r="G260" s="144">
        <v>2.4875433198240544</v>
      </c>
      <c r="H260" s="145">
        <v>10.452079283523391</v>
      </c>
      <c r="I260" s="146">
        <v>7.5998676482696048</v>
      </c>
      <c r="J260" s="147">
        <v>0.79548354921702258</v>
      </c>
      <c r="K260" s="148">
        <v>67</v>
      </c>
      <c r="M260" s="149">
        <f t="shared" si="24"/>
        <v>0.72711538461538472</v>
      </c>
      <c r="N260" s="138">
        <f t="shared" si="25"/>
        <v>7.5998676482696048</v>
      </c>
      <c r="O260" s="149"/>
      <c r="V260" s="158">
        <f t="shared" si="26"/>
        <v>114.9194744729289</v>
      </c>
      <c r="W260" s="158">
        <f t="shared" si="27"/>
        <v>26.752154647342717</v>
      </c>
      <c r="X260" s="158">
        <f t="shared" si="28"/>
        <v>8.6132867329949683</v>
      </c>
      <c r="Y260" s="158">
        <f t="shared" si="29"/>
        <v>3.4998544863176653</v>
      </c>
      <c r="Z260" s="158">
        <f t="shared" si="30"/>
        <v>-5.498611484482673</v>
      </c>
      <c r="AA260" s="158">
        <f t="shared" si="31"/>
        <v>-11.623126030225958</v>
      </c>
    </row>
    <row r="261" spans="1:27" ht="19.5" thickBot="1" x14ac:dyDescent="0.35">
      <c r="A261" s="142">
        <v>160</v>
      </c>
      <c r="B261" s="143" t="s">
        <v>275</v>
      </c>
      <c r="C261" s="142">
        <v>44</v>
      </c>
      <c r="D261" s="143" t="s">
        <v>318</v>
      </c>
      <c r="E261" s="142">
        <v>557508</v>
      </c>
      <c r="F261" s="143" t="s">
        <v>331</v>
      </c>
      <c r="G261" s="144">
        <v>2.6455275505029943</v>
      </c>
      <c r="H261" s="145">
        <v>26.837747347027541</v>
      </c>
      <c r="I261" s="146">
        <v>17.051419476400174</v>
      </c>
      <c r="J261" s="147">
        <v>0.54113729955295831</v>
      </c>
      <c r="K261" s="148">
        <v>6</v>
      </c>
      <c r="M261" s="149">
        <f t="shared" si="24"/>
        <v>0.63535211267605629</v>
      </c>
      <c r="N261" s="138">
        <f t="shared" si="25"/>
        <v>17.051419476400174</v>
      </c>
      <c r="O261" s="149"/>
      <c r="V261" s="158">
        <f t="shared" si="26"/>
        <v>95.148159071104871</v>
      </c>
      <c r="W261" s="158">
        <f t="shared" si="27"/>
        <v>-12.161330814923403</v>
      </c>
      <c r="X261" s="158">
        <f t="shared" si="28"/>
        <v>-34.238361928597286</v>
      </c>
      <c r="Y261" s="158">
        <f t="shared" si="29"/>
        <v>-40.461980918526827</v>
      </c>
      <c r="Z261" s="158">
        <f t="shared" si="30"/>
        <v>-51.414120498062324</v>
      </c>
      <c r="AA261" s="158">
        <f t="shared" si="31"/>
        <v>-58.868339737156703</v>
      </c>
    </row>
    <row r="262" spans="1:27" ht="19.5" thickBot="1" x14ac:dyDescent="0.35">
      <c r="A262" s="142">
        <v>160</v>
      </c>
      <c r="B262" s="143" t="s">
        <v>275</v>
      </c>
      <c r="C262" s="142">
        <v>44</v>
      </c>
      <c r="D262" s="143" t="s">
        <v>318</v>
      </c>
      <c r="E262" s="142">
        <v>557622</v>
      </c>
      <c r="F262" s="143" t="s">
        <v>332</v>
      </c>
      <c r="G262" s="144">
        <v>2.5458872462458033</v>
      </c>
      <c r="H262" s="145">
        <v>6.2846459612827701</v>
      </c>
      <c r="I262" s="146">
        <v>4.4267474989785507</v>
      </c>
      <c r="J262" s="147">
        <v>0.88087388769070862</v>
      </c>
      <c r="K262" s="148">
        <v>158</v>
      </c>
      <c r="M262" s="149">
        <f t="shared" ref="M262:M297" si="32">IF(ISERROR(I262/H262),$O$3,(I262/H262))</f>
        <v>0.70437499999999997</v>
      </c>
      <c r="N262" s="138">
        <f t="shared" ref="N262:N297" si="33">I262</f>
        <v>4.4267474989785507</v>
      </c>
      <c r="O262" s="149"/>
      <c r="V262" s="158">
        <f t="shared" ref="V262:V297" si="34">(((($O$5-N262))/M262)*G262)+((((($O$5-N262)/$T$2))*$T$3/M262)*G262)</f>
        <v>134.44482117842617</v>
      </c>
      <c r="W262" s="158">
        <f t="shared" ref="W262:W297" si="35">(((($P$5-N262))/M262)*G262)+((((($P$5-N262)/$T$2))*$T$3/M262)*G262)</f>
        <v>41.296388421665689</v>
      </c>
      <c r="X262" s="158">
        <f t="shared" ref="X262:X297" si="36">(((($Q$5-N262))/M262)*G262)+((((($Q$5-N262)/$T$2))*$T$3/M262)*G262)</f>
        <v>22.132744550605704</v>
      </c>
      <c r="Y262" s="158">
        <f t="shared" ref="Y262:Y297" si="37">(((($R$5-N262))/M262)*G262)+((((($R$5-N262)/$T$2))*$T$3/M262)*G262)</f>
        <v>16.730423137999416</v>
      </c>
      <c r="Z262" s="158">
        <f t="shared" ref="Z262:Z297" si="38">(((($S$5-N262))/M262)*G262)+((((($S$5-N262)/$T$2))*$T$3/M262)*G262)</f>
        <v>7.223578605884593</v>
      </c>
      <c r="AA262" s="158">
        <f t="shared" ref="AA262:AA297" si="39">(((($T$5-N262))/M262)*G262)+((((($T$5-N262)/$T$2))*$T$3/M262)*G262)</f>
        <v>0.75305265068351868</v>
      </c>
    </row>
    <row r="263" spans="1:27" ht="19.5" thickBot="1" x14ac:dyDescent="0.35">
      <c r="A263" s="142">
        <v>160</v>
      </c>
      <c r="B263" s="143" t="s">
        <v>275</v>
      </c>
      <c r="C263" s="142">
        <v>44</v>
      </c>
      <c r="D263" s="143" t="s">
        <v>318</v>
      </c>
      <c r="E263" s="142">
        <v>557628</v>
      </c>
      <c r="F263" s="143" t="s">
        <v>333</v>
      </c>
      <c r="G263" s="144">
        <v>2.3152426595163873</v>
      </c>
      <c r="H263" s="145">
        <v>8.2064832046454939</v>
      </c>
      <c r="I263" s="146">
        <v>5.7099846297586021</v>
      </c>
      <c r="J263" s="147">
        <v>0.84634129901334887</v>
      </c>
      <c r="K263" s="148">
        <v>110</v>
      </c>
      <c r="M263" s="149">
        <f t="shared" si="32"/>
        <v>0.69578947368421062</v>
      </c>
      <c r="N263" s="138">
        <f t="shared" si="33"/>
        <v>5.7099846297586021</v>
      </c>
      <c r="O263" s="149"/>
      <c r="V263" s="158">
        <f t="shared" si="34"/>
        <v>118.92120608559995</v>
      </c>
      <c r="W263" s="158">
        <f t="shared" si="35"/>
        <v>33.166298771310515</v>
      </c>
      <c r="X263" s="158">
        <f t="shared" si="36"/>
        <v>15.523742097725163</v>
      </c>
      <c r="Y263" s="158">
        <f t="shared" si="37"/>
        <v>10.550222326009733</v>
      </c>
      <c r="Z263" s="158">
        <f t="shared" si="38"/>
        <v>1.797970167009274</v>
      </c>
      <c r="AA263" s="158">
        <f t="shared" si="39"/>
        <v>-4.1589669186842109</v>
      </c>
    </row>
    <row r="264" spans="1:27" ht="19.5" thickBot="1" x14ac:dyDescent="0.35">
      <c r="A264" s="142">
        <v>160</v>
      </c>
      <c r="B264" s="143" t="s">
        <v>275</v>
      </c>
      <c r="C264" s="142">
        <v>44</v>
      </c>
      <c r="D264" s="143" t="s">
        <v>318</v>
      </c>
      <c r="E264" s="142">
        <v>457632</v>
      </c>
      <c r="F264" s="143" t="s">
        <v>334</v>
      </c>
      <c r="G264" s="144">
        <v>8.7242769703991669</v>
      </c>
      <c r="H264" s="145">
        <v>7.2212287864947875</v>
      </c>
      <c r="I264" s="146">
        <v>4.8456737610963039</v>
      </c>
      <c r="J264" s="147">
        <v>0.86960036080401204</v>
      </c>
      <c r="K264" s="148">
        <v>141</v>
      </c>
      <c r="M264" s="149">
        <f t="shared" si="32"/>
        <v>0.67103174603174609</v>
      </c>
      <c r="N264" s="138">
        <f t="shared" si="33"/>
        <v>4.8456737610963039</v>
      </c>
      <c r="O264" s="149"/>
      <c r="V264" s="158">
        <f t="shared" si="34"/>
        <v>477.42064901094631</v>
      </c>
      <c r="W264" s="158">
        <f t="shared" si="35"/>
        <v>142.35747513190705</v>
      </c>
      <c r="X264" s="158">
        <f t="shared" si="36"/>
        <v>73.424148520902563</v>
      </c>
      <c r="Y264" s="158">
        <f t="shared" si="37"/>
        <v>53.991519272600101</v>
      </c>
      <c r="Z264" s="158">
        <f t="shared" si="38"/>
        <v>19.794556336862513</v>
      </c>
      <c r="AA264" s="158">
        <f t="shared" si="39"/>
        <v>-3.4804993892793088</v>
      </c>
    </row>
    <row r="265" spans="1:27" ht="19.5" thickBot="1" x14ac:dyDescent="0.35">
      <c r="A265" s="142">
        <v>160</v>
      </c>
      <c r="B265" s="143" t="s">
        <v>275</v>
      </c>
      <c r="C265" s="142">
        <v>44</v>
      </c>
      <c r="D265" s="143" t="s">
        <v>318</v>
      </c>
      <c r="E265" s="142">
        <v>557633</v>
      </c>
      <c r="F265" s="143" t="s">
        <v>335</v>
      </c>
      <c r="G265" s="144">
        <v>1.953744093309282</v>
      </c>
      <c r="H265" s="145">
        <v>14.843295035062321</v>
      </c>
      <c r="I265" s="146">
        <v>8.9801934962127046</v>
      </c>
      <c r="J265" s="147">
        <v>0.75833825190258808</v>
      </c>
      <c r="K265" s="148">
        <v>40</v>
      </c>
      <c r="M265" s="149">
        <f t="shared" si="32"/>
        <v>0.60500000000000009</v>
      </c>
      <c r="N265" s="138">
        <f t="shared" si="33"/>
        <v>8.9801934962127046</v>
      </c>
      <c r="O265" s="149"/>
      <c r="V265" s="158">
        <f t="shared" si="34"/>
        <v>103.4118663338098</v>
      </c>
      <c r="W265" s="158">
        <f t="shared" si="35"/>
        <v>20.187092519803045</v>
      </c>
      <c r="X265" s="158">
        <f t="shared" si="36"/>
        <v>3.0650661000360171</v>
      </c>
      <c r="Y265" s="158">
        <f t="shared" si="37"/>
        <v>-1.7617137429355507</v>
      </c>
      <c r="Z265" s="158">
        <f t="shared" si="38"/>
        <v>-10.255737340050334</v>
      </c>
      <c r="AA265" s="158">
        <f t="shared" si="39"/>
        <v>-16.036919515014905</v>
      </c>
    </row>
    <row r="266" spans="1:27" ht="19.5" thickBot="1" x14ac:dyDescent="0.35">
      <c r="A266" s="142">
        <v>160</v>
      </c>
      <c r="B266" s="143" t="s">
        <v>275</v>
      </c>
      <c r="C266" s="142">
        <v>44</v>
      </c>
      <c r="D266" s="143" t="s">
        <v>318</v>
      </c>
      <c r="E266" s="142">
        <v>457634</v>
      </c>
      <c r="F266" s="143" t="s">
        <v>336</v>
      </c>
      <c r="G266" s="144">
        <v>1.6595588506878931</v>
      </c>
      <c r="H266" s="145">
        <v>-2.4102790921466783</v>
      </c>
      <c r="I266" s="146">
        <v>-1.9884802510210096</v>
      </c>
      <c r="J266" s="147">
        <v>1.053511053377812</v>
      </c>
      <c r="K266" s="148">
        <v>292</v>
      </c>
      <c r="M266" s="149">
        <f t="shared" si="32"/>
        <v>0.82499999999999996</v>
      </c>
      <c r="N266" s="138">
        <f t="shared" si="33"/>
        <v>-1.9884802510210096</v>
      </c>
      <c r="O266" s="149"/>
      <c r="V266" s="158">
        <f t="shared" si="34"/>
        <v>89.489671833826833</v>
      </c>
      <c r="W266" s="158">
        <f t="shared" si="35"/>
        <v>37.647996322083927</v>
      </c>
      <c r="X266" s="158">
        <f t="shared" si="36"/>
        <v>26.982487759203792</v>
      </c>
      <c r="Y266" s="158">
        <f t="shared" si="37"/>
        <v>23.975830691619912</v>
      </c>
      <c r="Z266" s="158">
        <f t="shared" si="38"/>
        <v>18.684805015842084</v>
      </c>
      <c r="AA266" s="158">
        <f t="shared" si="39"/>
        <v>15.083639681844566</v>
      </c>
    </row>
    <row r="267" spans="1:27" ht="19.5" thickBot="1" x14ac:dyDescent="0.35">
      <c r="A267" s="142">
        <v>160</v>
      </c>
      <c r="B267" s="143" t="s">
        <v>275</v>
      </c>
      <c r="C267" s="142">
        <v>44</v>
      </c>
      <c r="D267" s="143" t="s">
        <v>318</v>
      </c>
      <c r="E267" s="142">
        <v>557660</v>
      </c>
      <c r="F267" s="143" t="s">
        <v>545</v>
      </c>
      <c r="G267" s="144">
        <v>1.9110045249520344</v>
      </c>
      <c r="H267" s="145">
        <v>16.745119952451809</v>
      </c>
      <c r="I267" s="146">
        <v>12.027705690847025</v>
      </c>
      <c r="J267" s="147">
        <v>0.67632808980373049</v>
      </c>
      <c r="K267" s="148">
        <v>16</v>
      </c>
      <c r="M267" s="149">
        <f t="shared" si="32"/>
        <v>0.71828124999999998</v>
      </c>
      <c r="N267" s="138">
        <f t="shared" si="33"/>
        <v>12.027705690847025</v>
      </c>
      <c r="O267" s="149"/>
      <c r="V267" s="158">
        <f t="shared" si="34"/>
        <v>75.983574556168307</v>
      </c>
      <c r="W267" s="158">
        <f t="shared" si="35"/>
        <v>7.4177811557608555</v>
      </c>
      <c r="X267" s="158">
        <f t="shared" si="36"/>
        <v>-6.688419105206175</v>
      </c>
      <c r="Y267" s="158">
        <f t="shared" si="37"/>
        <v>-10.665023358190522</v>
      </c>
      <c r="Z267" s="158">
        <f t="shared" si="38"/>
        <v>-17.66293324016295</v>
      </c>
      <c r="AA267" s="158">
        <f t="shared" si="39"/>
        <v>-22.425834050258345</v>
      </c>
    </row>
    <row r="268" spans="1:27" ht="19.5" thickBot="1" x14ac:dyDescent="0.35">
      <c r="A268" s="142">
        <v>160</v>
      </c>
      <c r="B268" s="143" t="s">
        <v>275</v>
      </c>
      <c r="C268" s="142">
        <v>44</v>
      </c>
      <c r="D268" s="143" t="s">
        <v>318</v>
      </c>
      <c r="E268" s="142">
        <v>457158</v>
      </c>
      <c r="F268" s="143" t="s">
        <v>338</v>
      </c>
      <c r="G268" s="144">
        <v>4.3293466173291888</v>
      </c>
      <c r="H268" s="145">
        <v>5.0815982051286968</v>
      </c>
      <c r="I268" s="146">
        <v>3.8493106403849877</v>
      </c>
      <c r="J268" s="147">
        <v>0.89641301841461229</v>
      </c>
      <c r="K268" s="148">
        <v>192</v>
      </c>
      <c r="M268" s="149">
        <f t="shared" si="32"/>
        <v>0.75749999999999995</v>
      </c>
      <c r="N268" s="138">
        <f t="shared" si="33"/>
        <v>3.8493106403849877</v>
      </c>
      <c r="O268" s="149"/>
      <c r="V268" s="158">
        <f t="shared" si="34"/>
        <v>216.343068572688</v>
      </c>
      <c r="W268" s="158">
        <f t="shared" si="35"/>
        <v>69.050769610433832</v>
      </c>
      <c r="X268" s="158">
        <f t="shared" si="36"/>
        <v>38.747982126792806</v>
      </c>
      <c r="Y268" s="158">
        <f t="shared" si="37"/>
        <v>30.2054836966403</v>
      </c>
      <c r="Z268" s="158">
        <f t="shared" si="38"/>
        <v>15.172649052298972</v>
      </c>
      <c r="AA268" s="158">
        <f t="shared" si="39"/>
        <v>4.94103682619492</v>
      </c>
    </row>
    <row r="269" spans="1:27" ht="19.5" thickBot="1" x14ac:dyDescent="0.35">
      <c r="A269" s="142">
        <v>80</v>
      </c>
      <c r="B269" s="143" t="s">
        <v>339</v>
      </c>
      <c r="C269" s="142">
        <v>57</v>
      </c>
      <c r="D269" s="143" t="s">
        <v>340</v>
      </c>
      <c r="E269" s="142">
        <v>588201</v>
      </c>
      <c r="F269" s="143" t="s">
        <v>341</v>
      </c>
      <c r="G269" s="144">
        <v>3.4371100664698147</v>
      </c>
      <c r="H269" s="145">
        <v>3.4913051278351857</v>
      </c>
      <c r="I269" s="146">
        <v>2.8774173095241657</v>
      </c>
      <c r="J269" s="147">
        <v>0.92256718106145241</v>
      </c>
      <c r="K269" s="148">
        <v>219</v>
      </c>
      <c r="M269" s="149">
        <f t="shared" si="32"/>
        <v>0.82416666666666671</v>
      </c>
      <c r="N269" s="138">
        <f t="shared" si="33"/>
        <v>2.8774173095241657</v>
      </c>
      <c r="O269" s="149"/>
      <c r="V269" s="158">
        <f t="shared" si="34"/>
        <v>162.46937322420121</v>
      </c>
      <c r="W269" s="158">
        <f t="shared" si="35"/>
        <v>54.991586536401492</v>
      </c>
      <c r="X269" s="158">
        <f t="shared" si="36"/>
        <v>32.879931329993731</v>
      </c>
      <c r="Y269" s="158">
        <f t="shared" si="37"/>
        <v>26.646551645343141</v>
      </c>
      <c r="Z269" s="158">
        <f t="shared" si="38"/>
        <v>15.677235485565305</v>
      </c>
      <c r="AA269" s="158">
        <f t="shared" si="39"/>
        <v>8.2113255632053992</v>
      </c>
    </row>
    <row r="270" spans="1:27" ht="19.5" thickBot="1" x14ac:dyDescent="0.35">
      <c r="A270" s="142">
        <v>80</v>
      </c>
      <c r="B270" s="143" t="s">
        <v>339</v>
      </c>
      <c r="C270" s="142">
        <v>57</v>
      </c>
      <c r="D270" s="143" t="s">
        <v>340</v>
      </c>
      <c r="E270" s="142">
        <v>588206</v>
      </c>
      <c r="F270" s="143" t="s">
        <v>342</v>
      </c>
      <c r="G270" s="144">
        <v>2.6865209235209235</v>
      </c>
      <c r="H270" s="145">
        <v>11.166858868414225</v>
      </c>
      <c r="I270" s="146">
        <v>8.3918944396132904</v>
      </c>
      <c r="J270" s="147">
        <v>0.77416969010955228</v>
      </c>
      <c r="K270" s="148">
        <v>52</v>
      </c>
      <c r="M270" s="149">
        <f t="shared" si="32"/>
        <v>0.75150000000000006</v>
      </c>
      <c r="N270" s="138">
        <f t="shared" si="33"/>
        <v>8.3918944396132904</v>
      </c>
      <c r="O270" s="149"/>
      <c r="V270" s="158">
        <f t="shared" si="34"/>
        <v>116.86716694169648</v>
      </c>
      <c r="W270" s="158">
        <f t="shared" si="35"/>
        <v>24.737062699384325</v>
      </c>
      <c r="X270" s="158">
        <f t="shared" si="36"/>
        <v>5.7829219237289839</v>
      </c>
      <c r="Y270" s="158">
        <f t="shared" si="37"/>
        <v>0.43966041987110527</v>
      </c>
      <c r="Z270" s="158">
        <f t="shared" si="38"/>
        <v>-8.963252241540534</v>
      </c>
      <c r="AA270" s="158">
        <f t="shared" si="39"/>
        <v>-15.363040333648778</v>
      </c>
    </row>
    <row r="271" spans="1:27" ht="19.5" thickBot="1" x14ac:dyDescent="0.35">
      <c r="A271" s="142">
        <v>80</v>
      </c>
      <c r="B271" s="143" t="s">
        <v>339</v>
      </c>
      <c r="C271" s="142">
        <v>57</v>
      </c>
      <c r="D271" s="143" t="s">
        <v>340</v>
      </c>
      <c r="E271" s="142">
        <v>588216</v>
      </c>
      <c r="F271" s="143" t="s">
        <v>546</v>
      </c>
      <c r="G271" s="144">
        <v>1</v>
      </c>
      <c r="H271" s="145">
        <v>-1</v>
      </c>
      <c r="I271" s="146">
        <v>-0.215</v>
      </c>
      <c r="J271" s="147">
        <v>1.0057857635097569</v>
      </c>
      <c r="K271" s="148">
        <v>288</v>
      </c>
      <c r="M271" s="149">
        <f t="shared" si="32"/>
        <v>0.215</v>
      </c>
      <c r="N271" s="138">
        <f t="shared" si="33"/>
        <v>-0.215</v>
      </c>
      <c r="O271" s="149"/>
      <c r="V271" s="158">
        <f t="shared" si="34"/>
        <v>197.5432223763238</v>
      </c>
      <c r="W271" s="158">
        <f t="shared" si="35"/>
        <v>77.675608498486241</v>
      </c>
      <c r="X271" s="158">
        <f t="shared" si="36"/>
        <v>53.014965307343672</v>
      </c>
      <c r="Y271" s="158">
        <f t="shared" si="37"/>
        <v>46.063013911432868</v>
      </c>
      <c r="Z271" s="158">
        <f t="shared" si="38"/>
        <v>33.829176627794148</v>
      </c>
      <c r="AA271" s="158">
        <f t="shared" si="39"/>
        <v>25.502611340217943</v>
      </c>
    </row>
    <row r="272" spans="1:27" ht="19.5" thickBot="1" x14ac:dyDescent="0.35">
      <c r="A272" s="142">
        <v>80</v>
      </c>
      <c r="B272" s="143" t="s">
        <v>339</v>
      </c>
      <c r="C272" s="142">
        <v>57</v>
      </c>
      <c r="D272" s="143" t="s">
        <v>340</v>
      </c>
      <c r="E272" s="142">
        <v>488256</v>
      </c>
      <c r="F272" s="143" t="s">
        <v>344</v>
      </c>
      <c r="G272" s="144">
        <v>2.6251377057828655</v>
      </c>
      <c r="H272" s="145">
        <v>3.4283915773919489</v>
      </c>
      <c r="I272" s="146">
        <v>2.5598657111193215</v>
      </c>
      <c r="J272" s="147">
        <v>0.93111266222664169</v>
      </c>
      <c r="K272" s="148">
        <v>229</v>
      </c>
      <c r="M272" s="149">
        <f t="shared" si="32"/>
        <v>0.74666666666666659</v>
      </c>
      <c r="N272" s="138">
        <f t="shared" si="33"/>
        <v>2.5598657111193215</v>
      </c>
      <c r="O272" s="149"/>
      <c r="V272" s="158">
        <f t="shared" si="34"/>
        <v>138.23648066846465</v>
      </c>
      <c r="W272" s="158">
        <f t="shared" si="35"/>
        <v>47.628667982776413</v>
      </c>
      <c r="X272" s="158">
        <f t="shared" si="36"/>
        <v>28.987711792150435</v>
      </c>
      <c r="Y272" s="158">
        <f t="shared" si="37"/>
        <v>23.732738497006217</v>
      </c>
      <c r="Z272" s="158">
        <f t="shared" si="38"/>
        <v>14.485192799193054</v>
      </c>
      <c r="AA272" s="158">
        <f t="shared" si="39"/>
        <v>8.1911502009917179</v>
      </c>
    </row>
    <row r="273" spans="1:27" ht="19.5" thickBot="1" x14ac:dyDescent="0.35">
      <c r="A273" s="142">
        <v>80</v>
      </c>
      <c r="B273" s="143" t="s">
        <v>339</v>
      </c>
      <c r="C273" s="142">
        <v>57</v>
      </c>
      <c r="D273" s="143" t="s">
        <v>340</v>
      </c>
      <c r="E273" s="142">
        <v>488281</v>
      </c>
      <c r="F273" s="143" t="s">
        <v>345</v>
      </c>
      <c r="G273" s="144">
        <v>4.5014537386150302</v>
      </c>
      <c r="H273" s="145">
        <v>2.4436550142986451</v>
      </c>
      <c r="I273" s="146">
        <v>1.647245630093132</v>
      </c>
      <c r="J273" s="147">
        <v>0.95567175042697983</v>
      </c>
      <c r="K273" s="148">
        <v>252</v>
      </c>
      <c r="M273" s="149">
        <f t="shared" si="32"/>
        <v>0.67409090909090907</v>
      </c>
      <c r="N273" s="138">
        <f t="shared" si="33"/>
        <v>1.647245630093132</v>
      </c>
      <c r="O273" s="149"/>
      <c r="V273" s="158">
        <f t="shared" si="34"/>
        <v>269.48722305533977</v>
      </c>
      <c r="W273" s="158">
        <f t="shared" si="35"/>
        <v>97.389691489839151</v>
      </c>
      <c r="X273" s="158">
        <f t="shared" si="36"/>
        <v>61.983665769343084</v>
      </c>
      <c r="Y273" s="158">
        <f t="shared" si="37"/>
        <v>52.002540458724113</v>
      </c>
      <c r="Z273" s="158">
        <f t="shared" si="38"/>
        <v>34.438053021492443</v>
      </c>
      <c r="AA273" s="158">
        <f t="shared" si="39"/>
        <v>22.483353281900872</v>
      </c>
    </row>
    <row r="274" spans="1:27" ht="19.5" thickBot="1" x14ac:dyDescent="0.35">
      <c r="A274" s="142">
        <v>80</v>
      </c>
      <c r="B274" s="143" t="s">
        <v>339</v>
      </c>
      <c r="C274" s="142">
        <v>57</v>
      </c>
      <c r="D274" s="143" t="s">
        <v>340</v>
      </c>
      <c r="E274" s="142">
        <v>488286</v>
      </c>
      <c r="F274" s="143" t="s">
        <v>346</v>
      </c>
      <c r="G274" s="144">
        <v>8.6759634028119379</v>
      </c>
      <c r="H274" s="145">
        <v>8.75983409235773</v>
      </c>
      <c r="I274" s="146">
        <v>6.185480217978653</v>
      </c>
      <c r="J274" s="147">
        <v>0.83354546169533039</v>
      </c>
      <c r="K274" s="148">
        <v>100</v>
      </c>
      <c r="M274" s="149">
        <f t="shared" si="32"/>
        <v>0.70611842105263167</v>
      </c>
      <c r="N274" s="138">
        <f t="shared" si="33"/>
        <v>6.185480217978653</v>
      </c>
      <c r="O274" s="149"/>
      <c r="V274" s="158">
        <f t="shared" si="34"/>
        <v>432.47854867526564</v>
      </c>
      <c r="W274" s="158">
        <f t="shared" si="35"/>
        <v>115.82782120694213</v>
      </c>
      <c r="X274" s="158">
        <f t="shared" si="36"/>
        <v>50.682530050396984</v>
      </c>
      <c r="Y274" s="158">
        <f t="shared" si="37"/>
        <v>32.317765827401203</v>
      </c>
      <c r="Z274" s="158">
        <f t="shared" si="38"/>
        <v>0</v>
      </c>
      <c r="AA274" s="158">
        <f t="shared" si="39"/>
        <v>-21.996041051677121</v>
      </c>
    </row>
    <row r="275" spans="1:27" ht="19.5" thickBot="1" x14ac:dyDescent="0.35">
      <c r="A275" s="142">
        <v>80</v>
      </c>
      <c r="B275" s="143" t="s">
        <v>339</v>
      </c>
      <c r="C275" s="142">
        <v>57</v>
      </c>
      <c r="D275" s="143" t="s">
        <v>340</v>
      </c>
      <c r="E275" s="142">
        <v>488291</v>
      </c>
      <c r="F275" s="143" t="s">
        <v>347</v>
      </c>
      <c r="G275" s="144">
        <v>1.8989247311827957</v>
      </c>
      <c r="H275" s="145">
        <v>6.8459796149490373</v>
      </c>
      <c r="I275" s="146">
        <v>5.1371177802944512</v>
      </c>
      <c r="J275" s="147">
        <v>0.86175744837883284</v>
      </c>
      <c r="K275" s="148">
        <v>130</v>
      </c>
      <c r="M275" s="149">
        <f t="shared" si="32"/>
        <v>0.75038461538461543</v>
      </c>
      <c r="N275" s="138">
        <f t="shared" si="33"/>
        <v>5.1371177802944512</v>
      </c>
      <c r="O275" s="149"/>
      <c r="V275" s="158">
        <f t="shared" si="34"/>
        <v>92.088200129782706</v>
      </c>
      <c r="W275" s="158">
        <f t="shared" si="35"/>
        <v>26.870699749763681</v>
      </c>
      <c r="X275" s="158">
        <f t="shared" si="36"/>
        <v>13.453351604926569</v>
      </c>
      <c r="Y275" s="158">
        <f t="shared" si="37"/>
        <v>9.6709380059810215</v>
      </c>
      <c r="Z275" s="158">
        <f t="shared" si="38"/>
        <v>3.0147590608663353</v>
      </c>
      <c r="AA275" s="158">
        <f t="shared" si="39"/>
        <v>-1.5155536502900637</v>
      </c>
    </row>
    <row r="276" spans="1:27" ht="19.5" thickBot="1" x14ac:dyDescent="0.35">
      <c r="A276" s="142">
        <v>80</v>
      </c>
      <c r="B276" s="143" t="s">
        <v>339</v>
      </c>
      <c r="C276" s="142">
        <v>57</v>
      </c>
      <c r="D276" s="143" t="s">
        <v>340</v>
      </c>
      <c r="E276" s="142">
        <v>488288</v>
      </c>
      <c r="F276" s="143" t="s">
        <v>348</v>
      </c>
      <c r="G276" s="144">
        <v>1.8613756613756598</v>
      </c>
      <c r="H276" s="145">
        <v>21.489482660602633</v>
      </c>
      <c r="I276" s="146">
        <v>14.481225127913598</v>
      </c>
      <c r="J276" s="147">
        <v>0.61030258641089785</v>
      </c>
      <c r="K276" s="148">
        <v>10</v>
      </c>
      <c r="M276" s="149">
        <f t="shared" si="32"/>
        <v>0.673875</v>
      </c>
      <c r="N276" s="138">
        <f t="shared" si="33"/>
        <v>14.481225127913598</v>
      </c>
      <c r="O276" s="149"/>
      <c r="V276" s="158">
        <f t="shared" si="34"/>
        <v>71.186068184406821</v>
      </c>
      <c r="W276" s="158">
        <f t="shared" si="35"/>
        <v>0</v>
      </c>
      <c r="X276" s="158">
        <f t="shared" si="36"/>
        <v>-14.645275490885355</v>
      </c>
      <c r="Y276" s="158">
        <f t="shared" si="37"/>
        <v>-18.773847588669373</v>
      </c>
      <c r="Z276" s="158">
        <f t="shared" si="38"/>
        <v>-26.039185963700312</v>
      </c>
      <c r="AA276" s="158">
        <f t="shared" si="39"/>
        <v>-30.984103319837878</v>
      </c>
    </row>
    <row r="277" spans="1:27" ht="19.5" thickBot="1" x14ac:dyDescent="0.35">
      <c r="A277" s="142">
        <v>80</v>
      </c>
      <c r="B277" s="143" t="s">
        <v>339</v>
      </c>
      <c r="C277" s="142">
        <v>57</v>
      </c>
      <c r="D277" s="143" t="s">
        <v>340</v>
      </c>
      <c r="E277" s="142">
        <v>588336</v>
      </c>
      <c r="F277" s="143" t="s">
        <v>349</v>
      </c>
      <c r="G277" s="144">
        <v>4.0649831649831629</v>
      </c>
      <c r="H277" s="145">
        <v>3.9360556613931936</v>
      </c>
      <c r="I277" s="146">
        <v>2.4514246666114481</v>
      </c>
      <c r="J277" s="147">
        <v>0.93403086798605384</v>
      </c>
      <c r="K277" s="148">
        <v>234</v>
      </c>
      <c r="M277" s="149">
        <f t="shared" si="32"/>
        <v>0.62281249999999988</v>
      </c>
      <c r="N277" s="138">
        <f t="shared" si="33"/>
        <v>2.4514246666114481</v>
      </c>
      <c r="O277" s="149"/>
      <c r="V277" s="158">
        <f t="shared" si="34"/>
        <v>257.42917785151502</v>
      </c>
      <c r="W277" s="158">
        <f t="shared" si="35"/>
        <v>89.223074129088047</v>
      </c>
      <c r="X277" s="158">
        <f t="shared" si="36"/>
        <v>54.617640915921939</v>
      </c>
      <c r="Y277" s="158">
        <f t="shared" si="37"/>
        <v>44.862206401595238</v>
      </c>
      <c r="Z277" s="158">
        <f t="shared" si="38"/>
        <v>27.694882914600399</v>
      </c>
      <c r="AA277" s="158">
        <f t="shared" si="39"/>
        <v>16.010499959910096</v>
      </c>
    </row>
    <row r="278" spans="1:27" ht="19.5" thickBot="1" x14ac:dyDescent="0.35">
      <c r="A278" s="142">
        <v>80</v>
      </c>
      <c r="B278" s="143" t="s">
        <v>339</v>
      </c>
      <c r="C278" s="142">
        <v>57</v>
      </c>
      <c r="D278" s="143" t="s">
        <v>340</v>
      </c>
      <c r="E278" s="142">
        <v>588396</v>
      </c>
      <c r="F278" s="143" t="s">
        <v>350</v>
      </c>
      <c r="G278" s="144">
        <v>2.7843147969375193</v>
      </c>
      <c r="H278" s="145">
        <v>3.9507027050601287</v>
      </c>
      <c r="I278" s="146">
        <v>2.3506681095107766</v>
      </c>
      <c r="J278" s="147">
        <v>0.93674228013229466</v>
      </c>
      <c r="K278" s="148">
        <v>235</v>
      </c>
      <c r="M278" s="149">
        <f t="shared" si="32"/>
        <v>0.59499999999999997</v>
      </c>
      <c r="N278" s="138">
        <f t="shared" si="33"/>
        <v>2.3506681095107766</v>
      </c>
      <c r="O278" s="149"/>
      <c r="V278" s="158">
        <f t="shared" si="34"/>
        <v>185.10434024719825</v>
      </c>
      <c r="W278" s="158">
        <f t="shared" si="35"/>
        <v>64.505900308314082</v>
      </c>
      <c r="X278" s="158">
        <f t="shared" si="36"/>
        <v>39.694902570657987</v>
      </c>
      <c r="Y278" s="158">
        <f t="shared" si="37"/>
        <v>32.700565520349834</v>
      </c>
      <c r="Z278" s="158">
        <f t="shared" si="38"/>
        <v>20.392139222846211</v>
      </c>
      <c r="AA278" s="158">
        <f t="shared" si="39"/>
        <v>12.014807337735421</v>
      </c>
    </row>
    <row r="279" spans="1:27" ht="19.5" thickBot="1" x14ac:dyDescent="0.35">
      <c r="A279" s="142">
        <v>80</v>
      </c>
      <c r="B279" s="143" t="s">
        <v>339</v>
      </c>
      <c r="C279" s="142">
        <v>57</v>
      </c>
      <c r="D279" s="143" t="s">
        <v>340</v>
      </c>
      <c r="E279" s="142">
        <v>488451</v>
      </c>
      <c r="F279" s="143" t="s">
        <v>351</v>
      </c>
      <c r="G279" s="144">
        <v>4.6097894054415791</v>
      </c>
      <c r="H279" s="145">
        <v>1.5185075465132791</v>
      </c>
      <c r="I279" s="146">
        <v>0.68549769242599456</v>
      </c>
      <c r="J279" s="147">
        <v>0.98155289518669353</v>
      </c>
      <c r="K279" s="148">
        <v>271</v>
      </c>
      <c r="M279" s="149">
        <f t="shared" si="32"/>
        <v>0.4514285714285714</v>
      </c>
      <c r="N279" s="138">
        <f t="shared" si="33"/>
        <v>0.68549769242599456</v>
      </c>
      <c r="O279" s="149"/>
      <c r="V279" s="158">
        <f t="shared" si="34"/>
        <v>423.25379509804043</v>
      </c>
      <c r="W279" s="158">
        <f t="shared" si="35"/>
        <v>160.08622957684602</v>
      </c>
      <c r="X279" s="158">
        <f t="shared" si="36"/>
        <v>105.94415380804043</v>
      </c>
      <c r="Y279" s="158">
        <f t="shared" si="37"/>
        <v>90.681247796179136</v>
      </c>
      <c r="Z279" s="158">
        <f t="shared" si="38"/>
        <v>63.822039785257928</v>
      </c>
      <c r="AA279" s="158">
        <f t="shared" si="39"/>
        <v>45.54118939544415</v>
      </c>
    </row>
    <row r="280" spans="1:27" ht="19.5" thickBot="1" x14ac:dyDescent="0.35">
      <c r="A280" s="142">
        <v>80</v>
      </c>
      <c r="B280" s="143" t="s">
        <v>339</v>
      </c>
      <c r="C280" s="142">
        <v>57</v>
      </c>
      <c r="D280" s="143" t="s">
        <v>340</v>
      </c>
      <c r="E280" s="142">
        <v>588501</v>
      </c>
      <c r="F280" s="143" t="s">
        <v>352</v>
      </c>
      <c r="G280" s="144">
        <v>4.6161616161616159</v>
      </c>
      <c r="H280" s="145">
        <v>1.9496717724288841</v>
      </c>
      <c r="I280" s="146">
        <v>1.7222100656455144</v>
      </c>
      <c r="J280" s="147">
        <v>0.95365441788861482</v>
      </c>
      <c r="K280" s="148">
        <v>249</v>
      </c>
      <c r="M280" s="149">
        <f t="shared" si="32"/>
        <v>0.88333333333333341</v>
      </c>
      <c r="N280" s="138">
        <f t="shared" si="33"/>
        <v>1.7222100656455144</v>
      </c>
      <c r="O280" s="149"/>
      <c r="V280" s="158">
        <f t="shared" si="34"/>
        <v>210.446894288105</v>
      </c>
      <c r="W280" s="158">
        <f t="shared" si="35"/>
        <v>75.768879404549523</v>
      </c>
      <c r="X280" s="158">
        <f t="shared" si="36"/>
        <v>48.061257943763778</v>
      </c>
      <c r="Y280" s="158">
        <f t="shared" si="37"/>
        <v>40.250349031182694</v>
      </c>
      <c r="Z280" s="158">
        <f t="shared" si="38"/>
        <v>26.504943859039503</v>
      </c>
      <c r="AA280" s="158">
        <f t="shared" si="39"/>
        <v>17.149578823810231</v>
      </c>
    </row>
    <row r="281" spans="1:27" ht="19.5" thickBot="1" x14ac:dyDescent="0.35">
      <c r="A281" s="142">
        <v>80</v>
      </c>
      <c r="B281" s="143" t="s">
        <v>339</v>
      </c>
      <c r="C281" s="142">
        <v>57</v>
      </c>
      <c r="D281" s="143" t="s">
        <v>340</v>
      </c>
      <c r="E281" s="142">
        <v>488561</v>
      </c>
      <c r="F281" s="143" t="s">
        <v>353</v>
      </c>
      <c r="G281" s="144">
        <v>6.39810303448564</v>
      </c>
      <c r="H281" s="145">
        <v>9.3777795819481593</v>
      </c>
      <c r="I281" s="146">
        <v>5.2515565658909695</v>
      </c>
      <c r="J281" s="147">
        <v>0.85867784024020399</v>
      </c>
      <c r="K281" s="148">
        <v>127</v>
      </c>
      <c r="M281" s="149">
        <f t="shared" si="32"/>
        <v>0.56000000000000005</v>
      </c>
      <c r="N281" s="138">
        <f t="shared" si="33"/>
        <v>5.2515565658909695</v>
      </c>
      <c r="O281" s="149"/>
      <c r="V281" s="158">
        <f t="shared" si="34"/>
        <v>414.27484889506616</v>
      </c>
      <c r="W281" s="158">
        <f t="shared" si="35"/>
        <v>119.83029714686219</v>
      </c>
      <c r="X281" s="158">
        <f t="shared" si="36"/>
        <v>59.253534205384256</v>
      </c>
      <c r="Y281" s="158">
        <f t="shared" si="37"/>
        <v>42.176659590774754</v>
      </c>
      <c r="Z281" s="158">
        <f t="shared" si="38"/>
        <v>12.125283588474264</v>
      </c>
      <c r="AA281" s="158">
        <f t="shared" si="39"/>
        <v>-8.3282126010901738</v>
      </c>
    </row>
    <row r="282" spans="1:27" ht="19.5" thickBot="1" x14ac:dyDescent="0.35">
      <c r="A282" s="142">
        <v>80</v>
      </c>
      <c r="B282" s="143" t="s">
        <v>339</v>
      </c>
      <c r="C282" s="142">
        <v>57</v>
      </c>
      <c r="D282" s="143" t="s">
        <v>340</v>
      </c>
      <c r="E282" s="142">
        <v>588631</v>
      </c>
      <c r="F282" s="143" t="s">
        <v>354</v>
      </c>
      <c r="G282" s="144">
        <v>5.0444772766063091</v>
      </c>
      <c r="H282" s="145">
        <v>-0.3964731904482891</v>
      </c>
      <c r="I282" s="146">
        <v>0.1040742124926759</v>
      </c>
      <c r="J282" s="147">
        <v>0.9971993079955962</v>
      </c>
      <c r="K282" s="148">
        <v>282</v>
      </c>
      <c r="M282" s="149">
        <f t="shared" si="32"/>
        <v>-0.26250000000000001</v>
      </c>
      <c r="N282" s="138">
        <f t="shared" si="33"/>
        <v>0.1040742124926759</v>
      </c>
      <c r="O282" s="149"/>
      <c r="V282" s="158">
        <f t="shared" si="34"/>
        <v>-809.21502973649604</v>
      </c>
      <c r="W282" s="158">
        <f t="shared" si="35"/>
        <v>-313.96195279298894</v>
      </c>
      <c r="X282" s="158">
        <f t="shared" si="36"/>
        <v>-212.072384587632</v>
      </c>
      <c r="Y282" s="158">
        <f t="shared" si="37"/>
        <v>-183.34923570527059</v>
      </c>
      <c r="Z282" s="158">
        <f t="shared" si="38"/>
        <v>-132.80309266013487</v>
      </c>
      <c r="AA282" s="158">
        <f t="shared" si="39"/>
        <v>-98.400496782604336</v>
      </c>
    </row>
    <row r="283" spans="1:27" ht="19.5" thickBot="1" x14ac:dyDescent="0.35">
      <c r="A283" s="142">
        <v>80</v>
      </c>
      <c r="B283" s="143" t="s">
        <v>339</v>
      </c>
      <c r="C283" s="142">
        <v>57</v>
      </c>
      <c r="D283" s="143" t="s">
        <v>340</v>
      </c>
      <c r="E283" s="142">
        <v>488706</v>
      </c>
      <c r="F283" s="143" t="s">
        <v>355</v>
      </c>
      <c r="G283" s="144">
        <v>3.2630691802820828</v>
      </c>
      <c r="H283" s="145">
        <v>2.4516795562723628</v>
      </c>
      <c r="I283" s="146">
        <v>2.5267622426832039</v>
      </c>
      <c r="J283" s="147">
        <v>0.93200349403931182</v>
      </c>
      <c r="K283" s="148">
        <v>232</v>
      </c>
      <c r="M283" s="149">
        <f t="shared" si="32"/>
        <v>1.0306250000000001</v>
      </c>
      <c r="N283" s="138">
        <f t="shared" si="33"/>
        <v>2.5267622426832039</v>
      </c>
      <c r="O283" s="149"/>
      <c r="V283" s="158">
        <f t="shared" si="34"/>
        <v>124.60580021007993</v>
      </c>
      <c r="W283" s="158">
        <f t="shared" si="35"/>
        <v>43.010352729060386</v>
      </c>
      <c r="X283" s="158">
        <f t="shared" si="36"/>
        <v>26.223531407983991</v>
      </c>
      <c r="Y283" s="158">
        <f t="shared" si="37"/>
        <v>21.491247460180141</v>
      </c>
      <c r="Z283" s="158">
        <f t="shared" si="38"/>
        <v>13.163514928640653</v>
      </c>
      <c r="AA283" s="158">
        <f t="shared" si="39"/>
        <v>7.4955133839354939</v>
      </c>
    </row>
    <row r="284" spans="1:27" ht="19.5" thickBot="1" x14ac:dyDescent="0.35">
      <c r="A284" s="142">
        <v>80</v>
      </c>
      <c r="B284" s="143" t="s">
        <v>339</v>
      </c>
      <c r="C284" s="142">
        <v>57</v>
      </c>
      <c r="D284" s="143" t="s">
        <v>340</v>
      </c>
      <c r="E284" s="142">
        <v>588716</v>
      </c>
      <c r="F284" s="143" t="s">
        <v>356</v>
      </c>
      <c r="G284" s="144">
        <v>2.6091871091871091</v>
      </c>
      <c r="H284" s="145">
        <v>16.480228592497006</v>
      </c>
      <c r="I284" s="146">
        <v>9.7444142317264273</v>
      </c>
      <c r="J284" s="147">
        <v>0.73777266843777478</v>
      </c>
      <c r="K284" s="148">
        <v>31</v>
      </c>
      <c r="M284" s="149">
        <f t="shared" si="32"/>
        <v>0.59127906976744182</v>
      </c>
      <c r="N284" s="138">
        <f t="shared" si="33"/>
        <v>9.7444142317264273</v>
      </c>
      <c r="O284" s="149"/>
      <c r="V284" s="158">
        <f t="shared" si="34"/>
        <v>137.47710879259947</v>
      </c>
      <c r="W284" s="158">
        <f t="shared" si="35"/>
        <v>23.752870070014751</v>
      </c>
      <c r="X284" s="158">
        <f t="shared" si="36"/>
        <v>0.35611774807242152</v>
      </c>
      <c r="Y284" s="158">
        <f t="shared" si="37"/>
        <v>-6.2395368625391452</v>
      </c>
      <c r="Z284" s="158">
        <f t="shared" si="38"/>
        <v>-17.846373661307048</v>
      </c>
      <c r="AA284" s="158">
        <f t="shared" si="39"/>
        <v>-25.746191367435451</v>
      </c>
    </row>
    <row r="285" spans="1:27" ht="19.5" thickBot="1" x14ac:dyDescent="0.35">
      <c r="A285" s="142">
        <v>80</v>
      </c>
      <c r="B285" s="143" t="s">
        <v>339</v>
      </c>
      <c r="C285" s="142">
        <v>55</v>
      </c>
      <c r="D285" s="143" t="s">
        <v>357</v>
      </c>
      <c r="E285" s="142">
        <v>588186</v>
      </c>
      <c r="F285" s="143" t="s">
        <v>358</v>
      </c>
      <c r="G285" s="144">
        <v>2.567366041366042</v>
      </c>
      <c r="H285" s="145">
        <v>8.5690936335257657</v>
      </c>
      <c r="I285" s="146">
        <v>5.8425638410402954</v>
      </c>
      <c r="J285" s="147">
        <v>0.84277352244225134</v>
      </c>
      <c r="K285" s="148">
        <v>109</v>
      </c>
      <c r="M285" s="149">
        <f t="shared" si="32"/>
        <v>0.68181818181818188</v>
      </c>
      <c r="N285" s="138">
        <f t="shared" si="33"/>
        <v>5.8425638410402954</v>
      </c>
      <c r="O285" s="149"/>
      <c r="V285" s="158">
        <f t="shared" si="34"/>
        <v>134.00629708388394</v>
      </c>
      <c r="W285" s="158">
        <f t="shared" si="35"/>
        <v>36.964342717969977</v>
      </c>
      <c r="X285" s="158">
        <f t="shared" si="36"/>
        <v>16.999675584211246</v>
      </c>
      <c r="Y285" s="158">
        <f t="shared" si="37"/>
        <v>11.371541943346623</v>
      </c>
      <c r="Z285" s="158">
        <f t="shared" si="38"/>
        <v>1.4673197686330277</v>
      </c>
      <c r="AA285" s="158">
        <f t="shared" si="39"/>
        <v>-5.2736684142573864</v>
      </c>
    </row>
    <row r="286" spans="1:27" ht="19.5" thickBot="1" x14ac:dyDescent="0.35">
      <c r="A286" s="142">
        <v>80</v>
      </c>
      <c r="B286" s="143" t="s">
        <v>339</v>
      </c>
      <c r="C286" s="142">
        <v>55</v>
      </c>
      <c r="D286" s="143" t="s">
        <v>357</v>
      </c>
      <c r="E286" s="142">
        <v>488246</v>
      </c>
      <c r="F286" s="143" t="s">
        <v>359</v>
      </c>
      <c r="G286" s="144">
        <v>2.927814375640462</v>
      </c>
      <c r="H286" s="145">
        <v>6.1479307396536997</v>
      </c>
      <c r="I286" s="146">
        <v>5.6629273146365735</v>
      </c>
      <c r="J286" s="147">
        <v>0.84760763620730317</v>
      </c>
      <c r="K286" s="148">
        <v>112</v>
      </c>
      <c r="M286" s="149">
        <f t="shared" si="32"/>
        <v>0.92111111111111099</v>
      </c>
      <c r="N286" s="138">
        <f t="shared" si="33"/>
        <v>5.6629273146365735</v>
      </c>
      <c r="O286" s="149"/>
      <c r="V286" s="158">
        <f t="shared" si="34"/>
        <v>113.76835748808676</v>
      </c>
      <c r="W286" s="158">
        <f t="shared" si="35"/>
        <v>31.851772666619411</v>
      </c>
      <c r="X286" s="158">
        <f t="shared" si="36"/>
        <v>14.99888301305575</v>
      </c>
      <c r="Y286" s="158">
        <f t="shared" si="37"/>
        <v>10.247974091332921</v>
      </c>
      <c r="Z286" s="158">
        <f t="shared" si="38"/>
        <v>1.8874658846828614</v>
      </c>
      <c r="AA286" s="158">
        <f t="shared" si="39"/>
        <v>-3.8028433622031601</v>
      </c>
    </row>
    <row r="287" spans="1:27" ht="19.5" thickBot="1" x14ac:dyDescent="0.35">
      <c r="A287" s="142">
        <v>80</v>
      </c>
      <c r="B287" s="143" t="s">
        <v>339</v>
      </c>
      <c r="C287" s="142">
        <v>55</v>
      </c>
      <c r="D287" s="143" t="s">
        <v>357</v>
      </c>
      <c r="E287" s="142">
        <v>588316</v>
      </c>
      <c r="F287" s="143" t="s">
        <v>360</v>
      </c>
      <c r="G287" s="144">
        <v>3.9837235643687254</v>
      </c>
      <c r="H287" s="145">
        <v>5.5224715381289755</v>
      </c>
      <c r="I287" s="146">
        <v>3.6561271796749328</v>
      </c>
      <c r="J287" s="147">
        <v>0.90161168733398334</v>
      </c>
      <c r="K287" s="148">
        <v>197</v>
      </c>
      <c r="M287" s="149">
        <f t="shared" si="32"/>
        <v>0.66204545454545449</v>
      </c>
      <c r="N287" s="138">
        <f t="shared" si="33"/>
        <v>3.6561271796749328</v>
      </c>
      <c r="O287" s="149"/>
      <c r="V287" s="158">
        <f t="shared" si="34"/>
        <v>229.09522048481077</v>
      </c>
      <c r="W287" s="158">
        <f t="shared" si="35"/>
        <v>74.020250228283416</v>
      </c>
      <c r="X287" s="158">
        <f t="shared" si="36"/>
        <v>42.116315665351905</v>
      </c>
      <c r="Y287" s="158">
        <f t="shared" si="37"/>
        <v>33.12244633677409</v>
      </c>
      <c r="Z287" s="158">
        <f t="shared" si="38"/>
        <v>17.295302611222386</v>
      </c>
      <c r="AA287" s="158">
        <f t="shared" si="39"/>
        <v>6.5230696240380732</v>
      </c>
    </row>
    <row r="288" spans="1:27" ht="19.5" thickBot="1" x14ac:dyDescent="0.35">
      <c r="A288" s="142">
        <v>80</v>
      </c>
      <c r="B288" s="143" t="s">
        <v>339</v>
      </c>
      <c r="C288" s="142">
        <v>55</v>
      </c>
      <c r="D288" s="143" t="s">
        <v>357</v>
      </c>
      <c r="E288" s="142">
        <v>488326</v>
      </c>
      <c r="F288" s="143" t="s">
        <v>361</v>
      </c>
      <c r="G288" s="144">
        <v>5.0138817773226396</v>
      </c>
      <c r="H288" s="145">
        <v>11.966775976125902</v>
      </c>
      <c r="I288" s="146">
        <v>8.3727542579627556</v>
      </c>
      <c r="J288" s="147">
        <v>0.77468476250287222</v>
      </c>
      <c r="K288" s="148">
        <v>53</v>
      </c>
      <c r="M288" s="149">
        <f t="shared" si="32"/>
        <v>0.69966666666666666</v>
      </c>
      <c r="N288" s="138">
        <f t="shared" si="33"/>
        <v>8.3727542579627556</v>
      </c>
      <c r="O288" s="149"/>
      <c r="V288" s="158">
        <f t="shared" si="34"/>
        <v>234.42451656590305</v>
      </c>
      <c r="W288" s="158">
        <f t="shared" si="35"/>
        <v>49.743087805046834</v>
      </c>
      <c r="X288" s="158">
        <f t="shared" si="36"/>
        <v>11.748147625930166</v>
      </c>
      <c r="Y288" s="158">
        <f t="shared" si="37"/>
        <v>1.0371951431243249</v>
      </c>
      <c r="Z288" s="158">
        <f t="shared" si="38"/>
        <v>-17.81162044331797</v>
      </c>
      <c r="AA288" s="158">
        <f t="shared" si="39"/>
        <v>-30.640456558695437</v>
      </c>
    </row>
    <row r="289" spans="1:27" ht="19.5" thickBot="1" x14ac:dyDescent="0.35">
      <c r="A289" s="142">
        <v>80</v>
      </c>
      <c r="B289" s="143" t="s">
        <v>339</v>
      </c>
      <c r="C289" s="142">
        <v>55</v>
      </c>
      <c r="D289" s="143" t="s">
        <v>357</v>
      </c>
      <c r="E289" s="142">
        <v>488346</v>
      </c>
      <c r="F289" s="143" t="s">
        <v>362</v>
      </c>
      <c r="G289" s="144">
        <v>1.8723945526189556</v>
      </c>
      <c r="H289" s="145">
        <v>21.897094254334633</v>
      </c>
      <c r="I289" s="146">
        <v>15.071609752617643</v>
      </c>
      <c r="J289" s="147">
        <v>0.59441502446515748</v>
      </c>
      <c r="K289" s="148">
        <v>9</v>
      </c>
      <c r="M289" s="149">
        <f t="shared" si="32"/>
        <v>0.68829268292682932</v>
      </c>
      <c r="N289" s="138">
        <f t="shared" si="33"/>
        <v>15.071609752617643</v>
      </c>
      <c r="O289" s="149"/>
      <c r="V289" s="158">
        <f t="shared" si="34"/>
        <v>68.282451366957787</v>
      </c>
      <c r="W289" s="158">
        <f t="shared" si="35"/>
        <v>-1.8250576301897214</v>
      </c>
      <c r="X289" s="158">
        <f t="shared" si="36"/>
        <v>-16.248438629168053</v>
      </c>
      <c r="Y289" s="158">
        <f t="shared" si="37"/>
        <v>-20.314457625201992</v>
      </c>
      <c r="Z289" s="158">
        <f t="shared" si="38"/>
        <v>-27.469716912388972</v>
      </c>
      <c r="AA289" s="158">
        <f t="shared" si="39"/>
        <v>-32.339712501097495</v>
      </c>
    </row>
    <row r="290" spans="1:27" ht="19.5" thickBot="1" x14ac:dyDescent="0.35">
      <c r="A290" s="142">
        <v>80</v>
      </c>
      <c r="B290" s="143" t="s">
        <v>339</v>
      </c>
      <c r="C290" s="142">
        <v>55</v>
      </c>
      <c r="D290" s="143" t="s">
        <v>357</v>
      </c>
      <c r="E290" s="142">
        <v>588386</v>
      </c>
      <c r="F290" s="143" t="s">
        <v>363</v>
      </c>
      <c r="G290" s="144">
        <v>2.0195966230448992</v>
      </c>
      <c r="H290" s="145">
        <v>8.4175224923725072</v>
      </c>
      <c r="I290" s="146">
        <v>5.2560000739137749</v>
      </c>
      <c r="J290" s="147">
        <v>0.85855826309334971</v>
      </c>
      <c r="K290" s="148">
        <v>126</v>
      </c>
      <c r="M290" s="149">
        <f t="shared" si="32"/>
        <v>0.62441176470588244</v>
      </c>
      <c r="N290" s="138">
        <f t="shared" si="33"/>
        <v>5.2560000739137749</v>
      </c>
      <c r="O290" s="149"/>
      <c r="V290" s="158">
        <f t="shared" si="34"/>
        <v>117.26230878291685</v>
      </c>
      <c r="W290" s="158">
        <f t="shared" si="35"/>
        <v>33.906882115797011</v>
      </c>
      <c r="X290" s="158">
        <f t="shared" si="36"/>
        <v>16.757976180468674</v>
      </c>
      <c r="Y290" s="158">
        <f t="shared" si="37"/>
        <v>11.923618875535574</v>
      </c>
      <c r="Z290" s="158">
        <f t="shared" si="38"/>
        <v>3.416260686249319</v>
      </c>
      <c r="AA290" s="158">
        <f t="shared" si="39"/>
        <v>-2.3739972471812769</v>
      </c>
    </row>
    <row r="291" spans="1:27" ht="19.5" thickBot="1" x14ac:dyDescent="0.35">
      <c r="A291" s="142">
        <v>80</v>
      </c>
      <c r="B291" s="143" t="s">
        <v>339</v>
      </c>
      <c r="C291" s="142">
        <v>55</v>
      </c>
      <c r="D291" s="143" t="s">
        <v>357</v>
      </c>
      <c r="E291" s="142">
        <v>588461</v>
      </c>
      <c r="F291" s="143" t="s">
        <v>364</v>
      </c>
      <c r="G291" s="144">
        <v>2.8940228847615943</v>
      </c>
      <c r="H291" s="145">
        <v>10.020653310206626</v>
      </c>
      <c r="I291" s="146">
        <v>5.6115658537157103</v>
      </c>
      <c r="J291" s="147">
        <v>0.84898980023708792</v>
      </c>
      <c r="K291" s="148">
        <v>116</v>
      </c>
      <c r="M291" s="149">
        <f t="shared" si="32"/>
        <v>0.55999999999999994</v>
      </c>
      <c r="N291" s="138">
        <f t="shared" si="33"/>
        <v>5.6115658537157103</v>
      </c>
      <c r="O291" s="149"/>
      <c r="V291" s="158">
        <f t="shared" si="34"/>
        <v>185.27273658524066</v>
      </c>
      <c r="W291" s="158">
        <f t="shared" si="35"/>
        <v>52.088061930938721</v>
      </c>
      <c r="X291" s="158">
        <f t="shared" si="36"/>
        <v>24.687668831219145</v>
      </c>
      <c r="Y291" s="158">
        <f t="shared" si="37"/>
        <v>16.963369039779895</v>
      </c>
      <c r="Z291" s="158">
        <f t="shared" si="38"/>
        <v>3.3703760228700443</v>
      </c>
      <c r="AA291" s="158">
        <f t="shared" si="39"/>
        <v>-5.88125461310677</v>
      </c>
    </row>
    <row r="292" spans="1:27" ht="19.5" thickBot="1" x14ac:dyDescent="0.35">
      <c r="A292" s="142">
        <v>80</v>
      </c>
      <c r="B292" s="143" t="s">
        <v>339</v>
      </c>
      <c r="C292" s="142">
        <v>55</v>
      </c>
      <c r="D292" s="143" t="s">
        <v>357</v>
      </c>
      <c r="E292" s="142">
        <v>588551</v>
      </c>
      <c r="F292" s="143" t="s">
        <v>365</v>
      </c>
      <c r="G292" s="144">
        <v>3.7017378756509185</v>
      </c>
      <c r="H292" s="145">
        <v>3.782007389580015</v>
      </c>
      <c r="I292" s="146">
        <v>3.0458666655367619</v>
      </c>
      <c r="J292" s="147">
        <v>0.91803411995791873</v>
      </c>
      <c r="K292" s="148">
        <v>214</v>
      </c>
      <c r="M292" s="149">
        <f t="shared" si="32"/>
        <v>0.80535714285714277</v>
      </c>
      <c r="N292" s="138">
        <f t="shared" si="33"/>
        <v>3.0458666655367619</v>
      </c>
      <c r="O292" s="149"/>
      <c r="V292" s="158">
        <f t="shared" si="34"/>
        <v>178.18497482805711</v>
      </c>
      <c r="W292" s="158">
        <f t="shared" si="35"/>
        <v>59.728864501668838</v>
      </c>
      <c r="X292" s="158">
        <f t="shared" si="36"/>
        <v>35.358613221395501</v>
      </c>
      <c r="Y292" s="158">
        <f t="shared" si="37"/>
        <v>28.488524672065019</v>
      </c>
      <c r="Z292" s="158">
        <f t="shared" si="38"/>
        <v>16.398747190862238</v>
      </c>
      <c r="AA292" s="158">
        <f t="shared" si="39"/>
        <v>8.1702315440068851</v>
      </c>
    </row>
    <row r="293" spans="1:27" ht="19.5" thickBot="1" x14ac:dyDescent="0.35">
      <c r="A293" s="142">
        <v>80</v>
      </c>
      <c r="B293" s="143" t="s">
        <v>339</v>
      </c>
      <c r="C293" s="142">
        <v>55</v>
      </c>
      <c r="D293" s="143" t="s">
        <v>357</v>
      </c>
      <c r="E293" s="142">
        <v>488556</v>
      </c>
      <c r="F293" s="143" t="s">
        <v>366</v>
      </c>
      <c r="G293" s="144">
        <v>3.4620816408930022</v>
      </c>
      <c r="H293" s="145">
        <v>8.0876197918827053</v>
      </c>
      <c r="I293" s="146">
        <v>5.4836950624604706</v>
      </c>
      <c r="J293" s="147">
        <v>0.85243087073945212</v>
      </c>
      <c r="K293" s="148">
        <v>121</v>
      </c>
      <c r="M293" s="149">
        <f t="shared" si="32"/>
        <v>0.67803571428571441</v>
      </c>
      <c r="N293" s="138">
        <f t="shared" si="33"/>
        <v>5.4836950624604706</v>
      </c>
      <c r="O293" s="149"/>
      <c r="V293" s="158">
        <f t="shared" si="34"/>
        <v>183.79725196271198</v>
      </c>
      <c r="W293" s="158">
        <f t="shared" si="35"/>
        <v>52.206595056124819</v>
      </c>
      <c r="X293" s="158">
        <f t="shared" si="36"/>
        <v>25.134142937668166</v>
      </c>
      <c r="Y293" s="158">
        <f t="shared" si="37"/>
        <v>17.502291252500775</v>
      </c>
      <c r="Z293" s="158">
        <f t="shared" si="38"/>
        <v>4.0719856631779097</v>
      </c>
      <c r="AA293" s="158">
        <f t="shared" si="39"/>
        <v>-5.0689170420716847</v>
      </c>
    </row>
    <row r="294" spans="1:27" ht="19.5" thickBot="1" x14ac:dyDescent="0.35">
      <c r="A294" s="150">
        <v>80</v>
      </c>
      <c r="B294" s="151" t="s">
        <v>339</v>
      </c>
      <c r="C294" s="150">
        <v>55</v>
      </c>
      <c r="D294" s="151" t="s">
        <v>357</v>
      </c>
      <c r="E294" s="150">
        <v>488586</v>
      </c>
      <c r="F294" s="151" t="s">
        <v>357</v>
      </c>
      <c r="G294" s="144">
        <v>10.277247068561795</v>
      </c>
      <c r="H294" s="145">
        <v>6.1300462643072624</v>
      </c>
      <c r="I294" s="146">
        <v>4.0691830916401548</v>
      </c>
      <c r="J294" s="147">
        <v>0.89049613466915667</v>
      </c>
      <c r="K294" s="148">
        <v>183</v>
      </c>
      <c r="M294" s="149">
        <f t="shared" si="32"/>
        <v>0.66380952380952396</v>
      </c>
      <c r="N294" s="138">
        <f t="shared" si="33"/>
        <v>4.0691830916401548</v>
      </c>
      <c r="O294" s="149"/>
      <c r="V294" s="158">
        <f t="shared" si="34"/>
        <v>582.18426929765224</v>
      </c>
      <c r="W294" s="158">
        <f t="shared" si="35"/>
        <v>183.18358699586716</v>
      </c>
      <c r="X294" s="158">
        <f t="shared" si="36"/>
        <v>101.09624796453588</v>
      </c>
      <c r="Y294" s="158">
        <f t="shared" si="37"/>
        <v>77.955440697577203</v>
      </c>
      <c r="Z294" s="158">
        <f t="shared" si="38"/>
        <v>37.232936382811857</v>
      </c>
      <c r="AA294" s="158">
        <f t="shared" si="39"/>
        <v>9.5164821755964155</v>
      </c>
    </row>
    <row r="295" spans="1:27" ht="19.5" thickBot="1" x14ac:dyDescent="0.35">
      <c r="A295" s="150">
        <v>80</v>
      </c>
      <c r="B295" s="151" t="s">
        <v>339</v>
      </c>
      <c r="C295" s="150">
        <v>55</v>
      </c>
      <c r="D295" s="151" t="s">
        <v>357</v>
      </c>
      <c r="E295" s="150">
        <v>588587</v>
      </c>
      <c r="F295" s="151" t="s">
        <v>367</v>
      </c>
      <c r="G295" s="144">
        <v>3.9912457912457913</v>
      </c>
      <c r="H295" s="145">
        <v>11.024126877003543</v>
      </c>
      <c r="I295" s="146">
        <v>6.490454698835836</v>
      </c>
      <c r="J295" s="147">
        <v>0.82533843740346746</v>
      </c>
      <c r="K295" s="148">
        <v>92</v>
      </c>
      <c r="M295" s="149">
        <f t="shared" si="32"/>
        <v>0.58875</v>
      </c>
      <c r="N295" s="138">
        <f t="shared" si="33"/>
        <v>6.490454698835836</v>
      </c>
      <c r="O295" s="149"/>
      <c r="V295" s="158">
        <f t="shared" si="34"/>
        <v>236.26790724127318</v>
      </c>
      <c r="W295" s="158">
        <f t="shared" si="35"/>
        <v>61.557863045489178</v>
      </c>
      <c r="X295" s="158">
        <f t="shared" si="36"/>
        <v>25.614359021024928</v>
      </c>
      <c r="Y295" s="158">
        <f t="shared" si="37"/>
        <v>15.481716046548541</v>
      </c>
      <c r="Z295" s="158">
        <f t="shared" si="38"/>
        <v>-2.3494076687099055</v>
      </c>
      <c r="AA295" s="158">
        <f t="shared" si="39"/>
        <v>-14.485584758829559</v>
      </c>
    </row>
    <row r="296" spans="1:27" ht="19.5" thickBot="1" x14ac:dyDescent="0.35">
      <c r="A296" s="150">
        <v>80</v>
      </c>
      <c r="B296" s="151" t="s">
        <v>339</v>
      </c>
      <c r="C296" s="150">
        <v>55</v>
      </c>
      <c r="D296" s="151" t="s">
        <v>357</v>
      </c>
      <c r="E296" s="150">
        <v>488616</v>
      </c>
      <c r="F296" s="151" t="s">
        <v>368</v>
      </c>
      <c r="G296" s="144">
        <v>1.8887926887926878</v>
      </c>
      <c r="H296" s="145">
        <v>7.4121422023021326</v>
      </c>
      <c r="I296" s="146">
        <v>4.3122784455536332</v>
      </c>
      <c r="J296" s="147">
        <v>0.88395431035257988</v>
      </c>
      <c r="K296" s="148">
        <v>168</v>
      </c>
      <c r="M296" s="149">
        <f t="shared" si="32"/>
        <v>0.58178571428571424</v>
      </c>
      <c r="N296" s="138">
        <f t="shared" si="33"/>
        <v>4.3122784455536332</v>
      </c>
      <c r="O296" s="149"/>
      <c r="V296" s="158">
        <f t="shared" si="34"/>
        <v>121.1842467015282</v>
      </c>
      <c r="W296" s="158">
        <f t="shared" si="35"/>
        <v>37.515828178064943</v>
      </c>
      <c r="X296" s="158">
        <f t="shared" si="36"/>
        <v>20.302529699652489</v>
      </c>
      <c r="Y296" s="158">
        <f t="shared" si="37"/>
        <v>15.45001983372128</v>
      </c>
      <c r="Z296" s="158">
        <f t="shared" si="38"/>
        <v>6.9107173075308808</v>
      </c>
      <c r="AA296" s="158">
        <f t="shared" si="39"/>
        <v>1.098717495355797</v>
      </c>
    </row>
    <row r="297" spans="1:27" ht="18.75" x14ac:dyDescent="0.3">
      <c r="A297" s="150">
        <v>80</v>
      </c>
      <c r="B297" s="151" t="s">
        <v>339</v>
      </c>
      <c r="C297" s="150">
        <v>55</v>
      </c>
      <c r="D297" s="151" t="s">
        <v>357</v>
      </c>
      <c r="E297" s="150">
        <v>588666</v>
      </c>
      <c r="F297" s="151" t="s">
        <v>369</v>
      </c>
      <c r="G297" s="152">
        <v>3.20739114918638</v>
      </c>
      <c r="H297" s="153">
        <v>17.147892926608552</v>
      </c>
      <c r="I297" s="154">
        <v>11.202250779146278</v>
      </c>
      <c r="J297" s="155">
        <v>0.69854151727846447</v>
      </c>
      <c r="K297" s="156">
        <v>22</v>
      </c>
      <c r="M297" s="149">
        <f t="shared" si="32"/>
        <v>0.65327272727272723</v>
      </c>
      <c r="N297" s="138">
        <f t="shared" si="33"/>
        <v>11.202250779146278</v>
      </c>
      <c r="O297" s="149"/>
      <c r="V297" s="158">
        <f t="shared" si="34"/>
        <v>144.82539829616519</v>
      </c>
      <c r="W297" s="158">
        <f t="shared" si="35"/>
        <v>18.29417148734602</v>
      </c>
      <c r="X297" s="158">
        <f t="shared" si="36"/>
        <v>-7.7373923014343582</v>
      </c>
      <c r="Y297" s="158">
        <f t="shared" si="37"/>
        <v>-15.075812666891506</v>
      </c>
      <c r="Z297" s="158">
        <f t="shared" si="38"/>
        <v>-27.989746547780108</v>
      </c>
      <c r="AA297" s="158">
        <f t="shared" si="39"/>
        <v>-36.779197566755812</v>
      </c>
    </row>
  </sheetData>
  <mergeCells count="3">
    <mergeCell ref="A1:K1"/>
    <mergeCell ref="M1:T1"/>
    <mergeCell ref="V1:AA1"/>
  </mergeCell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79998168889431442"/>
  </sheetPr>
  <dimension ref="A1:AA297"/>
  <sheetViews>
    <sheetView workbookViewId="0">
      <selection sqref="A1:XFD1048576"/>
    </sheetView>
  </sheetViews>
  <sheetFormatPr baseColWidth="10" defaultRowHeight="15" x14ac:dyDescent="0.25"/>
  <cols>
    <col min="1" max="1" width="5.5703125" bestFit="1" customWidth="1"/>
    <col min="2" max="2" width="35.28515625" bestFit="1" customWidth="1"/>
    <col min="3" max="3" width="7" bestFit="1" customWidth="1"/>
    <col min="4" max="4" width="31.28515625" bestFit="1" customWidth="1"/>
    <col min="5" max="5" width="9.85546875" bestFit="1" customWidth="1"/>
    <col min="6" max="6" width="40.85546875" bestFit="1" customWidth="1"/>
    <col min="7" max="8" width="8.42578125" bestFit="1" customWidth="1"/>
    <col min="9" max="9" width="9.5703125" bestFit="1" customWidth="1"/>
    <col min="10" max="10" width="9.85546875" bestFit="1" customWidth="1"/>
    <col min="11" max="11" width="5.28515625" bestFit="1" customWidth="1"/>
  </cols>
  <sheetData>
    <row r="1" spans="1:27" x14ac:dyDescent="0.25">
      <c r="A1" s="313" t="s">
        <v>445</v>
      </c>
      <c r="B1" s="313"/>
      <c r="C1" s="313"/>
      <c r="D1" s="313"/>
      <c r="E1" s="313"/>
      <c r="F1" s="313"/>
      <c r="G1" s="313"/>
      <c r="H1" s="313"/>
      <c r="I1" s="313"/>
      <c r="J1" s="313"/>
      <c r="K1" s="313"/>
      <c r="M1" s="314" t="s">
        <v>446</v>
      </c>
      <c r="N1" s="314"/>
      <c r="O1" s="314"/>
      <c r="P1" s="314"/>
      <c r="Q1" s="314"/>
      <c r="R1" s="314"/>
      <c r="S1" s="314"/>
      <c r="T1" s="314"/>
      <c r="V1" s="315" t="s">
        <v>547</v>
      </c>
      <c r="W1" s="315"/>
      <c r="X1" s="315"/>
      <c r="Y1" s="315"/>
      <c r="Z1" s="315"/>
      <c r="AA1" s="315"/>
    </row>
    <row r="2" spans="1:27" x14ac:dyDescent="0.25">
      <c r="M2" t="s">
        <v>548</v>
      </c>
      <c r="N2" t="s">
        <v>549</v>
      </c>
      <c r="O2" t="s">
        <v>550</v>
      </c>
      <c r="Q2" t="s">
        <v>448</v>
      </c>
      <c r="T2">
        <f>'[1]CA UC'!O2</f>
        <v>44</v>
      </c>
    </row>
    <row r="3" spans="1:27" ht="15.75" thickBot="1" x14ac:dyDescent="0.3">
      <c r="M3" s="104">
        <f>SUM(H5:H297)</f>
        <v>3932.8724535340757</v>
      </c>
      <c r="N3" s="104">
        <f>SUM(I5:I297)</f>
        <v>2645.9048697647381</v>
      </c>
      <c r="O3" s="157">
        <f>N3/M3</f>
        <v>0.67276650870971677</v>
      </c>
      <c r="Q3" s="104" t="s">
        <v>449</v>
      </c>
      <c r="R3" s="104"/>
      <c r="S3" s="104"/>
      <c r="T3">
        <f>'[1]CA UC'!O3</f>
        <v>6</v>
      </c>
    </row>
    <row r="4" spans="1:27" ht="30.75" thickBot="1" x14ac:dyDescent="0.3">
      <c r="A4" s="128"/>
      <c r="B4" s="129" t="s">
        <v>450</v>
      </c>
      <c r="C4" s="128" t="s">
        <v>451</v>
      </c>
      <c r="D4" s="129" t="s">
        <v>452</v>
      </c>
      <c r="E4" s="128" t="s">
        <v>451</v>
      </c>
      <c r="F4" s="129" t="s">
        <v>453</v>
      </c>
      <c r="G4" s="129" t="s">
        <v>454</v>
      </c>
      <c r="H4" s="130" t="s">
        <v>551</v>
      </c>
      <c r="I4" s="131" t="s">
        <v>456</v>
      </c>
      <c r="J4" s="131" t="s">
        <v>457</v>
      </c>
      <c r="K4" s="132" t="s">
        <v>458</v>
      </c>
      <c r="M4" s="133" t="s">
        <v>552</v>
      </c>
      <c r="N4" s="133" t="s">
        <v>456</v>
      </c>
      <c r="O4" s="133" t="s">
        <v>459</v>
      </c>
      <c r="P4" s="133" t="s">
        <v>460</v>
      </c>
      <c r="Q4" s="133" t="s">
        <v>461</v>
      </c>
      <c r="R4" s="133" t="s">
        <v>462</v>
      </c>
      <c r="S4" s="133" t="s">
        <v>463</v>
      </c>
      <c r="T4" s="133" t="s">
        <v>464</v>
      </c>
      <c r="V4" s="133" t="s">
        <v>465</v>
      </c>
      <c r="W4" s="133" t="s">
        <v>466</v>
      </c>
      <c r="X4" s="133" t="s">
        <v>467</v>
      </c>
      <c r="Y4" s="133" t="s">
        <v>468</v>
      </c>
      <c r="Z4" s="133" t="s">
        <v>469</v>
      </c>
      <c r="AA4" s="133" t="s">
        <v>470</v>
      </c>
    </row>
    <row r="5" spans="1:27" ht="19.5" thickBot="1" x14ac:dyDescent="0.35">
      <c r="A5" s="134">
        <v>50</v>
      </c>
      <c r="B5" s="135" t="s">
        <v>4</v>
      </c>
      <c r="C5" s="134">
        <v>21</v>
      </c>
      <c r="D5" s="135" t="s">
        <v>0</v>
      </c>
      <c r="E5" s="134">
        <v>410560</v>
      </c>
      <c r="F5" s="135" t="s">
        <v>5</v>
      </c>
      <c r="G5" s="136">
        <v>1.8999518999518987</v>
      </c>
      <c r="H5" s="137">
        <v>15.789873417721529</v>
      </c>
      <c r="I5" s="138">
        <v>10.263417721518994</v>
      </c>
      <c r="J5" s="139">
        <v>0.77383597243142566</v>
      </c>
      <c r="K5" s="140">
        <v>105</v>
      </c>
      <c r="M5" s="149">
        <f>IF(ISERROR(I5/H5),$O$3,(I5/H5))</f>
        <v>0.65</v>
      </c>
      <c r="N5" s="138">
        <f>I5</f>
        <v>10.263417721518994</v>
      </c>
      <c r="O5" s="138">
        <f>VLOOKUP(1,$K$5:$N$297,4,0)</f>
        <v>45.380416292803503</v>
      </c>
      <c r="P5" s="138">
        <f>VLOOKUP(10,$K$5:$N$297,4,0)</f>
        <v>20.854651820377594</v>
      </c>
      <c r="Q5" s="138">
        <f>VLOOKUP(30,$K$5:$N$297,4,0)</f>
        <v>16.41705451826439</v>
      </c>
      <c r="R5" s="138">
        <f>VLOOKUP(50,$K$5:$N$297,4,0)</f>
        <v>14.06713809928703</v>
      </c>
      <c r="S5" s="138">
        <f>VLOOKUP(100,$K$5:$N$297,4,0)</f>
        <v>10.404607048315519</v>
      </c>
      <c r="T5" s="138">
        <f>VLOOKUP(150,$K$5:$N$297,4,0)</f>
        <v>8.1371992437444813</v>
      </c>
      <c r="V5" s="158">
        <f>(((($O$5-N5))/M5)*G5)+((((($O$5-N5)/$T$2))*$T$3/M5)*G5)</f>
        <v>116.64441985335685</v>
      </c>
      <c r="W5" s="158">
        <f>(((($P$5-N5))/M5)*G5)+((((($P$5-N5)/$T$2))*$T$3/M5)*G5)</f>
        <v>35.179782078604426</v>
      </c>
      <c r="X5" s="158">
        <f>(((($Q$5-N5))/M5)*G5)+((((($Q$5-N5)/$T$2))*$T$3/M5)*G5)</f>
        <v>20.439884481801279</v>
      </c>
      <c r="Y5" s="158">
        <f>(((($R$5-N5))/M5)*G5)+((((($R$5-N5)/$T$2))*$T$3/M5)*G5)</f>
        <v>12.634415661933799</v>
      </c>
      <c r="Z5" s="158">
        <f>(((($S$5-N5))/M5)*G5)+((((($S$5-N5)/$T$2))*$T$3/M5)*G5)</f>
        <v>0.46897365332165508</v>
      </c>
      <c r="AA5" s="158">
        <f>(((($T$5-N5))/M5)*G5)+((((($T$5-N5)/$T$2))*$T$3/M5)*G5)</f>
        <v>-7.0624350289519571</v>
      </c>
    </row>
    <row r="6" spans="1:27" ht="19.5" thickBot="1" x14ac:dyDescent="0.35">
      <c r="A6" s="142">
        <v>50</v>
      </c>
      <c r="B6" s="143" t="s">
        <v>4</v>
      </c>
      <c r="C6" s="142">
        <v>21</v>
      </c>
      <c r="D6" s="143" t="s">
        <v>0</v>
      </c>
      <c r="E6" s="142">
        <v>410566</v>
      </c>
      <c r="F6" s="143" t="s">
        <v>56</v>
      </c>
      <c r="G6" s="144">
        <v>9.1914924979441111</v>
      </c>
      <c r="H6" s="145">
        <v>16.210642616890269</v>
      </c>
      <c r="I6" s="146">
        <v>11.170655910665827</v>
      </c>
      <c r="J6" s="147">
        <v>0.75384412874067686</v>
      </c>
      <c r="K6" s="148">
        <v>83</v>
      </c>
      <c r="M6" s="149">
        <f t="shared" ref="M6:M69" si="0">IF(ISERROR(I6/H6),$O$3,(I6/H6))</f>
        <v>0.68909395973154364</v>
      </c>
      <c r="N6" s="138">
        <f t="shared" ref="N6:N69" si="1">I6</f>
        <v>11.170655910665827</v>
      </c>
      <c r="O6" s="149"/>
      <c r="V6" s="158">
        <f t="shared" ref="V6:V69" si="2">(((($O$5-N6))/M6)*G6)+((((($O$5-N6)/$T$2))*$T$3/M6)*G6)</f>
        <v>518.53127288690848</v>
      </c>
      <c r="W6" s="158">
        <f t="shared" ref="W6:W69" si="3">(((($P$5-N6))/M6)*G6)+((((($P$5-N6)/$T$2))*$T$3/M6)*G6)</f>
        <v>146.78427061758566</v>
      </c>
      <c r="X6" s="158">
        <f t="shared" ref="X6:X69" si="4">(((($Q$5-N6))/M6)*G6)+((((($Q$5-N6)/$T$2))*$T$3/M6)*G6)</f>
        <v>79.521800728269099</v>
      </c>
      <c r="Y6" s="158">
        <f t="shared" ref="Y6:Y69" si="5">(((($R$5-N6))/M6)*G6)+((((($R$5-N6)/$T$2))*$T$3/M6)*G6)</f>
        <v>43.903160366601796</v>
      </c>
      <c r="Z6" s="158">
        <f t="shared" ref="Z6:Z69" si="6">(((($S$5-N6))/M6)*G6)+((((($S$5-N6)/$T$2))*$T$3/M6)*G6)</f>
        <v>-11.611314643860483</v>
      </c>
      <c r="AA6" s="158">
        <f t="shared" ref="AA6:AA69" si="7">(((($T$5-N6))/M6)*G6)+((((($T$5-N6)/$T$2))*$T$3/M6)*G6)</f>
        <v>-45.979338328464358</v>
      </c>
    </row>
    <row r="7" spans="1:27" ht="19.5" thickBot="1" x14ac:dyDescent="0.35">
      <c r="A7" s="142">
        <v>50</v>
      </c>
      <c r="B7" s="143" t="s">
        <v>4</v>
      </c>
      <c r="C7" s="142">
        <v>21</v>
      </c>
      <c r="D7" s="143" t="s">
        <v>0</v>
      </c>
      <c r="E7" s="142">
        <v>510590</v>
      </c>
      <c r="F7" s="143" t="s">
        <v>57</v>
      </c>
      <c r="G7" s="144">
        <v>2.4137029144041779</v>
      </c>
      <c r="H7" s="145">
        <v>-5.8002167194863317</v>
      </c>
      <c r="I7" s="146">
        <v>-3.7701408676661159</v>
      </c>
      <c r="J7" s="147">
        <v>1.0830785871011057</v>
      </c>
      <c r="K7" s="148">
        <v>293</v>
      </c>
      <c r="M7" s="149">
        <f t="shared" si="0"/>
        <v>0.65</v>
      </c>
      <c r="N7" s="138">
        <f t="shared" si="1"/>
        <v>-3.7701408676661159</v>
      </c>
      <c r="O7" s="149"/>
      <c r="V7" s="158">
        <f t="shared" si="2"/>
        <v>207.4035717881375</v>
      </c>
      <c r="W7" s="158">
        <f t="shared" si="3"/>
        <v>103.91072356246467</v>
      </c>
      <c r="X7" s="158">
        <f t="shared" si="4"/>
        <v>85.185126462704602</v>
      </c>
      <c r="Y7" s="158">
        <f t="shared" si="5"/>
        <v>75.269042355900609</v>
      </c>
      <c r="Z7" s="158">
        <f t="shared" si="6"/>
        <v>59.814039083478001</v>
      </c>
      <c r="AA7" s="158">
        <f t="shared" si="7"/>
        <v>50.246121555443239</v>
      </c>
    </row>
    <row r="8" spans="1:27" ht="19.5" thickBot="1" x14ac:dyDescent="0.35">
      <c r="A8" s="142">
        <v>50</v>
      </c>
      <c r="B8" s="143" t="s">
        <v>4</v>
      </c>
      <c r="C8" s="142">
        <v>21</v>
      </c>
      <c r="D8" s="143" t="s">
        <v>0</v>
      </c>
      <c r="E8" s="142">
        <v>451154</v>
      </c>
      <c r="F8" s="143" t="s">
        <v>58</v>
      </c>
      <c r="G8" s="144">
        <v>2.8152337732047874</v>
      </c>
      <c r="H8" s="145">
        <v>-1.0656308646741188</v>
      </c>
      <c r="I8" s="146">
        <v>-0.44401286028088288</v>
      </c>
      <c r="J8" s="147">
        <v>1.0097842394705245</v>
      </c>
      <c r="K8" s="148">
        <v>290</v>
      </c>
      <c r="M8" s="149">
        <f t="shared" si="0"/>
        <v>0.41666666666666669</v>
      </c>
      <c r="N8" s="138">
        <f t="shared" si="1"/>
        <v>-0.44401286028088288</v>
      </c>
      <c r="O8" s="149"/>
      <c r="V8" s="158">
        <f t="shared" si="2"/>
        <v>351.83585615343605</v>
      </c>
      <c r="W8" s="158">
        <f t="shared" si="3"/>
        <v>163.52923672678281</v>
      </c>
      <c r="X8" s="158">
        <f t="shared" si="4"/>
        <v>129.45776273553315</v>
      </c>
      <c r="Y8" s="158">
        <f t="shared" si="5"/>
        <v>111.4153152803145</v>
      </c>
      <c r="Z8" s="158">
        <f t="shared" si="6"/>
        <v>83.294730434570255</v>
      </c>
      <c r="AA8" s="158">
        <f t="shared" si="7"/>
        <v>65.885776718961594</v>
      </c>
    </row>
    <row r="9" spans="1:27" ht="19.5" thickBot="1" x14ac:dyDescent="0.35">
      <c r="A9" s="142">
        <v>50</v>
      </c>
      <c r="B9" s="143" t="s">
        <v>4</v>
      </c>
      <c r="C9" s="142">
        <v>21</v>
      </c>
      <c r="D9" s="143" t="s">
        <v>0</v>
      </c>
      <c r="E9" s="142">
        <v>410541</v>
      </c>
      <c r="F9" s="143" t="s">
        <v>59</v>
      </c>
      <c r="G9" s="144">
        <v>6.6773487932149918</v>
      </c>
      <c r="H9" s="145">
        <v>8.5363220890780802</v>
      </c>
      <c r="I9" s="146">
        <v>5.7582734092114425</v>
      </c>
      <c r="J9" s="147">
        <v>0.87311104922312943</v>
      </c>
      <c r="K9" s="148">
        <v>209</v>
      </c>
      <c r="M9" s="149">
        <f t="shared" si="0"/>
        <v>0.67456140350877203</v>
      </c>
      <c r="N9" s="138">
        <f t="shared" si="1"/>
        <v>5.7582734092114425</v>
      </c>
      <c r="O9" s="149"/>
      <c r="V9" s="158">
        <f t="shared" si="2"/>
        <v>445.69510208640764</v>
      </c>
      <c r="W9" s="158">
        <f t="shared" si="3"/>
        <v>169.81368061963227</v>
      </c>
      <c r="X9" s="158">
        <f t="shared" si="4"/>
        <v>119.89675945778502</v>
      </c>
      <c r="Y9" s="158">
        <f t="shared" si="5"/>
        <v>93.463402702505732</v>
      </c>
      <c r="Z9" s="158">
        <f t="shared" si="6"/>
        <v>52.264920443400875</v>
      </c>
      <c r="AA9" s="158">
        <f t="shared" si="7"/>
        <v>26.759673140174005</v>
      </c>
    </row>
    <row r="10" spans="1:27" ht="19.5" thickBot="1" x14ac:dyDescent="0.35">
      <c r="A10" s="142">
        <v>50</v>
      </c>
      <c r="B10" s="143" t="s">
        <v>4</v>
      </c>
      <c r="C10" s="142">
        <v>21</v>
      </c>
      <c r="D10" s="143" t="s">
        <v>0</v>
      </c>
      <c r="E10" s="142">
        <v>410582</v>
      </c>
      <c r="F10" s="143" t="s">
        <v>471</v>
      </c>
      <c r="G10" s="144">
        <v>2.0789473684210522</v>
      </c>
      <c r="H10" s="145">
        <v>12.506329113924053</v>
      </c>
      <c r="I10" s="146">
        <v>8.1291139240506336</v>
      </c>
      <c r="J10" s="147">
        <v>0.82086735671175937</v>
      </c>
      <c r="K10" s="148">
        <v>151</v>
      </c>
      <c r="M10" s="149">
        <f t="shared" si="0"/>
        <v>0.64999999999999991</v>
      </c>
      <c r="N10" s="138">
        <f t="shared" si="1"/>
        <v>8.1291139240506336</v>
      </c>
      <c r="O10" s="149"/>
      <c r="V10" s="158">
        <f t="shared" si="2"/>
        <v>135.39072907303444</v>
      </c>
      <c r="W10" s="158">
        <f t="shared" si="3"/>
        <v>46.251264897397398</v>
      </c>
      <c r="X10" s="158">
        <f t="shared" si="4"/>
        <v>30.122713790158574</v>
      </c>
      <c r="Y10" s="158">
        <f t="shared" si="5"/>
        <v>21.581887644629891</v>
      </c>
      <c r="Z10" s="158">
        <f t="shared" si="6"/>
        <v>8.270332941522172</v>
      </c>
      <c r="AA10" s="158">
        <f t="shared" si="7"/>
        <v>2.9386283392251158E-2</v>
      </c>
    </row>
    <row r="11" spans="1:27" ht="19.5" thickBot="1" x14ac:dyDescent="0.35">
      <c r="A11" s="142">
        <v>50</v>
      </c>
      <c r="B11" s="143" t="s">
        <v>4</v>
      </c>
      <c r="C11" s="142">
        <v>21</v>
      </c>
      <c r="D11" s="143" t="s">
        <v>0</v>
      </c>
      <c r="E11" s="142">
        <v>451156</v>
      </c>
      <c r="F11" s="143" t="s">
        <v>61</v>
      </c>
      <c r="G11" s="144">
        <v>5.4163613696573032</v>
      </c>
      <c r="H11" s="145">
        <v>12.185302179011712</v>
      </c>
      <c r="I11" s="146">
        <v>7.9204464163576125</v>
      </c>
      <c r="J11" s="147">
        <v>0.82546554079069456</v>
      </c>
      <c r="K11" s="148">
        <v>155</v>
      </c>
      <c r="M11" s="149">
        <f t="shared" si="0"/>
        <v>0.64999999999999991</v>
      </c>
      <c r="N11" s="138">
        <f t="shared" si="1"/>
        <v>7.9204464163576125</v>
      </c>
      <c r="O11" s="149"/>
      <c r="V11" s="158">
        <f t="shared" si="2"/>
        <v>354.71456948830036</v>
      </c>
      <c r="W11" s="158">
        <f t="shared" si="3"/>
        <v>122.47610226843805</v>
      </c>
      <c r="X11" s="158">
        <f t="shared" si="4"/>
        <v>80.455769049449529</v>
      </c>
      <c r="Y11" s="158">
        <f t="shared" si="5"/>
        <v>58.204026892679607</v>
      </c>
      <c r="Z11" s="158">
        <f t="shared" si="6"/>
        <v>23.522922522657836</v>
      </c>
      <c r="AA11" s="158">
        <f t="shared" si="7"/>
        <v>2.0524679038850246</v>
      </c>
    </row>
    <row r="12" spans="1:27" ht="19.5" thickBot="1" x14ac:dyDescent="0.35">
      <c r="A12" s="142">
        <v>50</v>
      </c>
      <c r="B12" s="143" t="s">
        <v>4</v>
      </c>
      <c r="C12" s="142">
        <v>21</v>
      </c>
      <c r="D12" s="143" t="s">
        <v>0</v>
      </c>
      <c r="E12" s="142">
        <v>551157</v>
      </c>
      <c r="F12" s="143" t="s">
        <v>62</v>
      </c>
      <c r="G12" s="144">
        <v>2.5347178251492424</v>
      </c>
      <c r="H12" s="145">
        <v>13.019200667063201</v>
      </c>
      <c r="I12" s="146">
        <v>8.9654950048185231</v>
      </c>
      <c r="J12" s="147">
        <v>0.80243691580589838</v>
      </c>
      <c r="K12" s="148">
        <v>125</v>
      </c>
      <c r="M12" s="149">
        <f t="shared" si="0"/>
        <v>0.68863636363636371</v>
      </c>
      <c r="N12" s="138">
        <f t="shared" si="1"/>
        <v>8.9654950048185231</v>
      </c>
      <c r="O12" s="149"/>
      <c r="V12" s="158">
        <f t="shared" si="2"/>
        <v>152.31278892749526</v>
      </c>
      <c r="W12" s="158">
        <f t="shared" si="3"/>
        <v>49.72880809635673</v>
      </c>
      <c r="X12" s="158">
        <f t="shared" si="4"/>
        <v>31.167657960217248</v>
      </c>
      <c r="Y12" s="158">
        <f t="shared" si="5"/>
        <v>21.338656252638387</v>
      </c>
      <c r="Z12" s="158">
        <f t="shared" si="6"/>
        <v>6.0193778036943684</v>
      </c>
      <c r="AA12" s="158">
        <f t="shared" si="7"/>
        <v>-3.4645149011385006</v>
      </c>
    </row>
    <row r="13" spans="1:27" ht="19.5" thickBot="1" x14ac:dyDescent="0.35">
      <c r="A13" s="142">
        <v>50</v>
      </c>
      <c r="B13" s="143" t="s">
        <v>4</v>
      </c>
      <c r="C13" s="142">
        <v>21</v>
      </c>
      <c r="D13" s="143" t="s">
        <v>0</v>
      </c>
      <c r="E13" s="142">
        <v>451151</v>
      </c>
      <c r="F13" s="143" t="s">
        <v>63</v>
      </c>
      <c r="G13" s="144">
        <v>2.8184251680890458</v>
      </c>
      <c r="H13" s="145">
        <v>15.256747096519488</v>
      </c>
      <c r="I13" s="146">
        <v>10.165251263146123</v>
      </c>
      <c r="J13" s="147">
        <v>0.77599916233562305</v>
      </c>
      <c r="K13" s="148">
        <v>106</v>
      </c>
      <c r="M13" s="149">
        <f t="shared" si="0"/>
        <v>0.66627906976744178</v>
      </c>
      <c r="N13" s="138">
        <f t="shared" si="1"/>
        <v>10.165251263146123</v>
      </c>
      <c r="O13" s="149"/>
      <c r="V13" s="158">
        <f t="shared" si="2"/>
        <v>169.27678165055573</v>
      </c>
      <c r="W13" s="158">
        <f t="shared" si="3"/>
        <v>51.383184562046196</v>
      </c>
      <c r="X13" s="158">
        <f t="shared" si="4"/>
        <v>30.051971463079205</v>
      </c>
      <c r="Y13" s="158">
        <f t="shared" si="5"/>
        <v>18.756091173514179</v>
      </c>
      <c r="Z13" s="158">
        <f t="shared" si="6"/>
        <v>1.150566153780463</v>
      </c>
      <c r="AA13" s="158">
        <f t="shared" si="7"/>
        <v>-9.7487011228003446</v>
      </c>
    </row>
    <row r="14" spans="1:27" ht="19.5" thickBot="1" x14ac:dyDescent="0.35">
      <c r="A14" s="142">
        <v>50</v>
      </c>
      <c r="B14" s="143" t="s">
        <v>4</v>
      </c>
      <c r="C14" s="142">
        <v>14</v>
      </c>
      <c r="D14" s="143" t="s">
        <v>64</v>
      </c>
      <c r="E14" s="142">
        <v>510530</v>
      </c>
      <c r="F14" s="143" t="s">
        <v>65</v>
      </c>
      <c r="G14" s="144">
        <v>3.6851069298474619</v>
      </c>
      <c r="H14" s="145">
        <v>13.839489863082765</v>
      </c>
      <c r="I14" s="146">
        <v>9.2805990846555027</v>
      </c>
      <c r="J14" s="147">
        <v>0.79549330211571379</v>
      </c>
      <c r="K14" s="148">
        <v>119</v>
      </c>
      <c r="M14" s="149">
        <f t="shared" si="0"/>
        <v>0.67058823529411771</v>
      </c>
      <c r="N14" s="138">
        <f t="shared" si="1"/>
        <v>9.2805990846555027</v>
      </c>
      <c r="O14" s="149"/>
      <c r="V14" s="158">
        <f t="shared" si="2"/>
        <v>225.43248320569558</v>
      </c>
      <c r="W14" s="158">
        <f t="shared" si="3"/>
        <v>72.276472590520399</v>
      </c>
      <c r="X14" s="158">
        <f t="shared" si="4"/>
        <v>44.56501428827498</v>
      </c>
      <c r="Y14" s="158">
        <f t="shared" si="5"/>
        <v>29.890494176402111</v>
      </c>
      <c r="Z14" s="158">
        <f t="shared" si="6"/>
        <v>7.0190911197650943</v>
      </c>
      <c r="AA14" s="158">
        <f t="shared" si="7"/>
        <v>-7.140187551292934</v>
      </c>
    </row>
    <row r="15" spans="1:27" ht="19.5" thickBot="1" x14ac:dyDescent="0.35">
      <c r="A15" s="142">
        <v>50</v>
      </c>
      <c r="B15" s="143" t="s">
        <v>4</v>
      </c>
      <c r="C15" s="142">
        <v>14</v>
      </c>
      <c r="D15" s="143" t="s">
        <v>64</v>
      </c>
      <c r="E15" s="142">
        <v>410550</v>
      </c>
      <c r="F15" s="143" t="s">
        <v>66</v>
      </c>
      <c r="G15" s="144">
        <v>2.9880840429759532</v>
      </c>
      <c r="H15" s="145">
        <v>9.3705530357552043</v>
      </c>
      <c r="I15" s="146">
        <v>6.2079913861878229</v>
      </c>
      <c r="J15" s="147">
        <v>0.86320109215982899</v>
      </c>
      <c r="K15" s="148">
        <v>196</v>
      </c>
      <c r="M15" s="149">
        <f t="shared" si="0"/>
        <v>0.66249999999999998</v>
      </c>
      <c r="N15" s="138">
        <f t="shared" si="1"/>
        <v>6.2079913861878229</v>
      </c>
      <c r="O15" s="149"/>
      <c r="V15" s="158">
        <f t="shared" si="2"/>
        <v>200.77272347878579</v>
      </c>
      <c r="W15" s="158">
        <f t="shared" si="3"/>
        <v>75.0693864944935</v>
      </c>
      <c r="X15" s="158">
        <f t="shared" si="4"/>
        <v>52.325109157276323</v>
      </c>
      <c r="Y15" s="158">
        <f t="shared" si="5"/>
        <v>40.280944913925644</v>
      </c>
      <c r="Z15" s="158">
        <f t="shared" si="6"/>
        <v>21.509160024882906</v>
      </c>
      <c r="AA15" s="158">
        <f t="shared" si="7"/>
        <v>9.8878820150066495</v>
      </c>
    </row>
    <row r="16" spans="1:27" ht="19.5" thickBot="1" x14ac:dyDescent="0.35">
      <c r="A16" s="142">
        <v>50</v>
      </c>
      <c r="B16" s="143" t="s">
        <v>4</v>
      </c>
      <c r="C16" s="142">
        <v>14</v>
      </c>
      <c r="D16" s="143" t="s">
        <v>64</v>
      </c>
      <c r="E16" s="142">
        <v>510556</v>
      </c>
      <c r="F16" s="143" t="s">
        <v>67</v>
      </c>
      <c r="G16" s="144">
        <v>3.73188092915326</v>
      </c>
      <c r="H16" s="145">
        <v>7.7708803015266392</v>
      </c>
      <c r="I16" s="146">
        <v>6.0760245116247091</v>
      </c>
      <c r="J16" s="147">
        <v>0.86610910590989321</v>
      </c>
      <c r="K16" s="148">
        <v>203</v>
      </c>
      <c r="M16" s="149">
        <f t="shared" si="0"/>
        <v>0.78189655172413797</v>
      </c>
      <c r="N16" s="138">
        <f t="shared" si="1"/>
        <v>6.0760245116247091</v>
      </c>
      <c r="O16" s="149"/>
      <c r="V16" s="158">
        <f t="shared" si="2"/>
        <v>213.17530287081931</v>
      </c>
      <c r="W16" s="158">
        <f t="shared" si="3"/>
        <v>80.154868445692856</v>
      </c>
      <c r="X16" s="158">
        <f t="shared" si="4"/>
        <v>56.086663697395345</v>
      </c>
      <c r="Y16" s="158">
        <f t="shared" si="5"/>
        <v>43.341417641292004</v>
      </c>
      <c r="Z16" s="158">
        <f t="shared" si="6"/>
        <v>23.476941162139219</v>
      </c>
      <c r="AA16" s="158">
        <f t="shared" si="7"/>
        <v>11.179197231585665</v>
      </c>
    </row>
    <row r="17" spans="1:27" ht="19.5" thickBot="1" x14ac:dyDescent="0.35">
      <c r="A17" s="142">
        <v>50</v>
      </c>
      <c r="B17" s="143" t="s">
        <v>4</v>
      </c>
      <c r="C17" s="142">
        <v>14</v>
      </c>
      <c r="D17" s="143" t="s">
        <v>64</v>
      </c>
      <c r="E17" s="142">
        <v>410551</v>
      </c>
      <c r="F17" s="143" t="s">
        <v>472</v>
      </c>
      <c r="G17" s="144">
        <v>2.4135234435568145</v>
      </c>
      <c r="H17" s="145">
        <v>12.844292058881035</v>
      </c>
      <c r="I17" s="146">
        <v>8.3487898382726708</v>
      </c>
      <c r="J17" s="147">
        <v>0.81602659207873696</v>
      </c>
      <c r="K17" s="148">
        <v>138</v>
      </c>
      <c r="M17" s="149">
        <f t="shared" si="0"/>
        <v>0.64999999999999991</v>
      </c>
      <c r="N17" s="138">
        <f t="shared" si="1"/>
        <v>8.3487898382726708</v>
      </c>
      <c r="O17" s="149"/>
      <c r="V17" s="158">
        <f t="shared" si="2"/>
        <v>156.25296958225331</v>
      </c>
      <c r="W17" s="158">
        <f t="shared" si="3"/>
        <v>52.767816565902315</v>
      </c>
      <c r="X17" s="158">
        <f t="shared" si="4"/>
        <v>34.04361180765985</v>
      </c>
      <c r="Y17" s="158">
        <f t="shared" si="5"/>
        <v>24.128265011154717</v>
      </c>
      <c r="Z17" s="158">
        <f t="shared" si="6"/>
        <v>8.6744108952901726</v>
      </c>
      <c r="AA17" s="158">
        <f t="shared" si="7"/>
        <v>-0.89279521036697485</v>
      </c>
    </row>
    <row r="18" spans="1:27" ht="19.5" thickBot="1" x14ac:dyDescent="0.35">
      <c r="A18" s="142">
        <v>50</v>
      </c>
      <c r="B18" s="143" t="s">
        <v>4</v>
      </c>
      <c r="C18" s="142">
        <v>14</v>
      </c>
      <c r="D18" s="143" t="s">
        <v>64</v>
      </c>
      <c r="E18" s="142">
        <v>510523</v>
      </c>
      <c r="F18" s="143" t="s">
        <v>69</v>
      </c>
      <c r="G18" s="144">
        <v>5.7520380455864339</v>
      </c>
      <c r="H18" s="145">
        <v>13.386559579362043</v>
      </c>
      <c r="I18" s="146">
        <v>8.618684300608745</v>
      </c>
      <c r="J18" s="147">
        <v>0.81007921467711363</v>
      </c>
      <c r="K18" s="148">
        <v>133</v>
      </c>
      <c r="M18" s="149">
        <f t="shared" si="0"/>
        <v>0.64383116883116887</v>
      </c>
      <c r="N18" s="138">
        <f t="shared" si="1"/>
        <v>8.618684300608745</v>
      </c>
      <c r="O18" s="149"/>
      <c r="V18" s="158">
        <f t="shared" si="2"/>
        <v>373.21839820607499</v>
      </c>
      <c r="W18" s="158">
        <f t="shared" si="3"/>
        <v>124.2239674452577</v>
      </c>
      <c r="X18" s="158">
        <f t="shared" si="4"/>
        <v>79.171874760127068</v>
      </c>
      <c r="Y18" s="158">
        <f t="shared" si="5"/>
        <v>55.314673418386775</v>
      </c>
      <c r="Z18" s="158">
        <f t="shared" si="6"/>
        <v>18.131333620527833</v>
      </c>
      <c r="AA18" s="158">
        <f t="shared" si="7"/>
        <v>-4.8882104282027594</v>
      </c>
    </row>
    <row r="19" spans="1:27" ht="19.5" thickBot="1" x14ac:dyDescent="0.35">
      <c r="A19" s="142">
        <v>50</v>
      </c>
      <c r="B19" s="143" t="s">
        <v>4</v>
      </c>
      <c r="C19" s="142">
        <v>14</v>
      </c>
      <c r="D19" s="143" t="s">
        <v>64</v>
      </c>
      <c r="E19" s="142">
        <v>510570</v>
      </c>
      <c r="F19" s="143" t="s">
        <v>70</v>
      </c>
      <c r="G19" s="144">
        <v>3.7144129870129854</v>
      </c>
      <c r="H19" s="145">
        <v>9.9611971338045109</v>
      </c>
      <c r="I19" s="146">
        <v>6.4747781369729323</v>
      </c>
      <c r="J19" s="147">
        <v>0.8573221960945363</v>
      </c>
      <c r="K19" s="148">
        <v>187</v>
      </c>
      <c r="M19" s="149">
        <f t="shared" si="0"/>
        <v>0.65</v>
      </c>
      <c r="N19" s="138">
        <f t="shared" si="1"/>
        <v>6.4747781369729323</v>
      </c>
      <c r="O19" s="149"/>
      <c r="V19" s="158">
        <f t="shared" si="2"/>
        <v>252.64267068888987</v>
      </c>
      <c r="W19" s="158">
        <f t="shared" si="3"/>
        <v>93.379002729448473</v>
      </c>
      <c r="X19" s="158">
        <f t="shared" si="4"/>
        <v>64.562448446051491</v>
      </c>
      <c r="Y19" s="158">
        <f t="shared" si="5"/>
        <v>49.30272805261697</v>
      </c>
      <c r="Z19" s="158">
        <f t="shared" si="6"/>
        <v>25.519243959842669</v>
      </c>
      <c r="AA19" s="158">
        <f t="shared" si="7"/>
        <v>10.795312148385914</v>
      </c>
    </row>
    <row r="20" spans="1:27" ht="19.5" thickBot="1" x14ac:dyDescent="0.35">
      <c r="A20" s="142">
        <v>50</v>
      </c>
      <c r="B20" s="143" t="s">
        <v>4</v>
      </c>
      <c r="C20" s="142">
        <v>14</v>
      </c>
      <c r="D20" s="143" t="s">
        <v>64</v>
      </c>
      <c r="E20" s="142">
        <v>410571</v>
      </c>
      <c r="F20" s="143" t="s">
        <v>473</v>
      </c>
      <c r="G20" s="144">
        <v>6.6311696410441163</v>
      </c>
      <c r="H20" s="145">
        <v>16.889931348878136</v>
      </c>
      <c r="I20" s="146">
        <v>11.031236412236034</v>
      </c>
      <c r="J20" s="147">
        <v>0.75691636804166151</v>
      </c>
      <c r="K20" s="148">
        <v>88</v>
      </c>
      <c r="M20" s="149">
        <f t="shared" si="0"/>
        <v>0.65312500000000007</v>
      </c>
      <c r="N20" s="138">
        <f t="shared" si="1"/>
        <v>11.031236412236034</v>
      </c>
      <c r="O20" s="149"/>
      <c r="V20" s="158">
        <f t="shared" si="2"/>
        <v>396.30315583955172</v>
      </c>
      <c r="W20" s="158">
        <f t="shared" si="3"/>
        <v>113.3375102667826</v>
      </c>
      <c r="X20" s="158">
        <f t="shared" si="4"/>
        <v>62.138796897574515</v>
      </c>
      <c r="Y20" s="158">
        <f t="shared" si="5"/>
        <v>35.026670901030329</v>
      </c>
      <c r="Z20" s="158">
        <f t="shared" si="6"/>
        <v>-7.22972703647934</v>
      </c>
      <c r="AA20" s="158">
        <f t="shared" si="7"/>
        <v>-33.389911112230457</v>
      </c>
    </row>
    <row r="21" spans="1:27" ht="19.5" thickBot="1" x14ac:dyDescent="0.35">
      <c r="A21" s="142">
        <v>50</v>
      </c>
      <c r="B21" s="143" t="s">
        <v>4</v>
      </c>
      <c r="C21" s="142">
        <v>14</v>
      </c>
      <c r="D21" s="143" t="s">
        <v>64</v>
      </c>
      <c r="E21" s="142">
        <v>510520</v>
      </c>
      <c r="F21" s="143" t="s">
        <v>72</v>
      </c>
      <c r="G21" s="144">
        <v>4.317006661822929</v>
      </c>
      <c r="H21" s="145">
        <v>13.435235232069001</v>
      </c>
      <c r="I21" s="146">
        <v>8.7618581491898269</v>
      </c>
      <c r="J21" s="147">
        <v>0.80692424475226121</v>
      </c>
      <c r="K21" s="148">
        <v>127</v>
      </c>
      <c r="M21" s="149">
        <f t="shared" si="0"/>
        <v>0.65215517241379306</v>
      </c>
      <c r="N21" s="138">
        <f t="shared" si="1"/>
        <v>8.7618581491898269</v>
      </c>
      <c r="O21" s="149"/>
      <c r="V21" s="158">
        <f t="shared" si="2"/>
        <v>275.45479926200716</v>
      </c>
      <c r="W21" s="158">
        <f t="shared" si="3"/>
        <v>90.96529798224266</v>
      </c>
      <c r="X21" s="158">
        <f t="shared" si="4"/>
        <v>57.584478637437364</v>
      </c>
      <c r="Y21" s="158">
        <f t="shared" si="5"/>
        <v>39.907765290798054</v>
      </c>
      <c r="Z21" s="158">
        <f t="shared" si="6"/>
        <v>12.357206050328006</v>
      </c>
      <c r="AA21" s="158">
        <f t="shared" si="7"/>
        <v>-4.6988549557809716</v>
      </c>
    </row>
    <row r="22" spans="1:27" ht="19.5" thickBot="1" x14ac:dyDescent="0.35">
      <c r="A22" s="142">
        <v>50</v>
      </c>
      <c r="B22" s="143" t="s">
        <v>4</v>
      </c>
      <c r="C22" s="142">
        <v>14</v>
      </c>
      <c r="D22" s="143" t="s">
        <v>64</v>
      </c>
      <c r="E22" s="142">
        <v>410524</v>
      </c>
      <c r="F22" s="143" t="s">
        <v>74</v>
      </c>
      <c r="G22" s="144">
        <v>5.2411436324383089</v>
      </c>
      <c r="H22" s="145">
        <v>7.6319221157064563</v>
      </c>
      <c r="I22" s="146">
        <v>5.0943080122340598</v>
      </c>
      <c r="J22" s="147">
        <v>0.88774214896213011</v>
      </c>
      <c r="K22" s="148">
        <v>218</v>
      </c>
      <c r="M22" s="149">
        <f t="shared" si="0"/>
        <v>0.66749999999999998</v>
      </c>
      <c r="N22" s="138">
        <f t="shared" si="1"/>
        <v>5.0943080122340598</v>
      </c>
      <c r="O22" s="149"/>
      <c r="V22" s="158">
        <f t="shared" si="2"/>
        <v>359.45740532929312</v>
      </c>
      <c r="W22" s="158">
        <f t="shared" si="3"/>
        <v>140.62346883740213</v>
      </c>
      <c r="X22" s="158">
        <f t="shared" si="4"/>
        <v>101.0284997476915</v>
      </c>
      <c r="Y22" s="158">
        <f t="shared" si="5"/>
        <v>80.061101933450033</v>
      </c>
      <c r="Z22" s="158">
        <f t="shared" si="6"/>
        <v>47.381750049883607</v>
      </c>
      <c r="AA22" s="158">
        <f t="shared" si="7"/>
        <v>27.150544777380336</v>
      </c>
    </row>
    <row r="23" spans="1:27" ht="19.5" thickBot="1" x14ac:dyDescent="0.35">
      <c r="A23" s="142">
        <v>50</v>
      </c>
      <c r="B23" s="143" t="s">
        <v>4</v>
      </c>
      <c r="C23" s="142">
        <v>14</v>
      </c>
      <c r="D23" s="143" t="s">
        <v>64</v>
      </c>
      <c r="E23" s="142">
        <v>410521</v>
      </c>
      <c r="F23" s="143" t="s">
        <v>73</v>
      </c>
      <c r="G23" s="144">
        <v>4.4760896212509138</v>
      </c>
      <c r="H23" s="145">
        <v>0.22340928904826848</v>
      </c>
      <c r="I23" s="146">
        <v>6.7022786714480545E-2</v>
      </c>
      <c r="J23" s="147">
        <v>0.99852309008621609</v>
      </c>
      <c r="K23" s="148">
        <v>285</v>
      </c>
      <c r="M23" s="149">
        <f t="shared" si="0"/>
        <v>0.3</v>
      </c>
      <c r="N23" s="138">
        <f t="shared" si="1"/>
        <v>6.7022786714480545E-2</v>
      </c>
      <c r="O23" s="149"/>
      <c r="V23" s="158">
        <f t="shared" si="2"/>
        <v>768.28337263736228</v>
      </c>
      <c r="W23" s="158">
        <f t="shared" si="3"/>
        <v>352.45185821209702</v>
      </c>
      <c r="X23" s="158">
        <f t="shared" si="4"/>
        <v>277.21290659361233</v>
      </c>
      <c r="Y23" s="158">
        <f t="shared" si="5"/>
        <v>237.37034411712872</v>
      </c>
      <c r="Z23" s="158">
        <f t="shared" si="6"/>
        <v>175.2725515990879</v>
      </c>
      <c r="AA23" s="158">
        <f t="shared" si="7"/>
        <v>136.82891318551313</v>
      </c>
    </row>
    <row r="24" spans="1:27" ht="19.5" thickBot="1" x14ac:dyDescent="0.35">
      <c r="A24" s="142">
        <v>50</v>
      </c>
      <c r="B24" s="143" t="s">
        <v>4</v>
      </c>
      <c r="C24" s="142">
        <v>14</v>
      </c>
      <c r="D24" s="143" t="s">
        <v>64</v>
      </c>
      <c r="E24" s="142">
        <v>510513</v>
      </c>
      <c r="F24" s="143" t="s">
        <v>474</v>
      </c>
      <c r="G24" s="144">
        <v>4.2224398656301876</v>
      </c>
      <c r="H24" s="145">
        <v>0.71048969208996848</v>
      </c>
      <c r="I24" s="146">
        <v>0.32564110887456893</v>
      </c>
      <c r="J24" s="147">
        <v>0.99282419300049018</v>
      </c>
      <c r="K24" s="148">
        <v>281</v>
      </c>
      <c r="M24" s="149">
        <f t="shared" si="0"/>
        <v>0.45833333333333337</v>
      </c>
      <c r="N24" s="138">
        <f t="shared" si="1"/>
        <v>0.32564110887456893</v>
      </c>
      <c r="O24" s="149"/>
      <c r="V24" s="158">
        <f t="shared" si="2"/>
        <v>471.67209638089383</v>
      </c>
      <c r="W24" s="158">
        <f t="shared" si="3"/>
        <v>214.91532205834591</v>
      </c>
      <c r="X24" s="158">
        <f t="shared" si="4"/>
        <v>168.45874084498453</v>
      </c>
      <c r="Y24" s="158">
        <f t="shared" si="5"/>
        <v>143.85779679112764</v>
      </c>
      <c r="Z24" s="158">
        <f t="shared" si="6"/>
        <v>105.5152750091511</v>
      </c>
      <c r="AA24" s="158">
        <f t="shared" si="7"/>
        <v>81.778102019907038</v>
      </c>
    </row>
    <row r="25" spans="1:27" ht="19.5" thickBot="1" x14ac:dyDescent="0.35">
      <c r="A25" s="142">
        <v>50</v>
      </c>
      <c r="B25" s="143" t="s">
        <v>4</v>
      </c>
      <c r="C25" s="142">
        <v>14</v>
      </c>
      <c r="D25" s="143" t="s">
        <v>64</v>
      </c>
      <c r="E25" s="142">
        <v>510511</v>
      </c>
      <c r="F25" s="143" t="s">
        <v>76</v>
      </c>
      <c r="G25" s="144">
        <v>3.24608091615878</v>
      </c>
      <c r="H25" s="145">
        <v>15.71125345216298</v>
      </c>
      <c r="I25" s="146">
        <v>10.427959399131703</v>
      </c>
      <c r="J25" s="147">
        <v>0.77021014236959784</v>
      </c>
      <c r="K25" s="148">
        <v>99</v>
      </c>
      <c r="M25" s="149">
        <f t="shared" si="0"/>
        <v>0.6637254901960784</v>
      </c>
      <c r="N25" s="138">
        <f t="shared" si="1"/>
        <v>10.427959399131703</v>
      </c>
      <c r="O25" s="149"/>
      <c r="V25" s="158">
        <f t="shared" si="2"/>
        <v>194.25217094353204</v>
      </c>
      <c r="W25" s="158">
        <f t="shared" si="3"/>
        <v>57.947504083874293</v>
      </c>
      <c r="X25" s="158">
        <f t="shared" si="4"/>
        <v>33.285062976201552</v>
      </c>
      <c r="Y25" s="158">
        <f t="shared" si="5"/>
        <v>20.225140827929096</v>
      </c>
      <c r="Z25" s="158">
        <f t="shared" si="6"/>
        <v>-0.12978328981216841</v>
      </c>
      <c r="AA25" s="158">
        <f t="shared" si="7"/>
        <v>-12.731154626657331</v>
      </c>
    </row>
    <row r="26" spans="1:27" ht="19.5" thickBot="1" x14ac:dyDescent="0.35">
      <c r="A26" s="142">
        <v>50</v>
      </c>
      <c r="B26" s="143" t="s">
        <v>4</v>
      </c>
      <c r="C26" s="142">
        <v>14</v>
      </c>
      <c r="D26" s="143" t="s">
        <v>64</v>
      </c>
      <c r="E26" s="142">
        <v>510522</v>
      </c>
      <c r="F26" s="143" t="s">
        <v>77</v>
      </c>
      <c r="G26" s="144">
        <v>2.5803141951809545</v>
      </c>
      <c r="H26" s="145">
        <v>9.3011928721017281</v>
      </c>
      <c r="I26" s="146">
        <v>6.1814177629176061</v>
      </c>
      <c r="J26" s="147">
        <v>0.86378666685131611</v>
      </c>
      <c r="K26" s="148">
        <v>198</v>
      </c>
      <c r="M26" s="149">
        <f t="shared" si="0"/>
        <v>0.6645833333333333</v>
      </c>
      <c r="N26" s="138">
        <f t="shared" si="1"/>
        <v>6.1814177629176061</v>
      </c>
      <c r="O26" s="149"/>
      <c r="V26" s="158">
        <f t="shared" si="2"/>
        <v>172.94796069001188</v>
      </c>
      <c r="W26" s="158">
        <f t="shared" si="3"/>
        <v>64.739049520108253</v>
      </c>
      <c r="X26" s="158">
        <f t="shared" si="4"/>
        <v>45.160146166777835</v>
      </c>
      <c r="Y26" s="158">
        <f t="shared" si="5"/>
        <v>34.792196277847516</v>
      </c>
      <c r="Z26" s="158">
        <f t="shared" si="6"/>
        <v>18.632924358019402</v>
      </c>
      <c r="AA26" s="158">
        <f t="shared" si="7"/>
        <v>8.6290066417491254</v>
      </c>
    </row>
    <row r="27" spans="1:27" ht="19.5" thickBot="1" x14ac:dyDescent="0.35">
      <c r="A27" s="142">
        <v>50</v>
      </c>
      <c r="B27" s="143" t="s">
        <v>4</v>
      </c>
      <c r="C27" s="142">
        <v>14</v>
      </c>
      <c r="D27" s="143" t="s">
        <v>64</v>
      </c>
      <c r="E27" s="142">
        <v>410510</v>
      </c>
      <c r="F27" s="143" t="s">
        <v>78</v>
      </c>
      <c r="G27" s="144">
        <v>9.6894159427710651</v>
      </c>
      <c r="H27" s="145">
        <v>4.128215801267423</v>
      </c>
      <c r="I27" s="146">
        <v>3.4754416776920118</v>
      </c>
      <c r="J27" s="147">
        <v>0.92341538571907833</v>
      </c>
      <c r="K27" s="148">
        <v>249</v>
      </c>
      <c r="M27" s="149">
        <f t="shared" si="0"/>
        <v>0.84187500000000004</v>
      </c>
      <c r="N27" s="138">
        <f t="shared" si="1"/>
        <v>3.4754416776920118</v>
      </c>
      <c r="O27" s="149"/>
      <c r="V27" s="158">
        <f t="shared" si="2"/>
        <v>548.06604456648188</v>
      </c>
      <c r="W27" s="158">
        <f t="shared" si="3"/>
        <v>227.29890778066584</v>
      </c>
      <c r="X27" s="158">
        <f t="shared" si="4"/>
        <v>169.26053827713133</v>
      </c>
      <c r="Y27" s="158">
        <f t="shared" si="5"/>
        <v>138.52649276964837</v>
      </c>
      <c r="Z27" s="158">
        <f t="shared" si="6"/>
        <v>90.625046112190844</v>
      </c>
      <c r="AA27" s="158">
        <f t="shared" si="7"/>
        <v>60.970112818846502</v>
      </c>
    </row>
    <row r="28" spans="1:27" ht="19.5" thickBot="1" x14ac:dyDescent="0.35">
      <c r="A28" s="142">
        <v>50</v>
      </c>
      <c r="B28" s="143" t="s">
        <v>4</v>
      </c>
      <c r="C28" s="142">
        <v>14</v>
      </c>
      <c r="D28" s="143" t="s">
        <v>64</v>
      </c>
      <c r="E28" s="142">
        <v>410512</v>
      </c>
      <c r="F28" s="143" t="s">
        <v>79</v>
      </c>
      <c r="G28" s="144">
        <v>4.4281860372366975</v>
      </c>
      <c r="H28" s="145">
        <v>13.097914024450857</v>
      </c>
      <c r="I28" s="146">
        <v>9.1403115541318698</v>
      </c>
      <c r="J28" s="147">
        <v>0.79858466931733818</v>
      </c>
      <c r="K28" s="148">
        <v>122</v>
      </c>
      <c r="M28" s="149">
        <f t="shared" si="0"/>
        <v>0.69784482758620692</v>
      </c>
      <c r="N28" s="138">
        <f t="shared" si="1"/>
        <v>9.1403115541318698</v>
      </c>
      <c r="O28" s="149"/>
      <c r="V28" s="158">
        <f t="shared" si="2"/>
        <v>261.32067201761214</v>
      </c>
      <c r="W28" s="158">
        <f t="shared" si="3"/>
        <v>84.469934419138582</v>
      </c>
      <c r="X28" s="158">
        <f t="shared" si="4"/>
        <v>52.471243535270261</v>
      </c>
      <c r="Y28" s="158">
        <f t="shared" si="5"/>
        <v>35.526432193787002</v>
      </c>
      <c r="Z28" s="158">
        <f t="shared" si="6"/>
        <v>9.1166002568518092</v>
      </c>
      <c r="AA28" s="158">
        <f t="shared" si="7"/>
        <v>-7.23325677311992</v>
      </c>
    </row>
    <row r="29" spans="1:27" ht="19.5" thickBot="1" x14ac:dyDescent="0.35">
      <c r="A29" s="142">
        <v>262</v>
      </c>
      <c r="B29" s="143" t="s">
        <v>475</v>
      </c>
      <c r="C29" s="142">
        <v>5060</v>
      </c>
      <c r="D29" s="143" t="s">
        <v>81</v>
      </c>
      <c r="E29" s="142">
        <v>4057</v>
      </c>
      <c r="F29" s="143" t="s">
        <v>82</v>
      </c>
      <c r="G29" s="144">
        <v>6.243624835140964</v>
      </c>
      <c r="H29" s="145">
        <v>24.504995742036073</v>
      </c>
      <c r="I29" s="146">
        <v>16.600933389947969</v>
      </c>
      <c r="J29" s="147">
        <v>0.63418287565201181</v>
      </c>
      <c r="K29" s="148">
        <v>28</v>
      </c>
      <c r="M29" s="149">
        <f t="shared" si="0"/>
        <v>0.6774509803921569</v>
      </c>
      <c r="N29" s="138">
        <f t="shared" si="1"/>
        <v>16.600933389947969</v>
      </c>
      <c r="O29" s="149"/>
      <c r="V29" s="158">
        <f t="shared" si="2"/>
        <v>301.41109735343906</v>
      </c>
      <c r="W29" s="158">
        <f t="shared" si="3"/>
        <v>44.549721212021097</v>
      </c>
      <c r="X29" s="158">
        <f t="shared" si="4"/>
        <v>-1.9257862513144912</v>
      </c>
      <c r="Y29" s="158">
        <f t="shared" si="5"/>
        <v>-26.5367526444095</v>
      </c>
      <c r="Z29" s="158">
        <f t="shared" si="6"/>
        <v>-64.894895036705037</v>
      </c>
      <c r="AA29" s="158">
        <f t="shared" si="7"/>
        <v>-88.64173846785296</v>
      </c>
    </row>
    <row r="30" spans="1:27" ht="19.5" thickBot="1" x14ac:dyDescent="0.35">
      <c r="A30" s="142">
        <v>262</v>
      </c>
      <c r="B30" s="143" t="s">
        <v>475</v>
      </c>
      <c r="C30" s="142">
        <v>5060</v>
      </c>
      <c r="D30" s="143" t="s">
        <v>81</v>
      </c>
      <c r="E30" s="142">
        <v>4082</v>
      </c>
      <c r="F30" s="143" t="s">
        <v>476</v>
      </c>
      <c r="G30" s="144">
        <v>2.8402116402116402</v>
      </c>
      <c r="H30" s="145">
        <v>18.308494783904621</v>
      </c>
      <c r="I30" s="146">
        <v>11.574841654247392</v>
      </c>
      <c r="J30" s="147">
        <v>0.74493751710949052</v>
      </c>
      <c r="K30" s="148">
        <v>76</v>
      </c>
      <c r="M30" s="149">
        <f t="shared" si="0"/>
        <v>0.63221153846153844</v>
      </c>
      <c r="N30" s="138">
        <f t="shared" si="1"/>
        <v>11.574841654247392</v>
      </c>
      <c r="O30" s="149"/>
      <c r="V30" s="158">
        <f t="shared" si="2"/>
        <v>172.58137928822899</v>
      </c>
      <c r="W30" s="158">
        <f t="shared" si="3"/>
        <v>47.374507167143463</v>
      </c>
      <c r="X30" s="158">
        <f t="shared" si="4"/>
        <v>24.720058268914912</v>
      </c>
      <c r="Y30" s="158">
        <f t="shared" si="5"/>
        <v>12.723462407573555</v>
      </c>
      <c r="Z30" s="158">
        <f t="shared" si="6"/>
        <v>-5.9741833866713341</v>
      </c>
      <c r="AA30" s="158">
        <f t="shared" si="7"/>
        <v>-17.549563202148963</v>
      </c>
    </row>
    <row r="31" spans="1:27" ht="19.5" thickBot="1" x14ac:dyDescent="0.35">
      <c r="A31" s="142">
        <v>262</v>
      </c>
      <c r="B31" s="143" t="s">
        <v>475</v>
      </c>
      <c r="C31" s="142">
        <v>5060</v>
      </c>
      <c r="D31" s="143" t="s">
        <v>81</v>
      </c>
      <c r="E31" s="142">
        <v>4030</v>
      </c>
      <c r="F31" s="143" t="s">
        <v>477</v>
      </c>
      <c r="G31" s="144">
        <v>7.4919696310260804</v>
      </c>
      <c r="H31" s="145">
        <v>7.4746699143160287</v>
      </c>
      <c r="I31" s="146">
        <v>5.4024511568203799</v>
      </c>
      <c r="J31" s="147">
        <v>0.88095192600343986</v>
      </c>
      <c r="K31" s="148">
        <v>215</v>
      </c>
      <c r="M31" s="149">
        <f t="shared" si="0"/>
        <v>0.72276785714285718</v>
      </c>
      <c r="N31" s="138">
        <f t="shared" si="1"/>
        <v>5.4024511568203799</v>
      </c>
      <c r="O31" s="149"/>
      <c r="V31" s="158">
        <f t="shared" si="2"/>
        <v>470.90704811343369</v>
      </c>
      <c r="W31" s="158">
        <f t="shared" si="3"/>
        <v>182.01402138856577</v>
      </c>
      <c r="X31" s="158">
        <f t="shared" si="4"/>
        <v>129.74283051763808</v>
      </c>
      <c r="Y31" s="158">
        <f t="shared" si="5"/>
        <v>102.06277725805121</v>
      </c>
      <c r="Z31" s="158">
        <f t="shared" si="6"/>
        <v>58.921219653249125</v>
      </c>
      <c r="AA31" s="158">
        <f t="shared" si="7"/>
        <v>32.213048977526931</v>
      </c>
    </row>
    <row r="32" spans="1:27" ht="19.5" thickBot="1" x14ac:dyDescent="0.35">
      <c r="A32" s="142">
        <v>262</v>
      </c>
      <c r="B32" s="143" t="s">
        <v>475</v>
      </c>
      <c r="C32" s="142">
        <v>5060</v>
      </c>
      <c r="D32" s="143" t="s">
        <v>81</v>
      </c>
      <c r="E32" s="142">
        <v>4060</v>
      </c>
      <c r="F32" s="143" t="s">
        <v>478</v>
      </c>
      <c r="G32" s="144">
        <v>8.0712319790393234</v>
      </c>
      <c r="H32" s="145">
        <v>11.026817248113987</v>
      </c>
      <c r="I32" s="146">
        <v>7.2386718845062878</v>
      </c>
      <c r="J32" s="147">
        <v>0.84048908150597534</v>
      </c>
      <c r="K32" s="148">
        <v>170</v>
      </c>
      <c r="M32" s="149">
        <f t="shared" si="0"/>
        <v>0.65646067415730325</v>
      </c>
      <c r="N32" s="138">
        <f t="shared" si="1"/>
        <v>7.2386718845062878</v>
      </c>
      <c r="O32" s="149"/>
      <c r="V32" s="158">
        <f t="shared" si="2"/>
        <v>532.90401799526899</v>
      </c>
      <c r="W32" s="158">
        <f t="shared" si="3"/>
        <v>190.23803261579033</v>
      </c>
      <c r="X32" s="158">
        <f t="shared" si="4"/>
        <v>128.23736984519456</v>
      </c>
      <c r="Y32" s="158">
        <f t="shared" si="5"/>
        <v>95.405103753199242</v>
      </c>
      <c r="Z32" s="158">
        <f t="shared" si="6"/>
        <v>44.233413958367237</v>
      </c>
      <c r="AA32" s="158">
        <f t="shared" si="7"/>
        <v>12.553931327602026</v>
      </c>
    </row>
    <row r="33" spans="1:27" ht="19.5" thickBot="1" x14ac:dyDescent="0.35">
      <c r="A33" s="142">
        <v>262</v>
      </c>
      <c r="B33" s="143" t="s">
        <v>475</v>
      </c>
      <c r="C33" s="142">
        <v>5060</v>
      </c>
      <c r="D33" s="143" t="s">
        <v>81</v>
      </c>
      <c r="E33" s="142">
        <v>4064</v>
      </c>
      <c r="F33" s="143" t="s">
        <v>86</v>
      </c>
      <c r="G33" s="144">
        <v>1.4323658323796258</v>
      </c>
      <c r="H33" s="145">
        <v>0</v>
      </c>
      <c r="I33" s="146">
        <v>0</v>
      </c>
      <c r="J33" s="147">
        <v>1</v>
      </c>
      <c r="K33" s="148">
        <v>287</v>
      </c>
      <c r="M33" s="149">
        <f t="shared" si="0"/>
        <v>0.67276650870971677</v>
      </c>
      <c r="N33" s="138">
        <f t="shared" si="1"/>
        <v>0</v>
      </c>
      <c r="O33" s="149"/>
      <c r="V33" s="158">
        <f t="shared" si="2"/>
        <v>109.79318725445259</v>
      </c>
      <c r="W33" s="158">
        <f t="shared" si="3"/>
        <v>50.455656415038924</v>
      </c>
      <c r="X33" s="158">
        <f t="shared" si="4"/>
        <v>39.719352269939392</v>
      </c>
      <c r="Y33" s="158">
        <f t="shared" si="5"/>
        <v>34.033974424209738</v>
      </c>
      <c r="Z33" s="158">
        <f t="shared" si="6"/>
        <v>25.172862289186615</v>
      </c>
      <c r="AA33" s="158">
        <f t="shared" si="7"/>
        <v>19.687105436203463</v>
      </c>
    </row>
    <row r="34" spans="1:27" ht="19.5" thickBot="1" x14ac:dyDescent="0.35">
      <c r="A34" s="142">
        <v>262</v>
      </c>
      <c r="B34" s="143" t="s">
        <v>475</v>
      </c>
      <c r="C34" s="142">
        <v>5060</v>
      </c>
      <c r="D34" s="143" t="s">
        <v>81</v>
      </c>
      <c r="E34" s="142">
        <v>4092</v>
      </c>
      <c r="F34" s="143" t="s">
        <v>479</v>
      </c>
      <c r="G34" s="144">
        <v>2.4192814679252703</v>
      </c>
      <c r="H34" s="145">
        <v>2.4800752122263332</v>
      </c>
      <c r="I34" s="146">
        <v>1.9943938164986765</v>
      </c>
      <c r="J34" s="147">
        <v>0.95605166326305924</v>
      </c>
      <c r="K34" s="148">
        <v>271</v>
      </c>
      <c r="M34" s="149">
        <f t="shared" si="0"/>
        <v>0.80416666666666681</v>
      </c>
      <c r="N34" s="138">
        <f t="shared" si="1"/>
        <v>1.9943938164986765</v>
      </c>
      <c r="O34" s="149"/>
      <c r="V34" s="158">
        <f t="shared" si="2"/>
        <v>148.32265682135679</v>
      </c>
      <c r="W34" s="158">
        <f t="shared" si="3"/>
        <v>64.477069245040283</v>
      </c>
      <c r="X34" s="158">
        <f t="shared" si="4"/>
        <v>49.306371767248031</v>
      </c>
      <c r="Y34" s="158">
        <f t="shared" si="5"/>
        <v>41.272774154993805</v>
      </c>
      <c r="Z34" s="158">
        <f t="shared" si="6"/>
        <v>28.75177533636511</v>
      </c>
      <c r="AA34" s="158">
        <f t="shared" si="7"/>
        <v>21.000247759594743</v>
      </c>
    </row>
    <row r="35" spans="1:27" ht="19.5" thickBot="1" x14ac:dyDescent="0.35">
      <c r="A35" s="142">
        <v>262</v>
      </c>
      <c r="B35" s="143" t="s">
        <v>475</v>
      </c>
      <c r="C35" s="142">
        <v>5060</v>
      </c>
      <c r="D35" s="143" t="s">
        <v>81</v>
      </c>
      <c r="E35" s="142">
        <v>4041</v>
      </c>
      <c r="F35" s="143" t="s">
        <v>480</v>
      </c>
      <c r="G35" s="144">
        <v>2.4492784858856167</v>
      </c>
      <c r="H35" s="145">
        <v>11.431938083543686</v>
      </c>
      <c r="I35" s="146">
        <v>7.2878605282591007</v>
      </c>
      <c r="J35" s="147">
        <v>0.83940516364512019</v>
      </c>
      <c r="K35" s="148">
        <v>169</v>
      </c>
      <c r="M35" s="149">
        <f t="shared" si="0"/>
        <v>0.63750000000000007</v>
      </c>
      <c r="N35" s="138">
        <f t="shared" si="1"/>
        <v>7.2878605282591007</v>
      </c>
      <c r="O35" s="149"/>
      <c r="V35" s="158">
        <f t="shared" si="2"/>
        <v>166.30887220409397</v>
      </c>
      <c r="W35" s="158">
        <f t="shared" si="3"/>
        <v>59.231461736695458</v>
      </c>
      <c r="X35" s="158">
        <f t="shared" si="4"/>
        <v>39.857287759708065</v>
      </c>
      <c r="Y35" s="158">
        <f t="shared" si="5"/>
        <v>29.597751701542968</v>
      </c>
      <c r="Z35" s="158">
        <f t="shared" si="6"/>
        <v>13.607451332500979</v>
      </c>
      <c r="AA35" s="158">
        <f t="shared" si="7"/>
        <v>3.7081408967345233</v>
      </c>
    </row>
    <row r="36" spans="1:27" ht="19.5" thickBot="1" x14ac:dyDescent="0.35">
      <c r="A36" s="142">
        <v>262</v>
      </c>
      <c r="B36" s="143" t="s">
        <v>475</v>
      </c>
      <c r="C36" s="142">
        <v>5060</v>
      </c>
      <c r="D36" s="143" t="s">
        <v>81</v>
      </c>
      <c r="E36" s="142">
        <v>4085</v>
      </c>
      <c r="F36" s="143" t="s">
        <v>481</v>
      </c>
      <c r="G36" s="144">
        <v>3.7485407748762594</v>
      </c>
      <c r="H36" s="145">
        <v>6.6692618545213129</v>
      </c>
      <c r="I36" s="146">
        <v>4.3350202054388536</v>
      </c>
      <c r="J36" s="147">
        <v>0.90447376733019735</v>
      </c>
      <c r="K36" s="148">
        <v>235</v>
      </c>
      <c r="M36" s="149">
        <f t="shared" si="0"/>
        <v>0.65</v>
      </c>
      <c r="N36" s="138">
        <f t="shared" si="1"/>
        <v>4.3350202054388536</v>
      </c>
      <c r="O36" s="149"/>
      <c r="V36" s="158">
        <f t="shared" si="2"/>
        <v>268.98660988537216</v>
      </c>
      <c r="W36" s="158">
        <f t="shared" si="3"/>
        <v>108.25963757785456</v>
      </c>
      <c r="X36" s="158">
        <f t="shared" si="4"/>
        <v>79.178318645245795</v>
      </c>
      <c r="Y36" s="158">
        <f t="shared" si="5"/>
        <v>63.778392921315998</v>
      </c>
      <c r="Z36" s="158">
        <f t="shared" si="6"/>
        <v>39.776387704852517</v>
      </c>
      <c r="AA36" s="158">
        <f t="shared" si="7"/>
        <v>24.917173353965818</v>
      </c>
    </row>
    <row r="37" spans="1:27" ht="19.5" thickBot="1" x14ac:dyDescent="0.35">
      <c r="A37" s="142">
        <v>262</v>
      </c>
      <c r="B37" s="143" t="s">
        <v>475</v>
      </c>
      <c r="C37" s="142">
        <v>5060</v>
      </c>
      <c r="D37" s="143" t="s">
        <v>81</v>
      </c>
      <c r="E37" s="142">
        <v>4066</v>
      </c>
      <c r="F37" s="143" t="s">
        <v>482</v>
      </c>
      <c r="G37" s="144">
        <v>5.8039269676717034</v>
      </c>
      <c r="H37" s="145">
        <v>4.6520226995260225</v>
      </c>
      <c r="I37" s="146">
        <v>3.0022776125644794</v>
      </c>
      <c r="J37" s="147">
        <v>0.93384199930663525</v>
      </c>
      <c r="K37" s="148">
        <v>259</v>
      </c>
      <c r="M37" s="149">
        <f t="shared" si="0"/>
        <v>0.64537037037037037</v>
      </c>
      <c r="N37" s="138">
        <f t="shared" si="1"/>
        <v>3.0022776125644794</v>
      </c>
      <c r="O37" s="149"/>
      <c r="V37" s="158">
        <f t="shared" si="2"/>
        <v>433.08398278343594</v>
      </c>
      <c r="W37" s="158">
        <f t="shared" si="3"/>
        <v>182.44258867521316</v>
      </c>
      <c r="X37" s="158">
        <f t="shared" si="4"/>
        <v>137.09250078934812</v>
      </c>
      <c r="Y37" s="158">
        <f t="shared" si="5"/>
        <v>113.07749697764314</v>
      </c>
      <c r="Z37" s="158">
        <f t="shared" si="6"/>
        <v>75.648209519051079</v>
      </c>
      <c r="AA37" s="158">
        <f t="shared" si="7"/>
        <v>52.47640364981951</v>
      </c>
    </row>
    <row r="38" spans="1:27" ht="19.5" thickBot="1" x14ac:dyDescent="0.35">
      <c r="A38" s="142">
        <v>262</v>
      </c>
      <c r="B38" s="143" t="s">
        <v>475</v>
      </c>
      <c r="C38" s="142">
        <v>5060</v>
      </c>
      <c r="D38" s="143" t="s">
        <v>81</v>
      </c>
      <c r="E38" s="142">
        <v>4067</v>
      </c>
      <c r="F38" s="143" t="s">
        <v>483</v>
      </c>
      <c r="G38" s="144">
        <v>2.9206349206349214</v>
      </c>
      <c r="H38" s="145">
        <v>7.1902173913043459</v>
      </c>
      <c r="I38" s="146">
        <v>4.990353260869564</v>
      </c>
      <c r="J38" s="147">
        <v>0.89003288932673497</v>
      </c>
      <c r="K38" s="148">
        <v>221</v>
      </c>
      <c r="M38" s="149">
        <f t="shared" si="0"/>
        <v>0.69404761904761902</v>
      </c>
      <c r="N38" s="138">
        <f t="shared" si="1"/>
        <v>4.990353260869564</v>
      </c>
      <c r="O38" s="149"/>
      <c r="V38" s="158">
        <f t="shared" si="2"/>
        <v>193.14339617121075</v>
      </c>
      <c r="W38" s="158">
        <f t="shared" si="3"/>
        <v>75.862335229208327</v>
      </c>
      <c r="X38" s="158">
        <f t="shared" si="4"/>
        <v>54.641952059895218</v>
      </c>
      <c r="Y38" s="158">
        <f t="shared" si="5"/>
        <v>43.404761429097519</v>
      </c>
      <c r="Z38" s="158">
        <f t="shared" si="6"/>
        <v>25.890708895734083</v>
      </c>
      <c r="AA38" s="158">
        <f t="shared" si="7"/>
        <v>15.048070607853447</v>
      </c>
    </row>
    <row r="39" spans="1:27" ht="19.5" thickBot="1" x14ac:dyDescent="0.35">
      <c r="A39" s="142">
        <v>262</v>
      </c>
      <c r="B39" s="143" t="s">
        <v>475</v>
      </c>
      <c r="C39" s="142">
        <v>5060</v>
      </c>
      <c r="D39" s="143" t="s">
        <v>81</v>
      </c>
      <c r="E39" s="142">
        <v>4095</v>
      </c>
      <c r="F39" s="143" t="s">
        <v>92</v>
      </c>
      <c r="G39" s="144">
        <v>4.1371847501813255</v>
      </c>
      <c r="H39" s="145">
        <v>6.2844667497288986</v>
      </c>
      <c r="I39" s="146">
        <v>4.2541005690472549</v>
      </c>
      <c r="J39" s="147">
        <v>0.90625690734966058</v>
      </c>
      <c r="K39" s="148">
        <v>236</v>
      </c>
      <c r="M39" s="149">
        <f t="shared" si="0"/>
        <v>0.67692307692307696</v>
      </c>
      <c r="N39" s="138">
        <f t="shared" si="1"/>
        <v>4.2541005690472549</v>
      </c>
      <c r="O39" s="149"/>
      <c r="V39" s="158">
        <f t="shared" si="2"/>
        <v>285.62928217524131</v>
      </c>
      <c r="W39" s="158">
        <f t="shared" si="3"/>
        <v>115.29366183637605</v>
      </c>
      <c r="X39" s="158">
        <f t="shared" si="4"/>
        <v>84.47379116040355</v>
      </c>
      <c r="Y39" s="158">
        <f t="shared" si="5"/>
        <v>68.153220544918028</v>
      </c>
      <c r="Z39" s="158">
        <f t="shared" si="6"/>
        <v>42.716317272076601</v>
      </c>
      <c r="AA39" s="158">
        <f t="shared" si="7"/>
        <v>26.968783066281873</v>
      </c>
    </row>
    <row r="40" spans="1:27" ht="19.5" thickBot="1" x14ac:dyDescent="0.35">
      <c r="A40" s="142">
        <v>262</v>
      </c>
      <c r="B40" s="143" t="s">
        <v>475</v>
      </c>
      <c r="C40" s="142">
        <v>5060</v>
      </c>
      <c r="D40" s="143" t="s">
        <v>81</v>
      </c>
      <c r="E40" s="142">
        <v>4087</v>
      </c>
      <c r="F40" s="143" t="s">
        <v>93</v>
      </c>
      <c r="G40" s="144">
        <v>7.6785695594795067</v>
      </c>
      <c r="H40" s="145">
        <v>11.981398265308707</v>
      </c>
      <c r="I40" s="146">
        <v>7.8497693526248069</v>
      </c>
      <c r="J40" s="147">
        <v>0.82702297612308084</v>
      </c>
      <c r="K40" s="148">
        <v>158</v>
      </c>
      <c r="M40" s="149">
        <f t="shared" si="0"/>
        <v>0.65516304347826082</v>
      </c>
      <c r="N40" s="138">
        <f t="shared" si="1"/>
        <v>7.8497693526248069</v>
      </c>
      <c r="O40" s="149"/>
      <c r="V40" s="158">
        <f t="shared" si="2"/>
        <v>499.84380017916845</v>
      </c>
      <c r="W40" s="158">
        <f t="shared" si="3"/>
        <v>173.20271307676117</v>
      </c>
      <c r="X40" s="158">
        <f t="shared" si="4"/>
        <v>114.10153364096301</v>
      </c>
      <c r="Y40" s="158">
        <f t="shared" si="5"/>
        <v>82.804680303015388</v>
      </c>
      <c r="Z40" s="158">
        <f t="shared" si="6"/>
        <v>34.02605301982986</v>
      </c>
      <c r="AA40" s="158">
        <f t="shared" si="7"/>
        <v>3.8280728091722747</v>
      </c>
    </row>
    <row r="41" spans="1:27" ht="19.5" thickBot="1" x14ac:dyDescent="0.35">
      <c r="A41" s="142">
        <v>262</v>
      </c>
      <c r="B41" s="143" t="s">
        <v>475</v>
      </c>
      <c r="C41" s="142">
        <v>5060</v>
      </c>
      <c r="D41" s="143" t="s">
        <v>81</v>
      </c>
      <c r="E41" s="142">
        <v>4073</v>
      </c>
      <c r="F41" s="143" t="s">
        <v>484</v>
      </c>
      <c r="G41" s="144">
        <v>2.4205745913741672</v>
      </c>
      <c r="H41" s="145">
        <v>16.525002015034737</v>
      </c>
      <c r="I41" s="146">
        <v>10.885845077404134</v>
      </c>
      <c r="J41" s="147">
        <v>0.76012020235410604</v>
      </c>
      <c r="K41" s="148">
        <v>92</v>
      </c>
      <c r="M41" s="149">
        <f t="shared" si="0"/>
        <v>0.65875000000000006</v>
      </c>
      <c r="N41" s="138">
        <f t="shared" si="1"/>
        <v>10.885845077404134</v>
      </c>
      <c r="O41" s="149"/>
      <c r="V41" s="158">
        <f t="shared" si="2"/>
        <v>144.0342981272079</v>
      </c>
      <c r="W41" s="158">
        <f t="shared" si="3"/>
        <v>41.62539297629985</v>
      </c>
      <c r="X41" s="158">
        <f t="shared" si="4"/>
        <v>23.095920359005088</v>
      </c>
      <c r="Y41" s="158">
        <f t="shared" si="5"/>
        <v>13.283693387072068</v>
      </c>
      <c r="Z41" s="158">
        <f t="shared" si="6"/>
        <v>-2.0094403063910375</v>
      </c>
      <c r="AA41" s="158">
        <f t="shared" si="7"/>
        <v>-11.477147258311232</v>
      </c>
    </row>
    <row r="42" spans="1:27" ht="19.5" thickBot="1" x14ac:dyDescent="0.35">
      <c r="A42" s="142">
        <v>262</v>
      </c>
      <c r="B42" s="143" t="s">
        <v>475</v>
      </c>
      <c r="C42" s="142">
        <v>5060</v>
      </c>
      <c r="D42" s="143" t="s">
        <v>81</v>
      </c>
      <c r="E42" s="142">
        <v>4074</v>
      </c>
      <c r="F42" s="143" t="s">
        <v>485</v>
      </c>
      <c r="G42" s="144">
        <v>1.6157698529477824</v>
      </c>
      <c r="H42" s="145">
        <v>12.37800047049544</v>
      </c>
      <c r="I42" s="146">
        <v>8.0457003058220362</v>
      </c>
      <c r="J42" s="147">
        <v>0.82270545395816619</v>
      </c>
      <c r="K42" s="148">
        <v>154</v>
      </c>
      <c r="M42" s="149">
        <f t="shared" si="0"/>
        <v>0.65</v>
      </c>
      <c r="N42" s="138">
        <f t="shared" si="1"/>
        <v>8.0457003058220362</v>
      </c>
      <c r="O42" s="149"/>
      <c r="V42" s="158">
        <f t="shared" si="2"/>
        <v>105.46207790232911</v>
      </c>
      <c r="W42" s="158">
        <f t="shared" si="3"/>
        <v>36.182373610294945</v>
      </c>
      <c r="X42" s="158">
        <f t="shared" si="4"/>
        <v>23.647170917503111</v>
      </c>
      <c r="Y42" s="158">
        <f t="shared" si="5"/>
        <v>17.009191709932086</v>
      </c>
      <c r="Z42" s="158">
        <f t="shared" si="6"/>
        <v>6.6633748259374608</v>
      </c>
      <c r="AA42" s="158">
        <f t="shared" si="7"/>
        <v>0.25846368089480315</v>
      </c>
    </row>
    <row r="43" spans="1:27" ht="19.5" thickBot="1" x14ac:dyDescent="0.35">
      <c r="A43" s="142">
        <v>262</v>
      </c>
      <c r="B43" s="143" t="s">
        <v>475</v>
      </c>
      <c r="C43" s="142">
        <v>5060</v>
      </c>
      <c r="D43" s="143" t="s">
        <v>81</v>
      </c>
      <c r="E43" s="142">
        <v>4079</v>
      </c>
      <c r="F43" s="143" t="s">
        <v>486</v>
      </c>
      <c r="G43" s="144">
        <v>2.3852260407453945</v>
      </c>
      <c r="H43" s="145">
        <v>18.8661364714672</v>
      </c>
      <c r="I43" s="146">
        <v>12.409725323453982</v>
      </c>
      <c r="J43" s="147">
        <v>0.72654007307064006</v>
      </c>
      <c r="K43" s="148">
        <v>64</v>
      </c>
      <c r="M43" s="149">
        <f t="shared" si="0"/>
        <v>0.65777777777777779</v>
      </c>
      <c r="N43" s="138">
        <f t="shared" si="1"/>
        <v>12.409725323453982</v>
      </c>
      <c r="O43" s="149"/>
      <c r="V43" s="158">
        <f t="shared" si="2"/>
        <v>135.86128611278281</v>
      </c>
      <c r="W43" s="158">
        <f t="shared" si="3"/>
        <v>34.798742193985497</v>
      </c>
      <c r="X43" s="158">
        <f t="shared" si="4"/>
        <v>16.512874989194859</v>
      </c>
      <c r="Y43" s="158">
        <f t="shared" si="5"/>
        <v>6.829648537052722</v>
      </c>
      <c r="Z43" s="158">
        <f t="shared" si="6"/>
        <v>-8.2624276185720102</v>
      </c>
      <c r="AA43" s="158">
        <f t="shared" si="7"/>
        <v>-17.605663426324938</v>
      </c>
    </row>
    <row r="44" spans="1:27" ht="19.5" thickBot="1" x14ac:dyDescent="0.35">
      <c r="A44" s="142">
        <v>262</v>
      </c>
      <c r="B44" s="143" t="s">
        <v>475</v>
      </c>
      <c r="C44" s="142">
        <v>5060</v>
      </c>
      <c r="D44" s="143" t="s">
        <v>81</v>
      </c>
      <c r="E44" s="142">
        <v>4031</v>
      </c>
      <c r="F44" s="143" t="s">
        <v>487</v>
      </c>
      <c r="G44" s="144">
        <v>2.9406015037593991</v>
      </c>
      <c r="H44" s="145">
        <v>23.124520582971101</v>
      </c>
      <c r="I44" s="146">
        <v>14.954423421119916</v>
      </c>
      <c r="J44" s="147">
        <v>0.67046526579591093</v>
      </c>
      <c r="K44" s="148">
        <v>38</v>
      </c>
      <c r="M44" s="149">
        <f t="shared" si="0"/>
        <v>0.64669117647058827</v>
      </c>
      <c r="N44" s="138">
        <f t="shared" si="1"/>
        <v>14.954423421119916</v>
      </c>
      <c r="O44" s="149"/>
      <c r="V44" s="158">
        <f t="shared" si="2"/>
        <v>157.21765948228574</v>
      </c>
      <c r="W44" s="158">
        <f t="shared" si="3"/>
        <v>30.487751155871383</v>
      </c>
      <c r="X44" s="158">
        <f t="shared" si="4"/>
        <v>7.5577299563844225</v>
      </c>
      <c r="Y44" s="158">
        <f t="shared" si="5"/>
        <v>-4.5847943953664023</v>
      </c>
      <c r="Z44" s="158">
        <f t="shared" si="6"/>
        <v>-23.50988131178476</v>
      </c>
      <c r="AA44" s="158">
        <f t="shared" si="7"/>
        <v>-35.226065879036362</v>
      </c>
    </row>
    <row r="45" spans="1:27" ht="19.5" thickBot="1" x14ac:dyDescent="0.35">
      <c r="A45" s="142">
        <v>262</v>
      </c>
      <c r="B45" s="143" t="s">
        <v>475</v>
      </c>
      <c r="C45" s="142">
        <v>5060</v>
      </c>
      <c r="D45" s="143" t="s">
        <v>81</v>
      </c>
      <c r="E45" s="142">
        <v>4071</v>
      </c>
      <c r="F45" s="143" t="s">
        <v>98</v>
      </c>
      <c r="G45" s="144">
        <v>8.6630214135911014</v>
      </c>
      <c r="H45" s="145">
        <v>12.813081568268561</v>
      </c>
      <c r="I45" s="146">
        <v>8.3833337738333711</v>
      </c>
      <c r="J45" s="147">
        <v>0.81526538408677374</v>
      </c>
      <c r="K45" s="148">
        <v>137</v>
      </c>
      <c r="M45" s="149">
        <f t="shared" si="0"/>
        <v>0.6542792792792792</v>
      </c>
      <c r="N45" s="138">
        <f t="shared" si="1"/>
        <v>8.3833337738333711</v>
      </c>
      <c r="O45" s="149"/>
      <c r="V45" s="158">
        <f t="shared" si="2"/>
        <v>556.6612972828683</v>
      </c>
      <c r="W45" s="158">
        <f t="shared" si="3"/>
        <v>187.64452789100096</v>
      </c>
      <c r="X45" s="158">
        <f t="shared" si="4"/>
        <v>120.87605581629923</v>
      </c>
      <c r="Y45" s="158">
        <f t="shared" si="5"/>
        <v>85.519010524321885</v>
      </c>
      <c r="Z45" s="158">
        <f t="shared" si="6"/>
        <v>30.412252170410991</v>
      </c>
      <c r="AA45" s="158">
        <f t="shared" si="7"/>
        <v>-3.7033613868103599</v>
      </c>
    </row>
    <row r="46" spans="1:27" ht="19.5" thickBot="1" x14ac:dyDescent="0.35">
      <c r="A46" s="142">
        <v>262</v>
      </c>
      <c r="B46" s="143" t="s">
        <v>475</v>
      </c>
      <c r="C46" s="142">
        <v>5060</v>
      </c>
      <c r="D46" s="143" t="s">
        <v>81</v>
      </c>
      <c r="E46" s="142">
        <v>4080</v>
      </c>
      <c r="F46" s="143" t="s">
        <v>488</v>
      </c>
      <c r="G46" s="144">
        <v>2.3098195906539942</v>
      </c>
      <c r="H46" s="145">
        <v>0.8658684895099219</v>
      </c>
      <c r="I46" s="146">
        <v>0.31387732744734664</v>
      </c>
      <c r="J46" s="147">
        <v>0.99308341894833785</v>
      </c>
      <c r="K46" s="148">
        <v>282</v>
      </c>
      <c r="M46" s="149">
        <f t="shared" si="0"/>
        <v>0.36249999999999993</v>
      </c>
      <c r="N46" s="138">
        <f t="shared" si="1"/>
        <v>0.31387732744734664</v>
      </c>
      <c r="O46" s="149"/>
      <c r="V46" s="158">
        <f t="shared" si="2"/>
        <v>326.31841562743341</v>
      </c>
      <c r="W46" s="158">
        <f t="shared" si="3"/>
        <v>148.73192266763687</v>
      </c>
      <c r="X46" s="158">
        <f t="shared" si="4"/>
        <v>116.60010704426885</v>
      </c>
      <c r="Y46" s="158">
        <f t="shared" si="5"/>
        <v>99.584799893944748</v>
      </c>
      <c r="Z46" s="158">
        <f t="shared" si="6"/>
        <v>73.065094649704761</v>
      </c>
      <c r="AA46" s="158">
        <f t="shared" si="7"/>
        <v>56.647217010206504</v>
      </c>
    </row>
    <row r="47" spans="1:27" ht="19.5" thickBot="1" x14ac:dyDescent="0.35">
      <c r="A47" s="142">
        <v>262</v>
      </c>
      <c r="B47" s="143" t="s">
        <v>475</v>
      </c>
      <c r="C47" s="142">
        <v>5101</v>
      </c>
      <c r="D47" s="143" t="s">
        <v>100</v>
      </c>
      <c r="E47" s="142">
        <v>4113</v>
      </c>
      <c r="F47" s="143" t="s">
        <v>489</v>
      </c>
      <c r="G47" s="144">
        <v>2.9631336405529956</v>
      </c>
      <c r="H47" s="145">
        <v>20.586314152410573</v>
      </c>
      <c r="I47" s="146">
        <v>14.67196734059098</v>
      </c>
      <c r="J47" s="147">
        <v>0.67668945022618299</v>
      </c>
      <c r="K47" s="148">
        <v>39</v>
      </c>
      <c r="M47" s="149">
        <f t="shared" si="0"/>
        <v>0.71270491803278702</v>
      </c>
      <c r="N47" s="138">
        <f t="shared" si="1"/>
        <v>14.67196734059098</v>
      </c>
      <c r="O47" s="149"/>
      <c r="V47" s="158">
        <f t="shared" si="2"/>
        <v>145.08305521746621</v>
      </c>
      <c r="W47" s="158">
        <f t="shared" si="3"/>
        <v>29.210291772434974</v>
      </c>
      <c r="X47" s="158">
        <f t="shared" si="4"/>
        <v>8.2447205246894111</v>
      </c>
      <c r="Y47" s="158">
        <f t="shared" si="5"/>
        <v>-2.8575352128592866</v>
      </c>
      <c r="Z47" s="158">
        <f t="shared" si="6"/>
        <v>-20.161281016845894</v>
      </c>
      <c r="AA47" s="158">
        <f t="shared" si="7"/>
        <v>-30.873722150652888</v>
      </c>
    </row>
    <row r="48" spans="1:27" ht="19.5" thickBot="1" x14ac:dyDescent="0.35">
      <c r="A48" s="142">
        <v>262</v>
      </c>
      <c r="B48" s="143" t="s">
        <v>475</v>
      </c>
      <c r="C48" s="142">
        <v>5101</v>
      </c>
      <c r="D48" s="143" t="s">
        <v>100</v>
      </c>
      <c r="E48" s="142">
        <v>4111</v>
      </c>
      <c r="F48" s="143" t="s">
        <v>490</v>
      </c>
      <c r="G48" s="144">
        <v>3.6627518924840063</v>
      </c>
      <c r="H48" s="145">
        <v>10.374713088805244</v>
      </c>
      <c r="I48" s="146">
        <v>6.4568938039537898</v>
      </c>
      <c r="J48" s="147">
        <v>0.85771629413241557</v>
      </c>
      <c r="K48" s="148">
        <v>188</v>
      </c>
      <c r="M48" s="149">
        <f t="shared" si="0"/>
        <v>0.62236842105263157</v>
      </c>
      <c r="N48" s="138">
        <f t="shared" si="1"/>
        <v>6.4568938039537898</v>
      </c>
      <c r="O48" s="149"/>
      <c r="V48" s="158">
        <f t="shared" si="2"/>
        <v>260.30913967954865</v>
      </c>
      <c r="W48" s="158">
        <f t="shared" si="3"/>
        <v>96.287996638619845</v>
      </c>
      <c r="X48" s="158">
        <f t="shared" si="4"/>
        <v>66.610643149138397</v>
      </c>
      <c r="Y48" s="158">
        <f t="shared" si="5"/>
        <v>50.895089102916721</v>
      </c>
      <c r="Z48" s="158">
        <f t="shared" si="6"/>
        <v>26.401152121721307</v>
      </c>
      <c r="AA48" s="158">
        <f t="shared" si="7"/>
        <v>11.237391568455315</v>
      </c>
    </row>
    <row r="49" spans="1:27" ht="19.5" thickBot="1" x14ac:dyDescent="0.35">
      <c r="A49" s="142">
        <v>262</v>
      </c>
      <c r="B49" s="143" t="s">
        <v>475</v>
      </c>
      <c r="C49" s="142">
        <v>5101</v>
      </c>
      <c r="D49" s="143" t="s">
        <v>100</v>
      </c>
      <c r="E49" s="142">
        <v>4104</v>
      </c>
      <c r="F49" s="143" t="s">
        <v>491</v>
      </c>
      <c r="G49" s="144">
        <v>4.5139963627053952</v>
      </c>
      <c r="H49" s="145">
        <v>3.5445309908071443</v>
      </c>
      <c r="I49" s="146">
        <v>2.3039451440246439</v>
      </c>
      <c r="J49" s="147">
        <v>0.94923040967365457</v>
      </c>
      <c r="K49" s="148">
        <v>266</v>
      </c>
      <c r="M49" s="149">
        <f t="shared" si="0"/>
        <v>0.65</v>
      </c>
      <c r="N49" s="138">
        <f t="shared" si="1"/>
        <v>2.3039451440246439</v>
      </c>
      <c r="O49" s="149"/>
      <c r="V49" s="158">
        <f t="shared" si="2"/>
        <v>339.94236727932105</v>
      </c>
      <c r="W49" s="158">
        <f t="shared" si="3"/>
        <v>146.39479451516067</v>
      </c>
      <c r="X49" s="158">
        <f t="shared" si="4"/>
        <v>111.37504262549234</v>
      </c>
      <c r="Y49" s="158">
        <f t="shared" si="5"/>
        <v>92.830437436811422</v>
      </c>
      <c r="Z49" s="158">
        <f t="shared" si="6"/>
        <v>63.927199950131424</v>
      </c>
      <c r="AA49" s="158">
        <f t="shared" si="7"/>
        <v>46.033719910614828</v>
      </c>
    </row>
    <row r="50" spans="1:27" ht="19.5" thickBot="1" x14ac:dyDescent="0.35">
      <c r="A50" s="142">
        <v>262</v>
      </c>
      <c r="B50" s="143" t="s">
        <v>475</v>
      </c>
      <c r="C50" s="142">
        <v>5101</v>
      </c>
      <c r="D50" s="143" t="s">
        <v>100</v>
      </c>
      <c r="E50" s="142">
        <v>4008</v>
      </c>
      <c r="F50" s="143" t="s">
        <v>492</v>
      </c>
      <c r="G50" s="144">
        <v>2.2098362646270302</v>
      </c>
      <c r="H50" s="145">
        <v>10.408010931923897</v>
      </c>
      <c r="I50" s="146">
        <v>6.4484415556485013</v>
      </c>
      <c r="J50" s="147">
        <v>0.8579025473446108</v>
      </c>
      <c r="K50" s="148">
        <v>189</v>
      </c>
      <c r="M50" s="149">
        <f t="shared" si="0"/>
        <v>0.61956521739130432</v>
      </c>
      <c r="N50" s="138">
        <f t="shared" si="1"/>
        <v>6.4484415556485013</v>
      </c>
      <c r="O50" s="149"/>
      <c r="V50" s="158">
        <f t="shared" si="2"/>
        <v>157.79630473981626</v>
      </c>
      <c r="W50" s="158">
        <f t="shared" si="3"/>
        <v>58.390224498670818</v>
      </c>
      <c r="X50" s="158">
        <f t="shared" si="4"/>
        <v>40.404071447755406</v>
      </c>
      <c r="Y50" s="158">
        <f t="shared" si="5"/>
        <v>30.879557732088021</v>
      </c>
      <c r="Z50" s="158">
        <f t="shared" si="6"/>
        <v>16.034847959722299</v>
      </c>
      <c r="AA50" s="158">
        <f t="shared" si="7"/>
        <v>6.8447522783421526</v>
      </c>
    </row>
    <row r="51" spans="1:27" ht="19.5" thickBot="1" x14ac:dyDescent="0.35">
      <c r="A51" s="142">
        <v>262</v>
      </c>
      <c r="B51" s="143" t="s">
        <v>475</v>
      </c>
      <c r="C51" s="142">
        <v>5101</v>
      </c>
      <c r="D51" s="143" t="s">
        <v>100</v>
      </c>
      <c r="E51" s="142">
        <v>4007</v>
      </c>
      <c r="F51" s="143" t="s">
        <v>493</v>
      </c>
      <c r="G51" s="144">
        <v>7.7514398573821319</v>
      </c>
      <c r="H51" s="145">
        <v>26.575707712395474</v>
      </c>
      <c r="I51" s="146">
        <v>17.664460089901702</v>
      </c>
      <c r="J51" s="147">
        <v>0.61074706816422575</v>
      </c>
      <c r="K51" s="148">
        <v>22</v>
      </c>
      <c r="M51" s="149">
        <f t="shared" si="0"/>
        <v>0.66468446601941755</v>
      </c>
      <c r="N51" s="138">
        <f t="shared" si="1"/>
        <v>17.664460089901702</v>
      </c>
      <c r="O51" s="149"/>
      <c r="V51" s="158">
        <f t="shared" si="2"/>
        <v>367.29417999988289</v>
      </c>
      <c r="W51" s="158">
        <f t="shared" si="3"/>
        <v>42.276688818149871</v>
      </c>
      <c r="X51" s="158">
        <f t="shared" si="4"/>
        <v>-16.530723429049253</v>
      </c>
      <c r="Y51" s="158">
        <f t="shared" si="5"/>
        <v>-47.672013228251089</v>
      </c>
      <c r="Z51" s="158">
        <f t="shared" si="6"/>
        <v>-96.208182402520748</v>
      </c>
      <c r="AA51" s="158">
        <f t="shared" si="7"/>
        <v>-126.25606111211623</v>
      </c>
    </row>
    <row r="52" spans="1:27" ht="19.5" thickBot="1" x14ac:dyDescent="0.35">
      <c r="A52" s="142">
        <v>262</v>
      </c>
      <c r="B52" s="143" t="s">
        <v>475</v>
      </c>
      <c r="C52" s="142">
        <v>5101</v>
      </c>
      <c r="D52" s="143" t="s">
        <v>100</v>
      </c>
      <c r="E52" s="142">
        <v>4015</v>
      </c>
      <c r="F52" s="143" t="s">
        <v>106</v>
      </c>
      <c r="G52" s="144">
        <v>4.7798890689306095</v>
      </c>
      <c r="H52" s="145">
        <v>15.690740709340254</v>
      </c>
      <c r="I52" s="146">
        <v>9.6393450424380305</v>
      </c>
      <c r="J52" s="147">
        <v>0.78758799874723373</v>
      </c>
      <c r="K52" s="148">
        <v>116</v>
      </c>
      <c r="M52" s="149">
        <f t="shared" si="0"/>
        <v>0.6143333333333334</v>
      </c>
      <c r="N52" s="138">
        <f t="shared" si="1"/>
        <v>9.6393450424380305</v>
      </c>
      <c r="O52" s="149"/>
      <c r="V52" s="158">
        <f t="shared" si="2"/>
        <v>316.00840239757065</v>
      </c>
      <c r="W52" s="158">
        <f t="shared" si="3"/>
        <v>99.161302482199275</v>
      </c>
      <c r="X52" s="158">
        <f t="shared" si="4"/>
        <v>59.925823945438189</v>
      </c>
      <c r="Y52" s="158">
        <f t="shared" si="5"/>
        <v>39.148793281555605</v>
      </c>
      <c r="Z52" s="158">
        <f t="shared" si="6"/>
        <v>6.7661436949915883</v>
      </c>
      <c r="AA52" s="158">
        <f t="shared" si="7"/>
        <v>-13.281378464796777</v>
      </c>
    </row>
    <row r="53" spans="1:27" ht="19.5" thickBot="1" x14ac:dyDescent="0.35">
      <c r="A53" s="142">
        <v>262</v>
      </c>
      <c r="B53" s="143" t="s">
        <v>475</v>
      </c>
      <c r="C53" s="142">
        <v>5101</v>
      </c>
      <c r="D53" s="143" t="s">
        <v>100</v>
      </c>
      <c r="E53" s="142">
        <v>4109</v>
      </c>
      <c r="F53" s="143" t="s">
        <v>494</v>
      </c>
      <c r="G53" s="144">
        <v>2.5187938061803754</v>
      </c>
      <c r="H53" s="145">
        <v>6.7492622692206981</v>
      </c>
      <c r="I53" s="146">
        <v>4.387020474993454</v>
      </c>
      <c r="J53" s="147">
        <v>0.90332789265996316</v>
      </c>
      <c r="K53" s="148">
        <v>233</v>
      </c>
      <c r="M53" s="149">
        <f t="shared" si="0"/>
        <v>0.65</v>
      </c>
      <c r="N53" s="138">
        <f t="shared" si="1"/>
        <v>4.387020474993454</v>
      </c>
      <c r="O53" s="149"/>
      <c r="V53" s="158">
        <f t="shared" si="2"/>
        <v>180.51383125909169</v>
      </c>
      <c r="W53" s="158">
        <f t="shared" si="3"/>
        <v>72.514978732894008</v>
      </c>
      <c r="X53" s="158">
        <f t="shared" si="4"/>
        <v>52.97408258099631</v>
      </c>
      <c r="Y53" s="158">
        <f t="shared" si="5"/>
        <v>42.626259292252008</v>
      </c>
      <c r="Z53" s="158">
        <f t="shared" si="6"/>
        <v>26.498356274541621</v>
      </c>
      <c r="AA53" s="158">
        <f t="shared" si="7"/>
        <v>16.513858487411248</v>
      </c>
    </row>
    <row r="54" spans="1:27" ht="19.5" thickBot="1" x14ac:dyDescent="0.35">
      <c r="A54" s="142">
        <v>262</v>
      </c>
      <c r="B54" s="143" t="s">
        <v>475</v>
      </c>
      <c r="C54" s="142">
        <v>5101</v>
      </c>
      <c r="D54" s="143" t="s">
        <v>100</v>
      </c>
      <c r="E54" s="142">
        <v>4129</v>
      </c>
      <c r="F54" s="143" t="s">
        <v>495</v>
      </c>
      <c r="G54" s="144">
        <v>2.5697043736581602</v>
      </c>
      <c r="H54" s="145">
        <v>23.73813915145503</v>
      </c>
      <c r="I54" s="146">
        <v>16.422122494941021</v>
      </c>
      <c r="J54" s="147">
        <v>0.63812314129111969</v>
      </c>
      <c r="K54" s="148">
        <v>29</v>
      </c>
      <c r="M54" s="149">
        <f t="shared" si="0"/>
        <v>0.69180327868852465</v>
      </c>
      <c r="N54" s="138">
        <f t="shared" si="1"/>
        <v>16.422122494941021</v>
      </c>
      <c r="O54" s="149"/>
      <c r="V54" s="158">
        <f t="shared" si="2"/>
        <v>122.23366834846931</v>
      </c>
      <c r="W54" s="158">
        <f t="shared" si="3"/>
        <v>18.709814994358229</v>
      </c>
      <c r="X54" s="158">
        <f t="shared" si="4"/>
        <v>-2.1392053848658679E-2</v>
      </c>
      <c r="Y54" s="158">
        <f t="shared" si="5"/>
        <v>-9.9404468921245037</v>
      </c>
      <c r="Z54" s="158">
        <f t="shared" si="6"/>
        <v>-25.400080285079017</v>
      </c>
      <c r="AA54" s="158">
        <f t="shared" si="7"/>
        <v>-34.97086423834925</v>
      </c>
    </row>
    <row r="55" spans="1:27" ht="19.5" thickBot="1" x14ac:dyDescent="0.35">
      <c r="A55" s="142">
        <v>262</v>
      </c>
      <c r="B55" s="143" t="s">
        <v>475</v>
      </c>
      <c r="C55" s="142">
        <v>5101</v>
      </c>
      <c r="D55" s="143" t="s">
        <v>100</v>
      </c>
      <c r="E55" s="142">
        <v>4116</v>
      </c>
      <c r="F55" s="143" t="s">
        <v>109</v>
      </c>
      <c r="G55" s="144">
        <v>5.2395012254440703</v>
      </c>
      <c r="H55" s="145">
        <v>6.1074515727950542</v>
      </c>
      <c r="I55" s="146">
        <v>3.8601002518681242</v>
      </c>
      <c r="J55" s="147">
        <v>0.91493907356508175</v>
      </c>
      <c r="K55" s="148">
        <v>243</v>
      </c>
      <c r="M55" s="149">
        <f t="shared" si="0"/>
        <v>0.63203125000000004</v>
      </c>
      <c r="N55" s="138">
        <f t="shared" si="1"/>
        <v>3.8601002518681242</v>
      </c>
      <c r="O55" s="149"/>
      <c r="V55" s="158">
        <f t="shared" si="2"/>
        <v>391.13742537778353</v>
      </c>
      <c r="W55" s="158">
        <f t="shared" si="3"/>
        <v>160.09524444378522</v>
      </c>
      <c r="X55" s="158">
        <f t="shared" si="4"/>
        <v>118.29136265491113</v>
      </c>
      <c r="Y55" s="158">
        <f t="shared" si="5"/>
        <v>96.154241707527348</v>
      </c>
      <c r="Z55" s="158">
        <f t="shared" si="6"/>
        <v>61.65178358002143</v>
      </c>
      <c r="AA55" s="158">
        <f t="shared" si="7"/>
        <v>40.291925671256131</v>
      </c>
    </row>
    <row r="56" spans="1:27" ht="19.5" thickBot="1" x14ac:dyDescent="0.35">
      <c r="A56" s="142">
        <v>262</v>
      </c>
      <c r="B56" s="143" t="s">
        <v>475</v>
      </c>
      <c r="C56" s="142">
        <v>5101</v>
      </c>
      <c r="D56" s="143" t="s">
        <v>100</v>
      </c>
      <c r="E56" s="142">
        <v>4126</v>
      </c>
      <c r="F56" s="143" t="s">
        <v>496</v>
      </c>
      <c r="G56" s="144">
        <v>2.6352440240385908</v>
      </c>
      <c r="H56" s="145">
        <v>14.799388460515821</v>
      </c>
      <c r="I56" s="146">
        <v>10.283677622563559</v>
      </c>
      <c r="J56" s="147">
        <v>0.77338952652590887</v>
      </c>
      <c r="K56" s="148">
        <v>104</v>
      </c>
      <c r="M56" s="149">
        <f t="shared" si="0"/>
        <v>0.69487179487179496</v>
      </c>
      <c r="N56" s="138">
        <f t="shared" si="1"/>
        <v>10.283677622563559</v>
      </c>
      <c r="O56" s="149"/>
      <c r="V56" s="158">
        <f t="shared" si="2"/>
        <v>151.25169250737014</v>
      </c>
      <c r="W56" s="158">
        <f t="shared" si="3"/>
        <v>45.556305213819492</v>
      </c>
      <c r="X56" s="158">
        <f t="shared" si="4"/>
        <v>26.432189183634144</v>
      </c>
      <c r="Y56" s="158">
        <f t="shared" si="5"/>
        <v>16.305070565556747</v>
      </c>
      <c r="Z56" s="158">
        <f t="shared" si="6"/>
        <v>0.52115327554459867</v>
      </c>
      <c r="AA56" s="158">
        <f t="shared" si="7"/>
        <v>-9.2503890682627308</v>
      </c>
    </row>
    <row r="57" spans="1:27" ht="19.5" thickBot="1" x14ac:dyDescent="0.35">
      <c r="A57" s="142">
        <v>262</v>
      </c>
      <c r="B57" s="143" t="s">
        <v>475</v>
      </c>
      <c r="C57" s="142">
        <v>5101</v>
      </c>
      <c r="D57" s="143" t="s">
        <v>100</v>
      </c>
      <c r="E57" s="142">
        <v>4119</v>
      </c>
      <c r="F57" s="143" t="s">
        <v>497</v>
      </c>
      <c r="G57" s="144">
        <v>5.3559300765240208</v>
      </c>
      <c r="H57" s="145">
        <v>23.712034732615955</v>
      </c>
      <c r="I57" s="146">
        <v>14.955385685689274</v>
      </c>
      <c r="J57" s="147">
        <v>0.67044406139436585</v>
      </c>
      <c r="K57" s="148">
        <v>37</v>
      </c>
      <c r="M57" s="149">
        <f t="shared" si="0"/>
        <v>0.63070866141732274</v>
      </c>
      <c r="N57" s="138">
        <f t="shared" si="1"/>
        <v>14.955385685689274</v>
      </c>
      <c r="O57" s="149"/>
      <c r="V57" s="158">
        <f t="shared" si="2"/>
        <v>293.59892090130927</v>
      </c>
      <c r="W57" s="158">
        <f t="shared" si="3"/>
        <v>56.927409330169546</v>
      </c>
      <c r="X57" s="158">
        <f t="shared" si="4"/>
        <v>14.104978151074876</v>
      </c>
      <c r="Y57" s="158">
        <f t="shared" si="5"/>
        <v>-8.5715125887140964</v>
      </c>
      <c r="Z57" s="158">
        <f t="shared" si="6"/>
        <v>-43.914621301358572</v>
      </c>
      <c r="AA57" s="158">
        <f t="shared" si="7"/>
        <v>-65.794911029303904</v>
      </c>
    </row>
    <row r="58" spans="1:27" ht="19.5" thickBot="1" x14ac:dyDescent="0.35">
      <c r="A58" s="142">
        <v>262</v>
      </c>
      <c r="B58" s="143" t="s">
        <v>475</v>
      </c>
      <c r="C58" s="142">
        <v>5101</v>
      </c>
      <c r="D58" s="143" t="s">
        <v>100</v>
      </c>
      <c r="E58" s="142">
        <v>4127</v>
      </c>
      <c r="F58" s="143" t="s">
        <v>498</v>
      </c>
      <c r="G58" s="144">
        <v>1.3827908004778966</v>
      </c>
      <c r="H58" s="145">
        <v>24.587956463298351</v>
      </c>
      <c r="I58" s="146">
        <v>16.39799743544971</v>
      </c>
      <c r="J58" s="147">
        <v>0.63865475958513562</v>
      </c>
      <c r="K58" s="148">
        <v>31</v>
      </c>
      <c r="M58" s="149">
        <f t="shared" si="0"/>
        <v>0.66691176470588243</v>
      </c>
      <c r="N58" s="138">
        <f t="shared" si="1"/>
        <v>16.39799743544971</v>
      </c>
      <c r="O58" s="149"/>
      <c r="V58" s="158">
        <f t="shared" si="2"/>
        <v>68.287318524233825</v>
      </c>
      <c r="W58" s="158">
        <f t="shared" si="3"/>
        <v>10.500606558543835</v>
      </c>
      <c r="X58" s="158">
        <f t="shared" si="4"/>
        <v>4.4901603648535196E-2</v>
      </c>
      <c r="Y58" s="158">
        <f t="shared" si="5"/>
        <v>-5.4918857776199363</v>
      </c>
      <c r="Z58" s="158">
        <f t="shared" si="6"/>
        <v>-14.121407892856659</v>
      </c>
      <c r="AA58" s="158">
        <f t="shared" si="7"/>
        <v>-19.463791485376902</v>
      </c>
    </row>
    <row r="59" spans="1:27" ht="19.5" thickBot="1" x14ac:dyDescent="0.35">
      <c r="A59" s="142">
        <v>262</v>
      </c>
      <c r="B59" s="143" t="s">
        <v>475</v>
      </c>
      <c r="C59" s="142">
        <v>5101</v>
      </c>
      <c r="D59" s="143" t="s">
        <v>100</v>
      </c>
      <c r="E59" s="142">
        <v>4121</v>
      </c>
      <c r="F59" s="143" t="s">
        <v>499</v>
      </c>
      <c r="G59" s="144">
        <v>3.0026688585262442</v>
      </c>
      <c r="H59" s="145">
        <v>13.987556396949559</v>
      </c>
      <c r="I59" s="146">
        <v>9.0919116580172137</v>
      </c>
      <c r="J59" s="147">
        <v>0.79965120638483389</v>
      </c>
      <c r="K59" s="148">
        <v>123</v>
      </c>
      <c r="M59" s="149">
        <f t="shared" si="0"/>
        <v>0.65</v>
      </c>
      <c r="N59" s="138">
        <f t="shared" si="1"/>
        <v>9.0919116580172137</v>
      </c>
      <c r="O59" s="149"/>
      <c r="V59" s="158">
        <f t="shared" si="2"/>
        <v>190.49364124013647</v>
      </c>
      <c r="W59" s="158">
        <f t="shared" si="3"/>
        <v>61.747576182614424</v>
      </c>
      <c r="X59" s="158">
        <f t="shared" si="4"/>
        <v>38.452759354405686</v>
      </c>
      <c r="Y59" s="158">
        <f t="shared" si="5"/>
        <v>26.117058565239908</v>
      </c>
      <c r="Z59" s="158">
        <f t="shared" si="6"/>
        <v>6.8908908552092214</v>
      </c>
      <c r="AA59" s="158">
        <f t="shared" si="7"/>
        <v>-5.0116874740998947</v>
      </c>
    </row>
    <row r="60" spans="1:27" ht="19.5" thickBot="1" x14ac:dyDescent="0.35">
      <c r="A60" s="142">
        <v>262</v>
      </c>
      <c r="B60" s="143" t="s">
        <v>475</v>
      </c>
      <c r="C60" s="142">
        <v>5101</v>
      </c>
      <c r="D60" s="143" t="s">
        <v>100</v>
      </c>
      <c r="E60" s="142">
        <v>4101</v>
      </c>
      <c r="F60" s="143" t="s">
        <v>500</v>
      </c>
      <c r="G60" s="144">
        <v>8.0969419466873145</v>
      </c>
      <c r="H60" s="145">
        <v>8.1512255410207608</v>
      </c>
      <c r="I60" s="146">
        <v>6.6105204103505493</v>
      </c>
      <c r="J60" s="147">
        <v>0.85433098789358497</v>
      </c>
      <c r="K60" s="148">
        <v>185</v>
      </c>
      <c r="M60" s="149">
        <f t="shared" si="0"/>
        <v>0.81098484848484853</v>
      </c>
      <c r="N60" s="138">
        <f t="shared" si="1"/>
        <v>6.6105204103505493</v>
      </c>
      <c r="O60" s="149"/>
      <c r="V60" s="158">
        <f t="shared" si="2"/>
        <v>439.86585180663212</v>
      </c>
      <c r="W60" s="158">
        <f t="shared" si="3"/>
        <v>161.6075270079042</v>
      </c>
      <c r="X60" s="158">
        <f t="shared" si="4"/>
        <v>111.2605381176844</v>
      </c>
      <c r="Y60" s="158">
        <f t="shared" si="5"/>
        <v>84.599440279253258</v>
      </c>
      <c r="Z60" s="158">
        <f t="shared" si="6"/>
        <v>43.046005485713792</v>
      </c>
      <c r="AA60" s="158">
        <f t="shared" si="7"/>
        <v>17.32101338425079</v>
      </c>
    </row>
    <row r="61" spans="1:27" ht="19.5" thickBot="1" x14ac:dyDescent="0.35">
      <c r="A61" s="142">
        <v>262</v>
      </c>
      <c r="B61" s="143" t="s">
        <v>475</v>
      </c>
      <c r="C61" s="142">
        <v>5101</v>
      </c>
      <c r="D61" s="143" t="s">
        <v>100</v>
      </c>
      <c r="E61" s="142">
        <v>4110</v>
      </c>
      <c r="F61" s="143" t="s">
        <v>115</v>
      </c>
      <c r="G61" s="144">
        <v>1.8954203691045792</v>
      </c>
      <c r="H61" s="145">
        <v>21.631085467003249</v>
      </c>
      <c r="I61" s="146">
        <v>14.244861161197262</v>
      </c>
      <c r="J61" s="147">
        <v>0.6861011351397357</v>
      </c>
      <c r="K61" s="148">
        <v>47</v>
      </c>
      <c r="M61" s="149">
        <f t="shared" si="0"/>
        <v>0.65853658536585369</v>
      </c>
      <c r="N61" s="138">
        <f t="shared" si="1"/>
        <v>14.244861161197262</v>
      </c>
      <c r="O61" s="149"/>
      <c r="V61" s="158">
        <f t="shared" si="2"/>
        <v>101.8355884424591</v>
      </c>
      <c r="W61" s="158">
        <f t="shared" si="3"/>
        <v>21.618754456566958</v>
      </c>
      <c r="X61" s="158">
        <f t="shared" si="4"/>
        <v>7.1046296683234971</v>
      </c>
      <c r="Y61" s="158">
        <f t="shared" si="5"/>
        <v>-0.58128183399729783</v>
      </c>
      <c r="Z61" s="158">
        <f t="shared" si="6"/>
        <v>-12.560384284168407</v>
      </c>
      <c r="AA61" s="158">
        <f t="shared" si="7"/>
        <v>-19.976433461435924</v>
      </c>
    </row>
    <row r="62" spans="1:27" ht="19.5" thickBot="1" x14ac:dyDescent="0.35">
      <c r="A62" s="142">
        <v>262</v>
      </c>
      <c r="B62" s="143" t="s">
        <v>475</v>
      </c>
      <c r="C62" s="142">
        <v>5101</v>
      </c>
      <c r="D62" s="143" t="s">
        <v>100</v>
      </c>
      <c r="E62" s="142">
        <v>4107</v>
      </c>
      <c r="F62" s="143" t="s">
        <v>116</v>
      </c>
      <c r="G62" s="144">
        <v>2.1204174576225512</v>
      </c>
      <c r="H62" s="145">
        <v>14.61976267388297</v>
      </c>
      <c r="I62" s="146">
        <v>9.9980312479457734</v>
      </c>
      <c r="J62" s="147">
        <v>0.7796840120761237</v>
      </c>
      <c r="K62" s="148">
        <v>108</v>
      </c>
      <c r="M62" s="149">
        <f t="shared" si="0"/>
        <v>0.68387096774193545</v>
      </c>
      <c r="N62" s="138">
        <f t="shared" si="1"/>
        <v>9.9980312479457734</v>
      </c>
      <c r="O62" s="149"/>
      <c r="V62" s="158">
        <f t="shared" si="2"/>
        <v>124.66703662010192</v>
      </c>
      <c r="W62" s="158">
        <f t="shared" si="3"/>
        <v>38.252444337994511</v>
      </c>
      <c r="X62" s="158">
        <f t="shared" si="4"/>
        <v>22.616921049600066</v>
      </c>
      <c r="Y62" s="158">
        <f t="shared" si="5"/>
        <v>14.337176315393519</v>
      </c>
      <c r="Z62" s="158">
        <f t="shared" si="6"/>
        <v>1.4325376915457211</v>
      </c>
      <c r="AA62" s="158">
        <f t="shared" si="7"/>
        <v>-6.5564944623577723</v>
      </c>
    </row>
    <row r="63" spans="1:27" ht="19.5" thickBot="1" x14ac:dyDescent="0.35">
      <c r="A63" s="142">
        <v>262</v>
      </c>
      <c r="B63" s="143" t="s">
        <v>475</v>
      </c>
      <c r="C63" s="142">
        <v>5101</v>
      </c>
      <c r="D63" s="143" t="s">
        <v>100</v>
      </c>
      <c r="E63" s="142">
        <v>4120</v>
      </c>
      <c r="F63" s="143" t="s">
        <v>501</v>
      </c>
      <c r="G63" s="144">
        <v>2.5505437581225676</v>
      </c>
      <c r="H63" s="145">
        <v>7.0573186375165893</v>
      </c>
      <c r="I63" s="146">
        <v>4.8617083947336504</v>
      </c>
      <c r="J63" s="147">
        <v>0.89286769950797851</v>
      </c>
      <c r="K63" s="148">
        <v>226</v>
      </c>
      <c r="M63" s="149">
        <f t="shared" si="0"/>
        <v>0.68888888888888888</v>
      </c>
      <c r="N63" s="138">
        <f t="shared" si="1"/>
        <v>4.8617083947336504</v>
      </c>
      <c r="O63" s="149"/>
      <c r="V63" s="158">
        <f t="shared" si="2"/>
        <v>170.47335734045507</v>
      </c>
      <c r="W63" s="158">
        <f t="shared" si="3"/>
        <v>67.28671522260845</v>
      </c>
      <c r="X63" s="158">
        <f t="shared" si="4"/>
        <v>48.616521875889703</v>
      </c>
      <c r="Y63" s="158">
        <f t="shared" si="5"/>
        <v>38.729776661301734</v>
      </c>
      <c r="Z63" s="158">
        <f t="shared" si="6"/>
        <v>23.320500378517774</v>
      </c>
      <c r="AA63" s="158">
        <f t="shared" si="7"/>
        <v>13.780891616127104</v>
      </c>
    </row>
    <row r="64" spans="1:27" ht="19.5" thickBot="1" x14ac:dyDescent="0.35">
      <c r="A64" s="142">
        <v>262</v>
      </c>
      <c r="B64" s="143" t="s">
        <v>475</v>
      </c>
      <c r="C64" s="142">
        <v>5006</v>
      </c>
      <c r="D64" s="143" t="s">
        <v>118</v>
      </c>
      <c r="E64" s="142">
        <v>4028</v>
      </c>
      <c r="F64" s="143" t="s">
        <v>502</v>
      </c>
      <c r="G64" s="144">
        <v>2.7952903573694758</v>
      </c>
      <c r="H64" s="145">
        <v>19.318207805366242</v>
      </c>
      <c r="I64" s="146">
        <v>13.093451956970453</v>
      </c>
      <c r="J64" s="147">
        <v>0.71147351596581021</v>
      </c>
      <c r="K64" s="148">
        <v>60</v>
      </c>
      <c r="M64" s="149">
        <f t="shared" si="0"/>
        <v>0.67777777777777781</v>
      </c>
      <c r="N64" s="138">
        <f t="shared" si="1"/>
        <v>13.093451956970453</v>
      </c>
      <c r="O64" s="149"/>
      <c r="V64" s="158">
        <f t="shared" si="2"/>
        <v>151.31575273662008</v>
      </c>
      <c r="W64" s="158">
        <f t="shared" si="3"/>
        <v>36.373558915460777</v>
      </c>
      <c r="X64" s="158">
        <f t="shared" si="4"/>
        <v>15.576361349072448</v>
      </c>
      <c r="Y64" s="158">
        <f t="shared" si="5"/>
        <v>4.5632673924173428</v>
      </c>
      <c r="Z64" s="158">
        <f t="shared" si="6"/>
        <v>-12.601512706897598</v>
      </c>
      <c r="AA64" s="158">
        <f t="shared" si="7"/>
        <v>-23.227922645622527</v>
      </c>
    </row>
    <row r="65" spans="1:27" ht="19.5" thickBot="1" x14ac:dyDescent="0.35">
      <c r="A65" s="142">
        <v>262</v>
      </c>
      <c r="B65" s="143" t="s">
        <v>475</v>
      </c>
      <c r="C65" s="142">
        <v>5006</v>
      </c>
      <c r="D65" s="143" t="s">
        <v>118</v>
      </c>
      <c r="E65" s="142">
        <v>4033</v>
      </c>
      <c r="F65" s="143" t="s">
        <v>503</v>
      </c>
      <c r="G65" s="144">
        <v>1.4210880737196536</v>
      </c>
      <c r="H65" s="145">
        <v>19.70321229050278</v>
      </c>
      <c r="I65" s="146">
        <v>12.807087988826806</v>
      </c>
      <c r="J65" s="147">
        <v>0.71778381436184013</v>
      </c>
      <c r="K65" s="148">
        <v>61</v>
      </c>
      <c r="M65" s="149">
        <f t="shared" si="0"/>
        <v>0.65</v>
      </c>
      <c r="N65" s="138">
        <f t="shared" si="1"/>
        <v>12.807087988826806</v>
      </c>
      <c r="O65" s="149"/>
      <c r="V65" s="158">
        <f t="shared" si="2"/>
        <v>80.925818835902291</v>
      </c>
      <c r="W65" s="158">
        <f t="shared" si="3"/>
        <v>19.993526194955354</v>
      </c>
      <c r="X65" s="158">
        <f t="shared" si="4"/>
        <v>8.9686719956483891</v>
      </c>
      <c r="Y65" s="158">
        <f t="shared" si="5"/>
        <v>3.1304933291331398</v>
      </c>
      <c r="Z65" s="158">
        <f t="shared" si="6"/>
        <v>-5.9687709998240681</v>
      </c>
      <c r="AA65" s="158">
        <f t="shared" si="7"/>
        <v>-11.601963638521209</v>
      </c>
    </row>
    <row r="66" spans="1:27" ht="19.5" thickBot="1" x14ac:dyDescent="0.35">
      <c r="A66" s="142">
        <v>262</v>
      </c>
      <c r="B66" s="143" t="s">
        <v>475</v>
      </c>
      <c r="C66" s="142">
        <v>5006</v>
      </c>
      <c r="D66" s="143" t="s">
        <v>118</v>
      </c>
      <c r="E66" s="142">
        <v>4037</v>
      </c>
      <c r="F66" s="143" t="s">
        <v>121</v>
      </c>
      <c r="G66" s="144">
        <v>4.3565891624630178</v>
      </c>
      <c r="H66" s="145">
        <v>27.314946524065356</v>
      </c>
      <c r="I66" s="146">
        <v>18.099021289265153</v>
      </c>
      <c r="J66" s="147">
        <v>0.60117110489937653</v>
      </c>
      <c r="K66" s="148">
        <v>18</v>
      </c>
      <c r="M66" s="149">
        <f t="shared" si="0"/>
        <v>0.6626050420168067</v>
      </c>
      <c r="N66" s="138">
        <f t="shared" si="1"/>
        <v>18.099021289265153</v>
      </c>
      <c r="O66" s="149"/>
      <c r="V66" s="158">
        <f t="shared" si="2"/>
        <v>203.83359871022742</v>
      </c>
      <c r="W66" s="158">
        <f t="shared" si="3"/>
        <v>20.588759768317345</v>
      </c>
      <c r="X66" s="158">
        <f t="shared" si="4"/>
        <v>-12.566855169966219</v>
      </c>
      <c r="Y66" s="158">
        <f t="shared" si="5"/>
        <v>-30.124312194663137</v>
      </c>
      <c r="Z66" s="158">
        <f t="shared" si="6"/>
        <v>-57.489001002205733</v>
      </c>
      <c r="AA66" s="158">
        <f t="shared" si="7"/>
        <v>-74.429992930566712</v>
      </c>
    </row>
    <row r="67" spans="1:27" ht="19.5" thickBot="1" x14ac:dyDescent="0.35">
      <c r="A67" s="142">
        <v>262</v>
      </c>
      <c r="B67" s="143" t="s">
        <v>475</v>
      </c>
      <c r="C67" s="142">
        <v>5006</v>
      </c>
      <c r="D67" s="143" t="s">
        <v>118</v>
      </c>
      <c r="E67" s="142">
        <v>4038</v>
      </c>
      <c r="F67" s="143" t="s">
        <v>122</v>
      </c>
      <c r="G67" s="144">
        <v>4.5469934366708564</v>
      </c>
      <c r="H67" s="145">
        <v>22.212479830177308</v>
      </c>
      <c r="I67" s="146">
        <v>14.641543016772815</v>
      </c>
      <c r="J67" s="147">
        <v>0.67735987871282055</v>
      </c>
      <c r="K67" s="148">
        <v>40</v>
      </c>
      <c r="M67" s="149">
        <f t="shared" si="0"/>
        <v>0.65915841584158419</v>
      </c>
      <c r="N67" s="138">
        <f t="shared" si="1"/>
        <v>14.641543016772815</v>
      </c>
      <c r="O67" s="149"/>
      <c r="V67" s="158">
        <f t="shared" si="2"/>
        <v>240.9571392263278</v>
      </c>
      <c r="W67" s="158">
        <f t="shared" si="3"/>
        <v>48.703571844512304</v>
      </c>
      <c r="X67" s="158">
        <f t="shared" si="4"/>
        <v>13.917952301669287</v>
      </c>
      <c r="Y67" s="158">
        <f t="shared" si="5"/>
        <v>-4.5026688009034928</v>
      </c>
      <c r="Z67" s="158">
        <f t="shared" si="6"/>
        <v>-33.212667259365205</v>
      </c>
      <c r="AA67" s="158">
        <f t="shared" si="7"/>
        <v>-50.986516454902016</v>
      </c>
    </row>
    <row r="68" spans="1:27" ht="19.5" thickBot="1" x14ac:dyDescent="0.35">
      <c r="A68" s="142">
        <v>262</v>
      </c>
      <c r="B68" s="143" t="s">
        <v>475</v>
      </c>
      <c r="C68" s="142">
        <v>5006</v>
      </c>
      <c r="D68" s="143" t="s">
        <v>118</v>
      </c>
      <c r="E68" s="142">
        <v>4039</v>
      </c>
      <c r="F68" s="143" t="s">
        <v>504</v>
      </c>
      <c r="G68" s="144">
        <v>1.5103209234800916</v>
      </c>
      <c r="H68" s="145">
        <v>25.822326496103848</v>
      </c>
      <c r="I68" s="146">
        <v>17.016251049996637</v>
      </c>
      <c r="J68" s="147">
        <v>0.62503096180950857</v>
      </c>
      <c r="K68" s="148">
        <v>25</v>
      </c>
      <c r="M68" s="149">
        <f t="shared" si="0"/>
        <v>0.65897435897435885</v>
      </c>
      <c r="N68" s="138">
        <f t="shared" si="1"/>
        <v>17.016251049996637</v>
      </c>
      <c r="O68" s="149"/>
      <c r="V68" s="158">
        <f t="shared" si="2"/>
        <v>73.873394830520937</v>
      </c>
      <c r="W68" s="158">
        <f t="shared" si="3"/>
        <v>9.9969695283043016</v>
      </c>
      <c r="X68" s="158">
        <f t="shared" si="4"/>
        <v>-1.5605846881378089</v>
      </c>
      <c r="Y68" s="158">
        <f t="shared" si="5"/>
        <v>-7.680853060282562</v>
      </c>
      <c r="Z68" s="158">
        <f t="shared" si="6"/>
        <v>-17.21977656081026</v>
      </c>
      <c r="AA68" s="158">
        <f t="shared" si="7"/>
        <v>-23.125154369570527</v>
      </c>
    </row>
    <row r="69" spans="1:27" ht="19.5" thickBot="1" x14ac:dyDescent="0.35">
      <c r="A69" s="142">
        <v>262</v>
      </c>
      <c r="B69" s="143" t="s">
        <v>475</v>
      </c>
      <c r="C69" s="142">
        <v>5006</v>
      </c>
      <c r="D69" s="143" t="s">
        <v>118</v>
      </c>
      <c r="E69" s="142">
        <v>4027</v>
      </c>
      <c r="F69" s="143" t="s">
        <v>505</v>
      </c>
      <c r="G69" s="144">
        <v>3.0536943670474646</v>
      </c>
      <c r="H69" s="145">
        <v>24.560414692880837</v>
      </c>
      <c r="I69" s="146">
        <v>16.152566063017964</v>
      </c>
      <c r="J69" s="147">
        <v>0.64406306987581641</v>
      </c>
      <c r="K69" s="148">
        <v>32</v>
      </c>
      <c r="M69" s="149">
        <f t="shared" si="0"/>
        <v>0.65766666666666673</v>
      </c>
      <c r="N69" s="138">
        <f t="shared" si="1"/>
        <v>16.152566063017964</v>
      </c>
      <c r="O69" s="149"/>
      <c r="V69" s="158">
        <f t="shared" si="2"/>
        <v>154.21759942335686</v>
      </c>
      <c r="W69" s="158">
        <f t="shared" si="3"/>
        <v>24.810048364206349</v>
      </c>
      <c r="X69" s="158">
        <f t="shared" si="4"/>
        <v>1.3955448082092827</v>
      </c>
      <c r="Y69" s="158">
        <f t="shared" si="5"/>
        <v>-11.003535730766053</v>
      </c>
      <c r="Z69" s="158">
        <f t="shared" si="6"/>
        <v>-30.328485805907967</v>
      </c>
      <c r="AA69" s="158">
        <f t="shared" si="7"/>
        <v>-42.292218539777771</v>
      </c>
    </row>
    <row r="70" spans="1:27" ht="19.5" thickBot="1" x14ac:dyDescent="0.35">
      <c r="A70" s="142">
        <v>262</v>
      </c>
      <c r="B70" s="143" t="s">
        <v>475</v>
      </c>
      <c r="C70" s="142">
        <v>5006</v>
      </c>
      <c r="D70" s="143" t="s">
        <v>118</v>
      </c>
      <c r="E70" s="142">
        <v>4029</v>
      </c>
      <c r="F70" s="143" t="s">
        <v>506</v>
      </c>
      <c r="G70" s="144">
        <v>2.1938047859956189</v>
      </c>
      <c r="H70" s="145">
        <v>31.908035047991635</v>
      </c>
      <c r="I70" s="146">
        <v>20.421142430714646</v>
      </c>
      <c r="J70" s="147">
        <v>0.55000098943664688</v>
      </c>
      <c r="K70" s="148">
        <v>14</v>
      </c>
      <c r="M70" s="149">
        <f t="shared" ref="M70:M133" si="8">IF(ISERROR(I70/H70),$O$3,(I70/H70))</f>
        <v>0.64</v>
      </c>
      <c r="N70" s="138">
        <f t="shared" ref="N70:N133" si="9">I70</f>
        <v>20.421142430714646</v>
      </c>
      <c r="O70" s="149"/>
      <c r="V70" s="158">
        <f t="shared" ref="V70:V133" si="10">(((($O$5-N70))/M70)*G70)+((((($O$5-N70)/$T$2))*$T$3/M70)*G70)</f>
        <v>97.222610890670964</v>
      </c>
      <c r="W70" s="158">
        <f t="shared" ref="W70:W133" si="11">(((($P$5-N70))/M70)*G70)+((((($P$5-N70)/$T$2))*$T$3/M70)*G70)</f>
        <v>1.6886274393050695</v>
      </c>
      <c r="X70" s="158">
        <f t="shared" ref="X70:X133" si="12">(((($Q$5-N70))/M70)*G70)+((((($Q$5-N70)/$T$2))*$T$3/M70)*G70)</f>
        <v>-15.596923341407278</v>
      </c>
      <c r="Y70" s="158">
        <f t="shared" ref="Y70:Y133" si="13">(((($R$5-N70))/M70)*G70)+((((($R$5-N70)/$T$2))*$T$3/M70)*G70)</f>
        <v>-24.750435213996443</v>
      </c>
      <c r="Z70" s="158">
        <f t="shared" ref="Z70:Z133" si="14">(((($S$5-N70))/M70)*G70)+((((($S$5-N70)/$T$2))*$T$3/M70)*G70)</f>
        <v>-39.016909199221693</v>
      </c>
      <c r="AA70" s="158">
        <f t="shared" ref="AA70:AA133" si="15">(((($T$5-N70))/M70)*G70)+((((($T$5-N70)/$T$2))*$T$3/M70)*G70)</f>
        <v>-47.849029393596268</v>
      </c>
    </row>
    <row r="71" spans="1:27" ht="19.5" thickBot="1" x14ac:dyDescent="0.35">
      <c r="A71" s="142">
        <v>262</v>
      </c>
      <c r="B71" s="143" t="s">
        <v>475</v>
      </c>
      <c r="C71" s="142">
        <v>5006</v>
      </c>
      <c r="D71" s="143" t="s">
        <v>118</v>
      </c>
      <c r="E71" s="142">
        <v>4019</v>
      </c>
      <c r="F71" s="143" t="s">
        <v>126</v>
      </c>
      <c r="G71" s="144">
        <v>4.5919046557416676</v>
      </c>
      <c r="H71" s="145">
        <v>24.826299443620989</v>
      </c>
      <c r="I71" s="146">
        <v>17.699627081406106</v>
      </c>
      <c r="J71" s="147">
        <v>0.60997213055066357</v>
      </c>
      <c r="K71" s="148">
        <v>21</v>
      </c>
      <c r="M71" s="149">
        <f t="shared" si="8"/>
        <v>0.71293859649122815</v>
      </c>
      <c r="N71" s="138">
        <f t="shared" si="9"/>
        <v>17.699627081406106</v>
      </c>
      <c r="O71" s="149"/>
      <c r="V71" s="158">
        <f t="shared" si="10"/>
        <v>202.59864256318073</v>
      </c>
      <c r="W71" s="158">
        <f t="shared" si="11"/>
        <v>23.091961883286508</v>
      </c>
      <c r="X71" s="158">
        <f t="shared" si="12"/>
        <v>-9.3872851058126816</v>
      </c>
      <c r="Y71" s="158">
        <f t="shared" si="13"/>
        <v>-26.586573499863121</v>
      </c>
      <c r="Z71" s="158">
        <f t="shared" si="14"/>
        <v>-53.393028099315224</v>
      </c>
      <c r="AA71" s="158">
        <f t="shared" si="15"/>
        <v>-69.988427162363237</v>
      </c>
    </row>
    <row r="72" spans="1:27" ht="19.5" thickBot="1" x14ac:dyDescent="0.35">
      <c r="A72" s="142">
        <v>262</v>
      </c>
      <c r="B72" s="143" t="s">
        <v>475</v>
      </c>
      <c r="C72" s="142">
        <v>5006</v>
      </c>
      <c r="D72" s="143" t="s">
        <v>118</v>
      </c>
      <c r="E72" s="142">
        <v>4024</v>
      </c>
      <c r="F72" s="143" t="s">
        <v>507</v>
      </c>
      <c r="G72" s="144">
        <v>2.7606706159337735</v>
      </c>
      <c r="H72" s="145">
        <v>24.26946540210043</v>
      </c>
      <c r="I72" s="146">
        <v>15.947212154141365</v>
      </c>
      <c r="J72" s="147">
        <v>0.64858823569958524</v>
      </c>
      <c r="K72" s="148">
        <v>34</v>
      </c>
      <c r="M72" s="149">
        <f t="shared" si="8"/>
        <v>0.65708955223880594</v>
      </c>
      <c r="N72" s="138">
        <f t="shared" si="9"/>
        <v>15.947212154141365</v>
      </c>
      <c r="O72" s="149"/>
      <c r="V72" s="158">
        <f t="shared" si="10"/>
        <v>140.52218730297321</v>
      </c>
      <c r="W72" s="158">
        <f t="shared" si="11"/>
        <v>23.429462613316183</v>
      </c>
      <c r="X72" s="158">
        <f t="shared" si="12"/>
        <v>2.2431562796604343</v>
      </c>
      <c r="Y72" s="158">
        <f t="shared" si="13"/>
        <v>-8.9759890644277576</v>
      </c>
      <c r="Z72" s="158">
        <f t="shared" si="14"/>
        <v>-26.461916587742511</v>
      </c>
      <c r="AA72" s="158">
        <f t="shared" si="15"/>
        <v>-37.287143182343144</v>
      </c>
    </row>
    <row r="73" spans="1:27" ht="19.5" thickBot="1" x14ac:dyDescent="0.35">
      <c r="A73" s="142">
        <v>262</v>
      </c>
      <c r="B73" s="143" t="s">
        <v>475</v>
      </c>
      <c r="C73" s="142">
        <v>5006</v>
      </c>
      <c r="D73" s="143" t="s">
        <v>118</v>
      </c>
      <c r="E73" s="142">
        <v>4047</v>
      </c>
      <c r="F73" s="143" t="s">
        <v>128</v>
      </c>
      <c r="G73" s="144">
        <v>5.5965996495066284</v>
      </c>
      <c r="H73" s="145">
        <v>31.090306774996684</v>
      </c>
      <c r="I73" s="146">
        <v>20.583927244135737</v>
      </c>
      <c r="J73" s="147">
        <v>0.54641387352367743</v>
      </c>
      <c r="K73" s="148">
        <v>12</v>
      </c>
      <c r="M73" s="149">
        <f t="shared" si="8"/>
        <v>0.66206896551724137</v>
      </c>
      <c r="N73" s="138">
        <f t="shared" si="9"/>
        <v>20.583927244135737</v>
      </c>
      <c r="O73" s="149"/>
      <c r="V73" s="158">
        <f t="shared" si="10"/>
        <v>238.19274595432648</v>
      </c>
      <c r="W73" s="158">
        <f t="shared" si="11"/>
        <v>2.600554864271559</v>
      </c>
      <c r="X73" s="158">
        <f t="shared" si="12"/>
        <v>-40.026588226642929</v>
      </c>
      <c r="Y73" s="158">
        <f t="shared" si="13"/>
        <v>-62.59966474166059</v>
      </c>
      <c r="Z73" s="158">
        <f t="shared" si="14"/>
        <v>-97.781594185851787</v>
      </c>
      <c r="AA73" s="158">
        <f t="shared" si="15"/>
        <v>-119.56210069663393</v>
      </c>
    </row>
    <row r="74" spans="1:27" ht="19.5" thickBot="1" x14ac:dyDescent="0.35">
      <c r="A74" s="142">
        <v>262</v>
      </c>
      <c r="B74" s="143" t="s">
        <v>475</v>
      </c>
      <c r="C74" s="142">
        <v>5006</v>
      </c>
      <c r="D74" s="143" t="s">
        <v>118</v>
      </c>
      <c r="E74" s="142">
        <v>4026</v>
      </c>
      <c r="F74" s="143" t="s">
        <v>129</v>
      </c>
      <c r="G74" s="144">
        <v>4.2868855299321398</v>
      </c>
      <c r="H74" s="145">
        <v>21.22753205435847</v>
      </c>
      <c r="I74" s="146">
        <v>13.360515367180016</v>
      </c>
      <c r="J74" s="147">
        <v>0.70558852345083611</v>
      </c>
      <c r="K74" s="148">
        <v>56</v>
      </c>
      <c r="M74" s="149">
        <f t="shared" si="8"/>
        <v>0.62939560439560438</v>
      </c>
      <c r="N74" s="138">
        <f t="shared" si="9"/>
        <v>13.360515367180016</v>
      </c>
      <c r="O74" s="149"/>
      <c r="V74" s="158">
        <f t="shared" si="10"/>
        <v>247.8309222899957</v>
      </c>
      <c r="W74" s="158">
        <f t="shared" si="11"/>
        <v>58.003888059402797</v>
      </c>
      <c r="X74" s="158">
        <f t="shared" si="12"/>
        <v>23.657316073159301</v>
      </c>
      <c r="Y74" s="158">
        <f t="shared" si="13"/>
        <v>5.4691912949992352</v>
      </c>
      <c r="Z74" s="158">
        <f t="shared" si="14"/>
        <v>-22.878443208505786</v>
      </c>
      <c r="AA74" s="158">
        <f t="shared" si="15"/>
        <v>-40.427959327236017</v>
      </c>
    </row>
    <row r="75" spans="1:27" ht="19.5" thickBot="1" x14ac:dyDescent="0.35">
      <c r="A75" s="142">
        <v>262</v>
      </c>
      <c r="B75" s="143" t="s">
        <v>475</v>
      </c>
      <c r="C75" s="142">
        <v>5006</v>
      </c>
      <c r="D75" s="143" t="s">
        <v>118</v>
      </c>
      <c r="E75" s="142">
        <v>4045</v>
      </c>
      <c r="F75" s="143" t="s">
        <v>508</v>
      </c>
      <c r="G75" s="144">
        <v>5.9599043153562459</v>
      </c>
      <c r="H75" s="145">
        <v>34.060949515070519</v>
      </c>
      <c r="I75" s="146">
        <v>22.27384752771237</v>
      </c>
      <c r="J75" s="147">
        <v>0.50917489641353086</v>
      </c>
      <c r="K75" s="148">
        <v>8</v>
      </c>
      <c r="M75" s="149">
        <f t="shared" si="8"/>
        <v>0.65394088669950734</v>
      </c>
      <c r="N75" s="138">
        <f t="shared" si="9"/>
        <v>22.27384752771237</v>
      </c>
      <c r="O75" s="149"/>
      <c r="V75" s="158">
        <f t="shared" si="10"/>
        <v>239.3059972257912</v>
      </c>
      <c r="W75" s="158">
        <f t="shared" si="11"/>
        <v>-14.698073411721939</v>
      </c>
      <c r="X75" s="158">
        <f t="shared" si="12"/>
        <v>-60.656591029146838</v>
      </c>
      <c r="Y75" s="158">
        <f t="shared" si="13"/>
        <v>-84.993786990938503</v>
      </c>
      <c r="Z75" s="158">
        <f t="shared" si="14"/>
        <v>-122.92523646029053</v>
      </c>
      <c r="AA75" s="158">
        <f t="shared" si="15"/>
        <v>-146.40792189518592</v>
      </c>
    </row>
    <row r="76" spans="1:27" ht="19.5" thickBot="1" x14ac:dyDescent="0.35">
      <c r="A76" s="142">
        <v>262</v>
      </c>
      <c r="B76" s="143" t="s">
        <v>475</v>
      </c>
      <c r="C76" s="142">
        <v>5006</v>
      </c>
      <c r="D76" s="143" t="s">
        <v>118</v>
      </c>
      <c r="E76" s="142">
        <v>4043</v>
      </c>
      <c r="F76" s="143" t="s">
        <v>131</v>
      </c>
      <c r="G76" s="144">
        <v>8.4737407849749893</v>
      </c>
      <c r="H76" s="145">
        <v>19.707942954322139</v>
      </c>
      <c r="I76" s="146">
        <v>13.730653669074137</v>
      </c>
      <c r="J76" s="147">
        <v>0.69743217910384037</v>
      </c>
      <c r="K76" s="148">
        <v>54</v>
      </c>
      <c r="M76" s="149">
        <f t="shared" si="8"/>
        <v>0.69670658682634734</v>
      </c>
      <c r="N76" s="138">
        <f t="shared" si="9"/>
        <v>13.730653669074137</v>
      </c>
      <c r="O76" s="149"/>
      <c r="V76" s="158">
        <f t="shared" si="10"/>
        <v>437.43451079591273</v>
      </c>
      <c r="W76" s="158">
        <f t="shared" si="11"/>
        <v>98.461485581253172</v>
      </c>
      <c r="X76" s="158">
        <f t="shared" si="12"/>
        <v>37.12901279032706</v>
      </c>
      <c r="Y76" s="158">
        <f t="shared" si="13"/>
        <v>4.6505847096073634</v>
      </c>
      <c r="Z76" s="158">
        <f t="shared" si="14"/>
        <v>-45.969620490774695</v>
      </c>
      <c r="AA76" s="158">
        <f t="shared" si="15"/>
        <v>-77.307688821932857</v>
      </c>
    </row>
    <row r="77" spans="1:27" ht="19.5" thickBot="1" x14ac:dyDescent="0.35">
      <c r="A77" s="142">
        <v>262</v>
      </c>
      <c r="B77" s="143" t="s">
        <v>475</v>
      </c>
      <c r="C77" s="142">
        <v>5006</v>
      </c>
      <c r="D77" s="143" t="s">
        <v>118</v>
      </c>
      <c r="E77" s="142">
        <v>4048</v>
      </c>
      <c r="F77" s="143" t="s">
        <v>509</v>
      </c>
      <c r="G77" s="144">
        <v>2.7902579681527038</v>
      </c>
      <c r="H77" s="145">
        <v>18.277879888562655</v>
      </c>
      <c r="I77" s="146">
        <v>12.21213249417201</v>
      </c>
      <c r="J77" s="147">
        <v>0.73089421623246265</v>
      </c>
      <c r="K77" s="148">
        <v>67</v>
      </c>
      <c r="M77" s="149">
        <f t="shared" si="8"/>
        <v>0.66813725490196085</v>
      </c>
      <c r="N77" s="138">
        <f t="shared" si="9"/>
        <v>12.21213249417201</v>
      </c>
      <c r="O77" s="149"/>
      <c r="V77" s="158">
        <f t="shared" si="10"/>
        <v>157.40517161719364</v>
      </c>
      <c r="W77" s="158">
        <f t="shared" si="11"/>
        <v>41.014399358293943</v>
      </c>
      <c r="X77" s="158">
        <f t="shared" si="12"/>
        <v>19.955101592156751</v>
      </c>
      <c r="Y77" s="158">
        <f t="shared" si="13"/>
        <v>8.8032132562744501</v>
      </c>
      <c r="Z77" s="158">
        <f t="shared" si="14"/>
        <v>-8.5778888873118113</v>
      </c>
      <c r="AA77" s="158">
        <f t="shared" si="15"/>
        <v>-19.33821995452832</v>
      </c>
    </row>
    <row r="78" spans="1:27" ht="19.5" thickBot="1" x14ac:dyDescent="0.35">
      <c r="A78" s="142">
        <v>262</v>
      </c>
      <c r="B78" s="143" t="s">
        <v>475</v>
      </c>
      <c r="C78" s="142">
        <v>5006</v>
      </c>
      <c r="D78" s="143" t="s">
        <v>118</v>
      </c>
      <c r="E78" s="142">
        <v>4010</v>
      </c>
      <c r="F78" s="143" t="s">
        <v>133</v>
      </c>
      <c r="G78" s="144">
        <v>2.4499054331821712</v>
      </c>
      <c r="H78" s="145">
        <v>61.635032093408917</v>
      </c>
      <c r="I78" s="146">
        <v>40.63422148939641</v>
      </c>
      <c r="J78" s="147">
        <v>0.10458685025680894</v>
      </c>
      <c r="K78" s="148">
        <v>2</v>
      </c>
      <c r="M78" s="149">
        <f t="shared" si="8"/>
        <v>0.65927152317880799</v>
      </c>
      <c r="N78" s="138">
        <f t="shared" si="9"/>
        <v>40.63422148939641</v>
      </c>
      <c r="O78" s="149"/>
      <c r="V78" s="158">
        <f t="shared" si="10"/>
        <v>20.042315348694256</v>
      </c>
      <c r="W78" s="158">
        <f t="shared" si="11"/>
        <v>-83.525516585068104</v>
      </c>
      <c r="X78" s="158">
        <f t="shared" si="12"/>
        <v>-102.26468094798501</v>
      </c>
      <c r="Y78" s="158">
        <f t="shared" si="13"/>
        <v>-112.18794955853787</v>
      </c>
      <c r="Z78" s="158">
        <f t="shared" si="14"/>
        <v>-127.65415044967295</v>
      </c>
      <c r="AA78" s="158">
        <f t="shared" si="15"/>
        <v>-137.22900022420831</v>
      </c>
    </row>
    <row r="79" spans="1:27" ht="19.5" thickBot="1" x14ac:dyDescent="0.35">
      <c r="A79" s="142">
        <v>262</v>
      </c>
      <c r="B79" s="143" t="s">
        <v>475</v>
      </c>
      <c r="C79" s="142">
        <v>5006</v>
      </c>
      <c r="D79" s="143" t="s">
        <v>118</v>
      </c>
      <c r="E79" s="142">
        <v>4054</v>
      </c>
      <c r="F79" s="143" t="s">
        <v>510</v>
      </c>
      <c r="G79" s="144">
        <v>2.6774806508153159</v>
      </c>
      <c r="H79" s="145">
        <v>16.059873294287346</v>
      </c>
      <c r="I79" s="146">
        <v>10.784391659826678</v>
      </c>
      <c r="J79" s="147">
        <v>0.76235582348465836</v>
      </c>
      <c r="K79" s="148">
        <v>95</v>
      </c>
      <c r="M79" s="149">
        <f t="shared" si="8"/>
        <v>0.67151162790697683</v>
      </c>
      <c r="N79" s="138">
        <f t="shared" si="9"/>
        <v>10.784391659826678</v>
      </c>
      <c r="O79" s="149"/>
      <c r="V79" s="158">
        <f t="shared" si="10"/>
        <v>156.75316889597778</v>
      </c>
      <c r="W79" s="158">
        <f t="shared" si="11"/>
        <v>45.627935825569089</v>
      </c>
      <c r="X79" s="158">
        <f t="shared" si="12"/>
        <v>25.521364426974486</v>
      </c>
      <c r="Y79" s="158">
        <f t="shared" si="13"/>
        <v>14.873989498114224</v>
      </c>
      <c r="Z79" s="158">
        <f t="shared" si="14"/>
        <v>-1.7207885005248802</v>
      </c>
      <c r="AA79" s="158">
        <f t="shared" si="15"/>
        <v>-11.994320281028749</v>
      </c>
    </row>
    <row r="80" spans="1:27" ht="19.5" thickBot="1" x14ac:dyDescent="0.35">
      <c r="A80" s="142">
        <v>262</v>
      </c>
      <c r="B80" s="143" t="s">
        <v>475</v>
      </c>
      <c r="C80" s="142">
        <v>5006</v>
      </c>
      <c r="D80" s="143" t="s">
        <v>118</v>
      </c>
      <c r="E80" s="142">
        <v>4006</v>
      </c>
      <c r="F80" s="143" t="s">
        <v>135</v>
      </c>
      <c r="G80" s="144">
        <v>5.5613445738930185</v>
      </c>
      <c r="H80" s="145">
        <v>22.116953618987555</v>
      </c>
      <c r="I80" s="146">
        <v>14.438954273208948</v>
      </c>
      <c r="J80" s="147">
        <v>0.68182411152762601</v>
      </c>
      <c r="K80" s="148">
        <v>42</v>
      </c>
      <c r="M80" s="149">
        <f t="shared" si="8"/>
        <v>0.65284552845528454</v>
      </c>
      <c r="N80" s="138">
        <f t="shared" si="9"/>
        <v>14.438954273208948</v>
      </c>
      <c r="O80" s="149"/>
      <c r="V80" s="158">
        <f t="shared" si="10"/>
        <v>299.52117379502516</v>
      </c>
      <c r="W80" s="158">
        <f t="shared" si="11"/>
        <v>62.105574029594521</v>
      </c>
      <c r="X80" s="158">
        <f t="shared" si="12"/>
        <v>19.148510400317424</v>
      </c>
      <c r="Y80" s="158">
        <f t="shared" si="13"/>
        <v>-3.5992745520086231</v>
      </c>
      <c r="Z80" s="158">
        <f t="shared" si="14"/>
        <v>-39.053500947419558</v>
      </c>
      <c r="AA80" s="158">
        <f t="shared" si="15"/>
        <v>-61.002581655597986</v>
      </c>
    </row>
    <row r="81" spans="1:27" ht="19.5" thickBot="1" x14ac:dyDescent="0.35">
      <c r="A81" s="142">
        <v>262</v>
      </c>
      <c r="B81" s="143" t="s">
        <v>475</v>
      </c>
      <c r="C81" s="142">
        <v>5006</v>
      </c>
      <c r="D81" s="143" t="s">
        <v>118</v>
      </c>
      <c r="E81" s="142">
        <v>4020</v>
      </c>
      <c r="F81" s="143" t="s">
        <v>136</v>
      </c>
      <c r="G81" s="144">
        <v>4.68169107143878</v>
      </c>
      <c r="H81" s="145">
        <v>19.864616990078158</v>
      </c>
      <c r="I81" s="146">
        <v>12.49014493005183</v>
      </c>
      <c r="J81" s="147">
        <v>0.72476795167627117</v>
      </c>
      <c r="K81" s="148">
        <v>63</v>
      </c>
      <c r="M81" s="149">
        <f t="shared" si="8"/>
        <v>0.62876344086021496</v>
      </c>
      <c r="N81" s="138">
        <f t="shared" si="9"/>
        <v>12.49014493005183</v>
      </c>
      <c r="O81" s="149"/>
      <c r="V81" s="158">
        <f t="shared" si="10"/>
        <v>278.29170098305337</v>
      </c>
      <c r="W81" s="158">
        <f t="shared" si="11"/>
        <v>70.773902249691886</v>
      </c>
      <c r="X81" s="158">
        <f t="shared" si="12"/>
        <v>33.226431513969324</v>
      </c>
      <c r="Y81" s="158">
        <f t="shared" si="13"/>
        <v>13.34328034769986</v>
      </c>
      <c r="Z81" s="158">
        <f t="shared" si="14"/>
        <v>-17.646187171027204</v>
      </c>
      <c r="AA81" s="158">
        <f t="shared" si="15"/>
        <v>-36.831215102141662</v>
      </c>
    </row>
    <row r="82" spans="1:27" ht="19.5" thickBot="1" x14ac:dyDescent="0.35">
      <c r="A82" s="142">
        <v>262</v>
      </c>
      <c r="B82" s="143" t="s">
        <v>475</v>
      </c>
      <c r="C82" s="142">
        <v>5006</v>
      </c>
      <c r="D82" s="143" t="s">
        <v>118</v>
      </c>
      <c r="E82" s="142">
        <v>4012</v>
      </c>
      <c r="F82" s="143" t="s">
        <v>511</v>
      </c>
      <c r="G82" s="144">
        <v>2.8572871572871579</v>
      </c>
      <c r="H82" s="145">
        <v>48.647543053381135</v>
      </c>
      <c r="I82" s="146">
        <v>31.498409171253972</v>
      </c>
      <c r="J82" s="147">
        <v>0.30590303605811042</v>
      </c>
      <c r="K82" s="148">
        <v>3</v>
      </c>
      <c r="M82" s="149">
        <f t="shared" si="8"/>
        <v>0.64748201438848918</v>
      </c>
      <c r="N82" s="138">
        <f t="shared" si="9"/>
        <v>31.498409171253972</v>
      </c>
      <c r="O82" s="149"/>
      <c r="V82" s="158">
        <f t="shared" si="10"/>
        <v>69.613868845231764</v>
      </c>
      <c r="W82" s="158">
        <f t="shared" si="11"/>
        <v>-53.375071901106566</v>
      </c>
      <c r="X82" s="158">
        <f t="shared" si="12"/>
        <v>-75.628216844226358</v>
      </c>
      <c r="Y82" s="158">
        <f t="shared" si="13"/>
        <v>-87.412303392777773</v>
      </c>
      <c r="Z82" s="158">
        <f t="shared" si="14"/>
        <v>-105.77873657434063</v>
      </c>
      <c r="AA82" s="158">
        <f t="shared" si="15"/>
        <v>-117.14906855472395</v>
      </c>
    </row>
    <row r="83" spans="1:27" ht="19.5" thickBot="1" x14ac:dyDescent="0.35">
      <c r="A83" s="142">
        <v>262</v>
      </c>
      <c r="B83" s="143" t="s">
        <v>475</v>
      </c>
      <c r="C83" s="142">
        <v>5006</v>
      </c>
      <c r="D83" s="143" t="s">
        <v>118</v>
      </c>
      <c r="E83" s="142">
        <v>4023</v>
      </c>
      <c r="F83" s="143" t="s">
        <v>138</v>
      </c>
      <c r="G83" s="144">
        <v>3.2583336914296166</v>
      </c>
      <c r="H83" s="145">
        <v>14.424550844385255</v>
      </c>
      <c r="I83" s="146">
        <v>9.4450117497011963</v>
      </c>
      <c r="J83" s="147">
        <v>0.79187031496670079</v>
      </c>
      <c r="K83" s="148">
        <v>117</v>
      </c>
      <c r="M83" s="149">
        <f t="shared" si="8"/>
        <v>0.65478723404255323</v>
      </c>
      <c r="N83" s="138">
        <f t="shared" si="9"/>
        <v>9.4450117497011963</v>
      </c>
      <c r="O83" s="149"/>
      <c r="V83" s="158">
        <f t="shared" si="10"/>
        <v>203.2053891471578</v>
      </c>
      <c r="W83" s="158">
        <f t="shared" si="11"/>
        <v>64.51855433573607</v>
      </c>
      <c r="X83" s="158">
        <f t="shared" si="12"/>
        <v>39.425092939671757</v>
      </c>
      <c r="Y83" s="158">
        <f t="shared" si="13"/>
        <v>26.136925282929809</v>
      </c>
      <c r="Z83" s="158">
        <f t="shared" si="14"/>
        <v>5.4262624439032585</v>
      </c>
      <c r="AA83" s="158">
        <f t="shared" si="15"/>
        <v>-7.3953404054683078</v>
      </c>
    </row>
    <row r="84" spans="1:27" ht="19.5" thickBot="1" x14ac:dyDescent="0.35">
      <c r="A84" s="142">
        <v>264</v>
      </c>
      <c r="B84" s="143" t="s">
        <v>512</v>
      </c>
      <c r="C84" s="142">
        <v>5130</v>
      </c>
      <c r="D84" s="143" t="s">
        <v>140</v>
      </c>
      <c r="E84" s="142">
        <v>4132</v>
      </c>
      <c r="F84" s="143" t="s">
        <v>141</v>
      </c>
      <c r="G84" s="144">
        <v>3.7189131555400916</v>
      </c>
      <c r="H84" s="145">
        <v>16.133745933436916</v>
      </c>
      <c r="I84" s="146">
        <v>12.113754238355551</v>
      </c>
      <c r="J84" s="147">
        <v>0.7330620732918095</v>
      </c>
      <c r="K84" s="148">
        <v>68</v>
      </c>
      <c r="M84" s="149">
        <f t="shared" si="8"/>
        <v>0.75083333333333324</v>
      </c>
      <c r="N84" s="138">
        <f t="shared" si="9"/>
        <v>12.113754238355551</v>
      </c>
      <c r="O84" s="149"/>
      <c r="V84" s="158">
        <f t="shared" si="10"/>
        <v>187.24017831983582</v>
      </c>
      <c r="W84" s="158">
        <f t="shared" si="11"/>
        <v>49.197819103537014</v>
      </c>
      <c r="X84" s="158">
        <f t="shared" si="12"/>
        <v>24.220966637865519</v>
      </c>
      <c r="Y84" s="158">
        <f t="shared" si="13"/>
        <v>10.994548892499916</v>
      </c>
      <c r="Z84" s="158">
        <f t="shared" si="14"/>
        <v>-9.6198718138345107</v>
      </c>
      <c r="AA84" s="158">
        <f t="shared" si="15"/>
        <v>-22.381892871336543</v>
      </c>
    </row>
    <row r="85" spans="1:27" ht="19.5" thickBot="1" x14ac:dyDescent="0.35">
      <c r="A85" s="142">
        <v>264</v>
      </c>
      <c r="B85" s="143" t="s">
        <v>512</v>
      </c>
      <c r="C85" s="142">
        <v>5130</v>
      </c>
      <c r="D85" s="143" t="s">
        <v>140</v>
      </c>
      <c r="E85" s="142">
        <v>4130</v>
      </c>
      <c r="F85" s="143" t="s">
        <v>142</v>
      </c>
      <c r="G85" s="144">
        <v>8.0608712013089097</v>
      </c>
      <c r="H85" s="145">
        <v>14.514560160817574</v>
      </c>
      <c r="I85" s="146">
        <v>10.358681824173226</v>
      </c>
      <c r="J85" s="147">
        <v>0.77173673865534986</v>
      </c>
      <c r="K85" s="148">
        <v>102</v>
      </c>
      <c r="M85" s="149">
        <f t="shared" si="8"/>
        <v>0.71367521367521369</v>
      </c>
      <c r="N85" s="138">
        <f t="shared" si="9"/>
        <v>10.358681824173226</v>
      </c>
      <c r="O85" s="149"/>
      <c r="V85" s="158">
        <f t="shared" si="10"/>
        <v>449.50688382381765</v>
      </c>
      <c r="W85" s="158">
        <f t="shared" si="11"/>
        <v>134.71665059673546</v>
      </c>
      <c r="X85" s="158">
        <f t="shared" si="12"/>
        <v>77.759718988319278</v>
      </c>
      <c r="Y85" s="158">
        <f t="shared" si="13"/>
        <v>47.598345693484561</v>
      </c>
      <c r="Z85" s="158">
        <f t="shared" si="14"/>
        <v>0.58945408348074158</v>
      </c>
      <c r="AA85" s="158">
        <f t="shared" si="15"/>
        <v>-28.51291426162404</v>
      </c>
    </row>
    <row r="86" spans="1:27" ht="19.5" thickBot="1" x14ac:dyDescent="0.35">
      <c r="A86" s="142">
        <v>264</v>
      </c>
      <c r="B86" s="143" t="s">
        <v>512</v>
      </c>
      <c r="C86" s="142">
        <v>5130</v>
      </c>
      <c r="D86" s="143" t="s">
        <v>140</v>
      </c>
      <c r="E86" s="142">
        <v>4134</v>
      </c>
      <c r="F86" s="143" t="s">
        <v>513</v>
      </c>
      <c r="G86" s="144">
        <v>1.0089105472865201</v>
      </c>
      <c r="H86" s="145">
        <v>0</v>
      </c>
      <c r="I86" s="146">
        <v>0</v>
      </c>
      <c r="J86" s="147">
        <v>1</v>
      </c>
      <c r="K86" s="148">
        <v>287</v>
      </c>
      <c r="M86" s="149">
        <f t="shared" si="8"/>
        <v>0.67276650870971677</v>
      </c>
      <c r="N86" s="138">
        <f t="shared" si="9"/>
        <v>0</v>
      </c>
      <c r="O86" s="149"/>
      <c r="V86" s="158">
        <f t="shared" si="10"/>
        <v>77.33464603605745</v>
      </c>
      <c r="W86" s="158">
        <f t="shared" si="11"/>
        <v>35.53927549558157</v>
      </c>
      <c r="X86" s="158">
        <f t="shared" si="12"/>
        <v>27.976982228035897</v>
      </c>
      <c r="Y86" s="158">
        <f t="shared" si="13"/>
        <v>23.972392378013897</v>
      </c>
      <c r="Z86" s="158">
        <f t="shared" si="14"/>
        <v>17.730921594770599</v>
      </c>
      <c r="AA86" s="158">
        <f t="shared" si="15"/>
        <v>13.866938090200977</v>
      </c>
    </row>
    <row r="87" spans="1:27" ht="19.5" thickBot="1" x14ac:dyDescent="0.35">
      <c r="A87" s="142">
        <v>264</v>
      </c>
      <c r="B87" s="143" t="s">
        <v>512</v>
      </c>
      <c r="C87" s="142">
        <v>5130</v>
      </c>
      <c r="D87" s="143" t="s">
        <v>140</v>
      </c>
      <c r="E87" s="142">
        <v>4135</v>
      </c>
      <c r="F87" s="143" t="s">
        <v>514</v>
      </c>
      <c r="G87" s="144">
        <v>6.5973797197457635</v>
      </c>
      <c r="H87" s="145">
        <v>16.218560177725127</v>
      </c>
      <c r="I87" s="146">
        <v>10.879319222020758</v>
      </c>
      <c r="J87" s="147">
        <v>0.76026400569300168</v>
      </c>
      <c r="K87" s="148">
        <v>93</v>
      </c>
      <c r="M87" s="149">
        <f t="shared" si="8"/>
        <v>0.67079439252336459</v>
      </c>
      <c r="N87" s="138">
        <f t="shared" si="9"/>
        <v>10.879319222020758</v>
      </c>
      <c r="O87" s="149"/>
      <c r="V87" s="158">
        <f t="shared" si="10"/>
        <v>385.59579619458754</v>
      </c>
      <c r="W87" s="158">
        <f t="shared" si="11"/>
        <v>111.48765233980315</v>
      </c>
      <c r="X87" s="158">
        <f t="shared" si="12"/>
        <v>61.891581194913215</v>
      </c>
      <c r="Y87" s="158">
        <f t="shared" si="13"/>
        <v>35.6281296093793</v>
      </c>
      <c r="Z87" s="158">
        <f t="shared" si="14"/>
        <v>-5.3055419718275658</v>
      </c>
      <c r="AA87" s="158">
        <f t="shared" si="15"/>
        <v>-30.646849696264951</v>
      </c>
    </row>
    <row r="88" spans="1:27" ht="19.5" thickBot="1" x14ac:dyDescent="0.35">
      <c r="A88" s="142">
        <v>264</v>
      </c>
      <c r="B88" s="143" t="s">
        <v>512</v>
      </c>
      <c r="C88" s="142">
        <v>5130</v>
      </c>
      <c r="D88" s="143" t="s">
        <v>140</v>
      </c>
      <c r="E88" s="142">
        <v>4133</v>
      </c>
      <c r="F88" s="143" t="s">
        <v>515</v>
      </c>
      <c r="G88" s="144">
        <v>1.6302270011947426</v>
      </c>
      <c r="H88" s="145">
        <v>-0.6134115060461709</v>
      </c>
      <c r="I88" s="146">
        <v>-1.6868816416269701</v>
      </c>
      <c r="J88" s="147">
        <v>1.0371720177872075</v>
      </c>
      <c r="K88" s="148">
        <v>291</v>
      </c>
      <c r="M88" s="149">
        <f t="shared" si="8"/>
        <v>2.75</v>
      </c>
      <c r="N88" s="138">
        <f t="shared" si="9"/>
        <v>-1.6868816416269701</v>
      </c>
      <c r="O88" s="149"/>
      <c r="V88" s="158">
        <f t="shared" si="10"/>
        <v>31.70676858098599</v>
      </c>
      <c r="W88" s="158">
        <f t="shared" si="11"/>
        <v>15.185048139708531</v>
      </c>
      <c r="X88" s="158">
        <f t="shared" si="12"/>
        <v>12.195671717256513</v>
      </c>
      <c r="Y88" s="158">
        <f t="shared" si="13"/>
        <v>10.612656346691326</v>
      </c>
      <c r="Z88" s="158">
        <f t="shared" si="14"/>
        <v>8.1454013830516914</v>
      </c>
      <c r="AA88" s="158">
        <f t="shared" si="15"/>
        <v>6.6179677360552454</v>
      </c>
    </row>
    <row r="89" spans="1:27" ht="19.5" thickBot="1" x14ac:dyDescent="0.35">
      <c r="A89" s="142">
        <v>264</v>
      </c>
      <c r="B89" s="143" t="s">
        <v>512</v>
      </c>
      <c r="C89" s="142">
        <v>5130</v>
      </c>
      <c r="D89" s="143" t="s">
        <v>140</v>
      </c>
      <c r="E89" s="142">
        <v>4162</v>
      </c>
      <c r="F89" s="143" t="s">
        <v>516</v>
      </c>
      <c r="G89" s="144">
        <v>4.5991464216095785</v>
      </c>
      <c r="H89" s="145">
        <v>16.089942179771256</v>
      </c>
      <c r="I89" s="146">
        <v>10.306260261096725</v>
      </c>
      <c r="J89" s="147">
        <v>0.77289189692314242</v>
      </c>
      <c r="K89" s="148">
        <v>103</v>
      </c>
      <c r="M89" s="149">
        <f t="shared" si="8"/>
        <v>0.64054054054054066</v>
      </c>
      <c r="N89" s="138">
        <f t="shared" si="9"/>
        <v>10.306260261096725</v>
      </c>
      <c r="O89" s="149"/>
      <c r="V89" s="158">
        <f t="shared" si="10"/>
        <v>286.17729337147142</v>
      </c>
      <c r="W89" s="158">
        <f t="shared" si="11"/>
        <v>86.066508432265124</v>
      </c>
      <c r="X89" s="158">
        <f t="shared" si="12"/>
        <v>49.859234226058007</v>
      </c>
      <c r="Y89" s="158">
        <f t="shared" si="13"/>
        <v>30.685780135696067</v>
      </c>
      <c r="Z89" s="158">
        <f t="shared" si="14"/>
        <v>0.80243177776286567</v>
      </c>
      <c r="AA89" s="158">
        <f t="shared" si="15"/>
        <v>-17.697817462586826</v>
      </c>
    </row>
    <row r="90" spans="1:27" ht="19.5" thickBot="1" x14ac:dyDescent="0.35">
      <c r="A90" s="142">
        <v>264</v>
      </c>
      <c r="B90" s="143" t="s">
        <v>512</v>
      </c>
      <c r="C90" s="142">
        <v>5130</v>
      </c>
      <c r="D90" s="143" t="s">
        <v>140</v>
      </c>
      <c r="E90" s="142">
        <v>4147</v>
      </c>
      <c r="F90" s="143" t="s">
        <v>517</v>
      </c>
      <c r="G90" s="144">
        <v>5.8587699797465023</v>
      </c>
      <c r="H90" s="145">
        <v>18.775272007650912</v>
      </c>
      <c r="I90" s="146">
        <v>12.084447801288041</v>
      </c>
      <c r="J90" s="147">
        <v>0.73370786809630006</v>
      </c>
      <c r="K90" s="148">
        <v>69</v>
      </c>
      <c r="M90" s="149">
        <f t="shared" si="8"/>
        <v>0.64363636363636356</v>
      </c>
      <c r="N90" s="138">
        <f t="shared" si="9"/>
        <v>12.084447801288041</v>
      </c>
      <c r="O90" s="149"/>
      <c r="V90" s="158">
        <f t="shared" si="10"/>
        <v>344.4092878613634</v>
      </c>
      <c r="W90" s="158">
        <f t="shared" si="11"/>
        <v>90.717881397058619</v>
      </c>
      <c r="X90" s="158">
        <f t="shared" si="12"/>
        <v>44.8159360301361</v>
      </c>
      <c r="Y90" s="158">
        <f t="shared" si="13"/>
        <v>20.508697734906647</v>
      </c>
      <c r="Z90" s="158">
        <f t="shared" si="14"/>
        <v>-17.37606033592898</v>
      </c>
      <c r="AA90" s="158">
        <f t="shared" si="15"/>
        <v>-40.829839956804193</v>
      </c>
    </row>
    <row r="91" spans="1:27" ht="19.5" thickBot="1" x14ac:dyDescent="0.35">
      <c r="A91" s="142">
        <v>264</v>
      </c>
      <c r="B91" s="143" t="s">
        <v>512</v>
      </c>
      <c r="C91" s="142">
        <v>5130</v>
      </c>
      <c r="D91" s="143" t="s">
        <v>140</v>
      </c>
      <c r="E91" s="142">
        <v>4141</v>
      </c>
      <c r="F91" s="143" t="s">
        <v>518</v>
      </c>
      <c r="G91" s="144">
        <v>3.2458373859052978</v>
      </c>
      <c r="H91" s="145">
        <v>39.127037155799592</v>
      </c>
      <c r="I91" s="146">
        <v>27.358117318385855</v>
      </c>
      <c r="J91" s="147">
        <v>0.39713824699478689</v>
      </c>
      <c r="K91" s="148">
        <v>4</v>
      </c>
      <c r="M91" s="149">
        <f t="shared" si="8"/>
        <v>0.69921259842519679</v>
      </c>
      <c r="N91" s="138">
        <f t="shared" si="9"/>
        <v>27.358117318385855</v>
      </c>
      <c r="O91" s="149"/>
      <c r="V91" s="158">
        <f t="shared" si="10"/>
        <v>95.070336525813801</v>
      </c>
      <c r="W91" s="158">
        <f t="shared" si="11"/>
        <v>-34.30675821976498</v>
      </c>
      <c r="X91" s="158">
        <f t="shared" si="12"/>
        <v>-57.715751127762061</v>
      </c>
      <c r="Y91" s="158">
        <f t="shared" si="13"/>
        <v>-70.111913519521067</v>
      </c>
      <c r="Z91" s="158">
        <f t="shared" si="14"/>
        <v>-89.432315430862417</v>
      </c>
      <c r="AA91" s="158">
        <f t="shared" si="15"/>
        <v>-101.39323247745085</v>
      </c>
    </row>
    <row r="92" spans="1:27" ht="19.5" thickBot="1" x14ac:dyDescent="0.35">
      <c r="A92" s="142">
        <v>264</v>
      </c>
      <c r="B92" s="143" t="s">
        <v>512</v>
      </c>
      <c r="C92" s="142">
        <v>5130</v>
      </c>
      <c r="D92" s="143" t="s">
        <v>140</v>
      </c>
      <c r="E92" s="142">
        <v>4139</v>
      </c>
      <c r="F92" s="143" t="s">
        <v>519</v>
      </c>
      <c r="G92" s="144">
        <v>5.9735728475228482</v>
      </c>
      <c r="H92" s="145">
        <v>10.379048114514998</v>
      </c>
      <c r="I92" s="146">
        <v>6.9012299761432381</v>
      </c>
      <c r="J92" s="147">
        <v>0.84792493018100301</v>
      </c>
      <c r="K92" s="148">
        <v>177</v>
      </c>
      <c r="M92" s="149">
        <f t="shared" si="8"/>
        <v>0.66491935483870968</v>
      </c>
      <c r="N92" s="138">
        <f t="shared" si="9"/>
        <v>6.9012299761432381</v>
      </c>
      <c r="O92" s="149"/>
      <c r="V92" s="158">
        <f t="shared" si="10"/>
        <v>392.8333921305038</v>
      </c>
      <c r="W92" s="158">
        <f t="shared" si="11"/>
        <v>142.45025842776704</v>
      </c>
      <c r="X92" s="158">
        <f t="shared" si="12"/>
        <v>97.146899184343141</v>
      </c>
      <c r="Y92" s="158">
        <f t="shared" si="13"/>
        <v>73.15664038590387</v>
      </c>
      <c r="Z92" s="158">
        <f t="shared" si="14"/>
        <v>35.765919992383004</v>
      </c>
      <c r="AA92" s="158">
        <f t="shared" si="15"/>
        <v>12.617990306895646</v>
      </c>
    </row>
    <row r="93" spans="1:27" ht="19.5" thickBot="1" x14ac:dyDescent="0.35">
      <c r="A93" s="142">
        <v>264</v>
      </c>
      <c r="B93" s="143" t="s">
        <v>512</v>
      </c>
      <c r="C93" s="142">
        <v>5130</v>
      </c>
      <c r="D93" s="143" t="s">
        <v>140</v>
      </c>
      <c r="E93" s="142">
        <v>4143</v>
      </c>
      <c r="F93" s="143" t="s">
        <v>520</v>
      </c>
      <c r="G93" s="144">
        <v>5.3472902686824586</v>
      </c>
      <c r="H93" s="145">
        <v>7.2934136806471468</v>
      </c>
      <c r="I93" s="146">
        <v>5.9843394302745816</v>
      </c>
      <c r="J93" s="147">
        <v>0.86812947259755335</v>
      </c>
      <c r="K93" s="148">
        <v>204</v>
      </c>
      <c r="M93" s="149">
        <f t="shared" si="8"/>
        <v>0.82051282051282048</v>
      </c>
      <c r="N93" s="138">
        <f t="shared" si="9"/>
        <v>5.9843394302745816</v>
      </c>
      <c r="O93" s="149"/>
      <c r="V93" s="158">
        <f t="shared" si="10"/>
        <v>291.75525848080315</v>
      </c>
      <c r="W93" s="158">
        <f t="shared" si="11"/>
        <v>110.12497133163265</v>
      </c>
      <c r="X93" s="158">
        <f t="shared" si="12"/>
        <v>77.261487172295389</v>
      </c>
      <c r="Y93" s="158">
        <f t="shared" si="13"/>
        <v>59.858727130492248</v>
      </c>
      <c r="Z93" s="158">
        <f t="shared" si="14"/>
        <v>32.735145835865673</v>
      </c>
      <c r="AA93" s="158">
        <f t="shared" si="15"/>
        <v>15.943419278615057</v>
      </c>
    </row>
    <row r="94" spans="1:27" ht="19.5" thickBot="1" x14ac:dyDescent="0.35">
      <c r="A94" s="142">
        <v>264</v>
      </c>
      <c r="B94" s="143" t="s">
        <v>512</v>
      </c>
      <c r="C94" s="142">
        <v>5130</v>
      </c>
      <c r="D94" s="143" t="s">
        <v>140</v>
      </c>
      <c r="E94" s="142">
        <v>4159</v>
      </c>
      <c r="F94" s="143" t="s">
        <v>152</v>
      </c>
      <c r="G94" s="144">
        <v>1.8576732234626969</v>
      </c>
      <c r="H94" s="145">
        <v>5.921385882655958</v>
      </c>
      <c r="I94" s="146">
        <v>3.8489008237263729</v>
      </c>
      <c r="J94" s="147">
        <v>0.9151858634594161</v>
      </c>
      <c r="K94" s="148">
        <v>244</v>
      </c>
      <c r="M94" s="149">
        <f t="shared" si="8"/>
        <v>0.65</v>
      </c>
      <c r="N94" s="138">
        <f t="shared" si="9"/>
        <v>3.8489008237263729</v>
      </c>
      <c r="O94" s="149"/>
      <c r="V94" s="158">
        <f t="shared" si="10"/>
        <v>134.88109128799189</v>
      </c>
      <c r="W94" s="158">
        <f t="shared" si="11"/>
        <v>55.229245229638188</v>
      </c>
      <c r="X94" s="158">
        <f t="shared" si="12"/>
        <v>40.817347179557764</v>
      </c>
      <c r="Y94" s="158">
        <f t="shared" si="13"/>
        <v>33.18556954160394</v>
      </c>
      <c r="Z94" s="158">
        <f t="shared" si="14"/>
        <v>21.290839011026197</v>
      </c>
      <c r="AA94" s="158">
        <f t="shared" si="15"/>
        <v>13.92702298791089</v>
      </c>
    </row>
    <row r="95" spans="1:27" ht="19.5" thickBot="1" x14ac:dyDescent="0.35">
      <c r="A95" s="142">
        <v>264</v>
      </c>
      <c r="B95" s="143" t="s">
        <v>512</v>
      </c>
      <c r="C95" s="142">
        <v>5130</v>
      </c>
      <c r="D95" s="143" t="s">
        <v>140</v>
      </c>
      <c r="E95" s="142">
        <v>4157</v>
      </c>
      <c r="F95" s="143" t="s">
        <v>521</v>
      </c>
      <c r="G95" s="144">
        <v>3.3075077187919297</v>
      </c>
      <c r="H95" s="145">
        <v>21.163971773153584</v>
      </c>
      <c r="I95" s="146">
        <v>15.132239817804811</v>
      </c>
      <c r="J95" s="147">
        <v>0.66654691485929574</v>
      </c>
      <c r="K95" s="148">
        <v>35</v>
      </c>
      <c r="M95" s="149">
        <f t="shared" si="8"/>
        <v>0.71499999999999997</v>
      </c>
      <c r="N95" s="138">
        <f t="shared" si="9"/>
        <v>15.132239817804811</v>
      </c>
      <c r="O95" s="149"/>
      <c r="V95" s="158">
        <f t="shared" si="10"/>
        <v>159.00520847177151</v>
      </c>
      <c r="W95" s="158">
        <f t="shared" si="11"/>
        <v>30.080931132576392</v>
      </c>
      <c r="X95" s="158">
        <f t="shared" si="12"/>
        <v>6.7538692609462796</v>
      </c>
      <c r="Y95" s="158">
        <f t="shared" si="13"/>
        <v>-5.598906794812633</v>
      </c>
      <c r="Z95" s="158">
        <f t="shared" si="14"/>
        <v>-24.851687661633026</v>
      </c>
      <c r="AA95" s="158">
        <f t="shared" si="15"/>
        <v>-36.770741722770616</v>
      </c>
    </row>
    <row r="96" spans="1:27" ht="19.5" thickBot="1" x14ac:dyDescent="0.35">
      <c r="A96" s="142">
        <v>264</v>
      </c>
      <c r="B96" s="143" t="s">
        <v>512</v>
      </c>
      <c r="C96" s="142">
        <v>5130</v>
      </c>
      <c r="D96" s="143" t="s">
        <v>140</v>
      </c>
      <c r="E96" s="142">
        <v>4148</v>
      </c>
      <c r="F96" s="143" t="s">
        <v>154</v>
      </c>
      <c r="G96" s="144">
        <v>3.0547893160973465</v>
      </c>
      <c r="H96" s="145">
        <v>20.950708339442325</v>
      </c>
      <c r="I96" s="146">
        <v>13.233318509718062</v>
      </c>
      <c r="J96" s="147">
        <v>0.70839142540398814</v>
      </c>
      <c r="K96" s="148">
        <v>59</v>
      </c>
      <c r="M96" s="149">
        <f t="shared" si="8"/>
        <v>0.63164062499999996</v>
      </c>
      <c r="N96" s="138">
        <f t="shared" si="9"/>
        <v>13.233318509718062</v>
      </c>
      <c r="O96" s="149"/>
      <c r="V96" s="158">
        <f t="shared" si="10"/>
        <v>176.6730503874625</v>
      </c>
      <c r="W96" s="158">
        <f t="shared" si="11"/>
        <v>41.885093736899179</v>
      </c>
      <c r="X96" s="158">
        <f t="shared" si="12"/>
        <v>17.497080329106396</v>
      </c>
      <c r="Y96" s="158">
        <f t="shared" si="13"/>
        <v>4.582480550996495</v>
      </c>
      <c r="Z96" s="158">
        <f t="shared" si="14"/>
        <v>-15.54594713103206</v>
      </c>
      <c r="AA96" s="158">
        <f t="shared" si="15"/>
        <v>-28.007098554681864</v>
      </c>
    </row>
    <row r="97" spans="1:27" ht="19.5" thickBot="1" x14ac:dyDescent="0.35">
      <c r="A97" s="142">
        <v>264</v>
      </c>
      <c r="B97" s="143" t="s">
        <v>512</v>
      </c>
      <c r="C97" s="142">
        <v>5130</v>
      </c>
      <c r="D97" s="143" t="s">
        <v>140</v>
      </c>
      <c r="E97" s="142">
        <v>4144</v>
      </c>
      <c r="F97" s="143" t="s">
        <v>155</v>
      </c>
      <c r="G97" s="144">
        <v>2.7451908808211134</v>
      </c>
      <c r="H97" s="145">
        <v>31.691785299089094</v>
      </c>
      <c r="I97" s="146">
        <v>20.854651820377594</v>
      </c>
      <c r="J97" s="147">
        <v>0.54044820378422231</v>
      </c>
      <c r="K97" s="148">
        <v>10</v>
      </c>
      <c r="M97" s="149">
        <f t="shared" si="8"/>
        <v>0.65804597701149425</v>
      </c>
      <c r="N97" s="138">
        <f t="shared" si="9"/>
        <v>20.854651820377594</v>
      </c>
      <c r="O97" s="149"/>
      <c r="V97" s="158">
        <f t="shared" si="10"/>
        <v>116.26692601853304</v>
      </c>
      <c r="W97" s="158">
        <f t="shared" si="11"/>
        <v>0</v>
      </c>
      <c r="X97" s="158">
        <f t="shared" si="12"/>
        <v>-21.036889504704767</v>
      </c>
      <c r="Y97" s="158">
        <f t="shared" si="13"/>
        <v>-32.176911612564147</v>
      </c>
      <c r="Z97" s="158">
        <f t="shared" si="14"/>
        <v>-49.539519298968493</v>
      </c>
      <c r="AA97" s="158">
        <f t="shared" si="15"/>
        <v>-60.288400776823991</v>
      </c>
    </row>
    <row r="98" spans="1:27" ht="19.5" thickBot="1" x14ac:dyDescent="0.35">
      <c r="A98" s="142">
        <v>264</v>
      </c>
      <c r="B98" s="143" t="s">
        <v>512</v>
      </c>
      <c r="C98" s="142">
        <v>5130</v>
      </c>
      <c r="D98" s="143" t="s">
        <v>140</v>
      </c>
      <c r="E98" s="142">
        <v>4153</v>
      </c>
      <c r="F98" s="143" t="s">
        <v>156</v>
      </c>
      <c r="G98" s="144">
        <v>3.7565036017871338</v>
      </c>
      <c r="H98" s="145">
        <v>10.648199560083009</v>
      </c>
      <c r="I98" s="146">
        <v>6.5220222305508431</v>
      </c>
      <c r="J98" s="147">
        <v>0.85628112821906577</v>
      </c>
      <c r="K98" s="148">
        <v>186</v>
      </c>
      <c r="M98" s="149">
        <f t="shared" si="8"/>
        <v>0.61250000000000004</v>
      </c>
      <c r="N98" s="138">
        <f t="shared" si="9"/>
        <v>6.5220222305508431</v>
      </c>
      <c r="O98" s="149"/>
      <c r="V98" s="158">
        <f t="shared" si="10"/>
        <v>270.81947542581793</v>
      </c>
      <c r="W98" s="158">
        <f t="shared" si="11"/>
        <v>99.889748937411952</v>
      </c>
      <c r="X98" s="158">
        <f t="shared" si="12"/>
        <v>68.962382984408023</v>
      </c>
      <c r="Y98" s="158">
        <f t="shared" si="13"/>
        <v>52.584888565507875</v>
      </c>
      <c r="Z98" s="158">
        <f t="shared" si="14"/>
        <v>27.059265031868364</v>
      </c>
      <c r="AA98" s="158">
        <f t="shared" si="15"/>
        <v>11.256805691253593</v>
      </c>
    </row>
    <row r="99" spans="1:27" ht="19.5" thickBot="1" x14ac:dyDescent="0.35">
      <c r="A99" s="142">
        <v>264</v>
      </c>
      <c r="B99" s="143" t="s">
        <v>512</v>
      </c>
      <c r="C99" s="142">
        <v>5130</v>
      </c>
      <c r="D99" s="143" t="s">
        <v>140</v>
      </c>
      <c r="E99" s="142">
        <v>4164</v>
      </c>
      <c r="F99" s="143" t="s">
        <v>522</v>
      </c>
      <c r="G99" s="144">
        <v>2.8448773448773443</v>
      </c>
      <c r="H99" s="145">
        <v>2.8120720263758563</v>
      </c>
      <c r="I99" s="146">
        <v>1.8278468171443067</v>
      </c>
      <c r="J99" s="147">
        <v>0.95972168246869594</v>
      </c>
      <c r="K99" s="148">
        <v>272</v>
      </c>
      <c r="M99" s="149">
        <f t="shared" si="8"/>
        <v>0.65</v>
      </c>
      <c r="N99" s="138">
        <f t="shared" si="9"/>
        <v>1.8278468171443067</v>
      </c>
      <c r="O99" s="149"/>
      <c r="V99" s="158">
        <f t="shared" si="10"/>
        <v>216.61139547639755</v>
      </c>
      <c r="W99" s="158">
        <f t="shared" si="11"/>
        <v>94.630990383037215</v>
      </c>
      <c r="X99" s="158">
        <f t="shared" si="12"/>
        <v>72.560325994102456</v>
      </c>
      <c r="Y99" s="158">
        <f t="shared" si="13"/>
        <v>60.872871478885692</v>
      </c>
      <c r="Z99" s="158">
        <f t="shared" si="14"/>
        <v>42.657046982699221</v>
      </c>
      <c r="AA99" s="158">
        <f t="shared" si="15"/>
        <v>31.379954159583448</v>
      </c>
    </row>
    <row r="100" spans="1:27" ht="19.5" thickBot="1" x14ac:dyDescent="0.35">
      <c r="A100" s="142">
        <v>264</v>
      </c>
      <c r="B100" s="143" t="s">
        <v>512</v>
      </c>
      <c r="C100" s="142">
        <v>5130</v>
      </c>
      <c r="D100" s="143" t="s">
        <v>140</v>
      </c>
      <c r="E100" s="142">
        <v>4140</v>
      </c>
      <c r="F100" s="143" t="s">
        <v>158</v>
      </c>
      <c r="G100" s="144">
        <v>2.4566604814326558</v>
      </c>
      <c r="H100" s="145">
        <v>13.839926297089352</v>
      </c>
      <c r="I100" s="146">
        <v>8.6194246864960888</v>
      </c>
      <c r="J100" s="147">
        <v>0.81006289958025413</v>
      </c>
      <c r="K100" s="148">
        <v>132</v>
      </c>
      <c r="M100" s="149">
        <f t="shared" si="8"/>
        <v>0.62279411764705883</v>
      </c>
      <c r="N100" s="138">
        <f t="shared" si="9"/>
        <v>8.6194246864960888</v>
      </c>
      <c r="O100" s="149"/>
      <c r="V100" s="158">
        <f t="shared" si="10"/>
        <v>164.78025981940334</v>
      </c>
      <c r="W100" s="158">
        <f t="shared" si="11"/>
        <v>54.844111052882575</v>
      </c>
      <c r="X100" s="158">
        <f t="shared" si="12"/>
        <v>34.952687985539811</v>
      </c>
      <c r="Y100" s="158">
        <f t="shared" si="13"/>
        <v>24.419244213948716</v>
      </c>
      <c r="Z100" s="158">
        <f t="shared" si="14"/>
        <v>8.0020369568907288</v>
      </c>
      <c r="AA100" s="158">
        <f t="shared" si="15"/>
        <v>-2.1615639370974642</v>
      </c>
    </row>
    <row r="101" spans="1:27" ht="19.5" thickBot="1" x14ac:dyDescent="0.35">
      <c r="A101" s="142">
        <v>264</v>
      </c>
      <c r="B101" s="143" t="s">
        <v>512</v>
      </c>
      <c r="C101" s="142">
        <v>5169</v>
      </c>
      <c r="D101" s="143" t="s">
        <v>159</v>
      </c>
      <c r="E101" s="142">
        <v>4189</v>
      </c>
      <c r="F101" s="143" t="s">
        <v>160</v>
      </c>
      <c r="G101" s="144">
        <v>3.9968760643589416</v>
      </c>
      <c r="H101" s="145">
        <v>11.008597537551406</v>
      </c>
      <c r="I101" s="146">
        <v>7.8561355154344126</v>
      </c>
      <c r="J101" s="147">
        <v>0.82688269175969975</v>
      </c>
      <c r="K101" s="148">
        <v>156</v>
      </c>
      <c r="M101" s="149">
        <f t="shared" si="8"/>
        <v>0.71363636363636362</v>
      </c>
      <c r="N101" s="138">
        <f t="shared" si="9"/>
        <v>7.8561355154344126</v>
      </c>
      <c r="O101" s="149"/>
      <c r="V101" s="158">
        <f t="shared" si="10"/>
        <v>238.82149629195999</v>
      </c>
      <c r="W101" s="158">
        <f t="shared" si="11"/>
        <v>82.728437406698774</v>
      </c>
      <c r="X101" s="158">
        <f t="shared" si="12"/>
        <v>54.485560909755975</v>
      </c>
      <c r="Y101" s="158">
        <f t="shared" si="13"/>
        <v>39.529629877503289</v>
      </c>
      <c r="Z101" s="158">
        <f t="shared" si="14"/>
        <v>16.219625589924579</v>
      </c>
      <c r="AA101" s="158">
        <f t="shared" si="15"/>
        <v>1.7888167010222904</v>
      </c>
    </row>
    <row r="102" spans="1:27" ht="19.5" thickBot="1" x14ac:dyDescent="0.35">
      <c r="A102" s="142">
        <v>264</v>
      </c>
      <c r="B102" s="143" t="s">
        <v>512</v>
      </c>
      <c r="C102" s="142">
        <v>5169</v>
      </c>
      <c r="D102" s="143" t="s">
        <v>159</v>
      </c>
      <c r="E102" s="142">
        <v>4195</v>
      </c>
      <c r="F102" s="143" t="s">
        <v>523</v>
      </c>
      <c r="G102" s="144">
        <v>3.1170158207509644</v>
      </c>
      <c r="H102" s="145">
        <v>-0.32081967417126417</v>
      </c>
      <c r="I102" s="146">
        <v>-0.20853278821132173</v>
      </c>
      <c r="J102" s="147">
        <v>1.0045952154089073</v>
      </c>
      <c r="K102" s="148">
        <v>289</v>
      </c>
      <c r="M102" s="149">
        <f t="shared" si="8"/>
        <v>0.65000000000000013</v>
      </c>
      <c r="N102" s="138">
        <f t="shared" si="9"/>
        <v>-0.20853278821132173</v>
      </c>
      <c r="O102" s="149"/>
      <c r="V102" s="158">
        <f t="shared" si="10"/>
        <v>248.42915303659672</v>
      </c>
      <c r="W102" s="158">
        <f t="shared" si="11"/>
        <v>114.78020919645078</v>
      </c>
      <c r="X102" s="158">
        <f t="shared" si="12"/>
        <v>90.598284376855219</v>
      </c>
      <c r="Y102" s="158">
        <f t="shared" si="13"/>
        <v>77.792818196094956</v>
      </c>
      <c r="Z102" s="158">
        <f t="shared" si="14"/>
        <v>57.834483878140659</v>
      </c>
      <c r="AA102" s="158">
        <f t="shared" si="15"/>
        <v>45.478634229640427</v>
      </c>
    </row>
    <row r="103" spans="1:27" ht="19.5" thickBot="1" x14ac:dyDescent="0.35">
      <c r="A103" s="142">
        <v>264</v>
      </c>
      <c r="B103" s="143" t="s">
        <v>512</v>
      </c>
      <c r="C103" s="142">
        <v>5169</v>
      </c>
      <c r="D103" s="143" t="s">
        <v>159</v>
      </c>
      <c r="E103" s="142">
        <v>4193</v>
      </c>
      <c r="F103" s="143" t="s">
        <v>524</v>
      </c>
      <c r="G103" s="144">
        <v>3.5189073531009014</v>
      </c>
      <c r="H103" s="145">
        <v>6.2519406714738732</v>
      </c>
      <c r="I103" s="146">
        <v>3.964298743957297</v>
      </c>
      <c r="J103" s="147">
        <v>0.9126429621451938</v>
      </c>
      <c r="K103" s="148">
        <v>240</v>
      </c>
      <c r="M103" s="149">
        <f t="shared" si="8"/>
        <v>0.63409090909090915</v>
      </c>
      <c r="N103" s="138">
        <f t="shared" si="9"/>
        <v>3.964298743957297</v>
      </c>
      <c r="O103" s="149"/>
      <c r="V103" s="158">
        <f t="shared" si="10"/>
        <v>261.18186483786047</v>
      </c>
      <c r="W103" s="158">
        <f t="shared" si="11"/>
        <v>106.51539003061973</v>
      </c>
      <c r="X103" s="158">
        <f t="shared" si="12"/>
        <v>78.530634158743609</v>
      </c>
      <c r="Y103" s="158">
        <f t="shared" si="13"/>
        <v>63.711390133811769</v>
      </c>
      <c r="Z103" s="158">
        <f t="shared" si="14"/>
        <v>40.614423384306356</v>
      </c>
      <c r="AA103" s="158">
        <f t="shared" si="15"/>
        <v>26.315502244551162</v>
      </c>
    </row>
    <row r="104" spans="1:27" ht="19.5" thickBot="1" x14ac:dyDescent="0.35">
      <c r="A104" s="142">
        <v>264</v>
      </c>
      <c r="B104" s="143" t="s">
        <v>512</v>
      </c>
      <c r="C104" s="142">
        <v>5169</v>
      </c>
      <c r="D104" s="143" t="s">
        <v>159</v>
      </c>
      <c r="E104" s="142">
        <v>4184</v>
      </c>
      <c r="F104" s="143" t="s">
        <v>525</v>
      </c>
      <c r="G104" s="144">
        <v>3.2768242683852011</v>
      </c>
      <c r="H104" s="145">
        <v>0.61034704219448044</v>
      </c>
      <c r="I104" s="146">
        <v>0.28991484504237824</v>
      </c>
      <c r="J104" s="147">
        <v>0.99361145470390166</v>
      </c>
      <c r="K104" s="148">
        <v>283</v>
      </c>
      <c r="M104" s="149">
        <f t="shared" si="8"/>
        <v>0.47500000000000003</v>
      </c>
      <c r="N104" s="138">
        <f t="shared" si="9"/>
        <v>0.28991484504237824</v>
      </c>
      <c r="O104" s="149"/>
      <c r="V104" s="158">
        <f t="shared" si="10"/>
        <v>353.47763018584141</v>
      </c>
      <c r="W104" s="158">
        <f t="shared" si="11"/>
        <v>161.21298850176294</v>
      </c>
      <c r="X104" s="158">
        <f t="shared" si="12"/>
        <v>126.42536521734847</v>
      </c>
      <c r="Y104" s="158">
        <f t="shared" si="13"/>
        <v>108.00368303940145</v>
      </c>
      <c r="Z104" s="158">
        <f t="shared" si="14"/>
        <v>79.292030810842107</v>
      </c>
      <c r="AA104" s="158">
        <f t="shared" si="15"/>
        <v>61.517157795664161</v>
      </c>
    </row>
    <row r="105" spans="1:27" ht="19.5" thickBot="1" x14ac:dyDescent="0.35">
      <c r="A105" s="142">
        <v>264</v>
      </c>
      <c r="B105" s="143" t="s">
        <v>512</v>
      </c>
      <c r="C105" s="142">
        <v>5169</v>
      </c>
      <c r="D105" s="143" t="s">
        <v>159</v>
      </c>
      <c r="E105" s="142">
        <v>4196</v>
      </c>
      <c r="F105" s="143" t="s">
        <v>164</v>
      </c>
      <c r="G105" s="144">
        <v>2.5224867724867721</v>
      </c>
      <c r="H105" s="145">
        <v>9.1179863660199274</v>
      </c>
      <c r="I105" s="146">
        <v>6.3429470372312542</v>
      </c>
      <c r="J105" s="147">
        <v>0.86022721791917256</v>
      </c>
      <c r="K105" s="148">
        <v>191</v>
      </c>
      <c r="M105" s="149">
        <f t="shared" si="8"/>
        <v>0.69565217391304357</v>
      </c>
      <c r="N105" s="138">
        <f t="shared" si="9"/>
        <v>6.3429470372312542</v>
      </c>
      <c r="O105" s="149"/>
      <c r="V105" s="158">
        <f t="shared" si="10"/>
        <v>160.8554329585526</v>
      </c>
      <c r="W105" s="158">
        <f t="shared" si="11"/>
        <v>59.796052366445466</v>
      </c>
      <c r="X105" s="158">
        <f t="shared" si="12"/>
        <v>41.510757521794794</v>
      </c>
      <c r="Y105" s="158">
        <f t="shared" si="13"/>
        <v>31.827834161258071</v>
      </c>
      <c r="Z105" s="158">
        <f t="shared" si="14"/>
        <v>16.736230397930843</v>
      </c>
      <c r="AA105" s="158">
        <f t="shared" si="15"/>
        <v>7.3932870398438091</v>
      </c>
    </row>
    <row r="106" spans="1:27" ht="19.5" thickBot="1" x14ac:dyDescent="0.35">
      <c r="A106" s="142">
        <v>264</v>
      </c>
      <c r="B106" s="143" t="s">
        <v>512</v>
      </c>
      <c r="C106" s="142">
        <v>5169</v>
      </c>
      <c r="D106" s="143" t="s">
        <v>159</v>
      </c>
      <c r="E106" s="142">
        <v>4174</v>
      </c>
      <c r="F106" s="143" t="s">
        <v>526</v>
      </c>
      <c r="G106" s="144">
        <v>5.5385385716069759</v>
      </c>
      <c r="H106" s="145">
        <v>5.0554852400126835</v>
      </c>
      <c r="I106" s="146">
        <v>3.5388396680088792</v>
      </c>
      <c r="J106" s="147">
        <v>0.92201835159079248</v>
      </c>
      <c r="K106" s="148">
        <v>246</v>
      </c>
      <c r="M106" s="149">
        <f t="shared" si="8"/>
        <v>0.70000000000000018</v>
      </c>
      <c r="N106" s="138">
        <f t="shared" si="9"/>
        <v>3.5388396680088792</v>
      </c>
      <c r="O106" s="149"/>
      <c r="V106" s="158">
        <f t="shared" si="10"/>
        <v>376.20322407998998</v>
      </c>
      <c r="W106" s="158">
        <f t="shared" si="11"/>
        <v>155.68878815680992</v>
      </c>
      <c r="X106" s="158">
        <f t="shared" si="12"/>
        <v>115.78975597659397</v>
      </c>
      <c r="Y106" s="158">
        <f t="shared" si="13"/>
        <v>94.661342459453309</v>
      </c>
      <c r="Z106" s="158">
        <f t="shared" si="14"/>
        <v>61.731034836865746</v>
      </c>
      <c r="AA106" s="158">
        <f t="shared" si="15"/>
        <v>41.344467331704408</v>
      </c>
    </row>
    <row r="107" spans="1:27" ht="19.5" thickBot="1" x14ac:dyDescent="0.35">
      <c r="A107" s="142">
        <v>264</v>
      </c>
      <c r="B107" s="143" t="s">
        <v>512</v>
      </c>
      <c r="C107" s="142">
        <v>5169</v>
      </c>
      <c r="D107" s="143" t="s">
        <v>159</v>
      </c>
      <c r="E107" s="142">
        <v>4170</v>
      </c>
      <c r="F107" s="143" t="s">
        <v>527</v>
      </c>
      <c r="G107" s="144">
        <v>4.7470153232994274</v>
      </c>
      <c r="H107" s="145">
        <v>8.6370060359322416</v>
      </c>
      <c r="I107" s="146">
        <v>6.346092849572166</v>
      </c>
      <c r="J107" s="147">
        <v>0.86015789699623058</v>
      </c>
      <c r="K107" s="148">
        <v>190</v>
      </c>
      <c r="M107" s="149">
        <f t="shared" si="8"/>
        <v>0.73475609756097571</v>
      </c>
      <c r="N107" s="138">
        <f t="shared" si="9"/>
        <v>6.346092849572166</v>
      </c>
      <c r="O107" s="149"/>
      <c r="V107" s="158">
        <f t="shared" si="10"/>
        <v>286.57705742381944</v>
      </c>
      <c r="W107" s="158">
        <f t="shared" si="11"/>
        <v>106.5170283624925</v>
      </c>
      <c r="X107" s="158">
        <f t="shared" si="12"/>
        <v>73.937660649844176</v>
      </c>
      <c r="Y107" s="158">
        <f t="shared" si="13"/>
        <v>56.685353625185712</v>
      </c>
      <c r="Z107" s="158">
        <f t="shared" si="14"/>
        <v>29.7962652863743</v>
      </c>
      <c r="AA107" s="158">
        <f t="shared" si="15"/>
        <v>13.149709145628748</v>
      </c>
    </row>
    <row r="108" spans="1:27" ht="19.5" thickBot="1" x14ac:dyDescent="0.35">
      <c r="A108" s="142">
        <v>264</v>
      </c>
      <c r="B108" s="143" t="s">
        <v>512</v>
      </c>
      <c r="C108" s="142">
        <v>5169</v>
      </c>
      <c r="D108" s="143" t="s">
        <v>159</v>
      </c>
      <c r="E108" s="142">
        <v>4169</v>
      </c>
      <c r="F108" s="143" t="s">
        <v>167</v>
      </c>
      <c r="G108" s="144">
        <v>5.825472477958602</v>
      </c>
      <c r="H108" s="145">
        <v>10.471253658960894</v>
      </c>
      <c r="I108" s="146">
        <v>6.6861529510906044</v>
      </c>
      <c r="J108" s="147">
        <v>0.85266435398145723</v>
      </c>
      <c r="K108" s="148">
        <v>181</v>
      </c>
      <c r="M108" s="149">
        <f t="shared" si="8"/>
        <v>0.63852459016393448</v>
      </c>
      <c r="N108" s="138">
        <f t="shared" si="9"/>
        <v>6.6861529510906044</v>
      </c>
      <c r="O108" s="149"/>
      <c r="V108" s="158">
        <f t="shared" si="10"/>
        <v>401.15983006400643</v>
      </c>
      <c r="W108" s="158">
        <f t="shared" si="11"/>
        <v>146.89083362230582</v>
      </c>
      <c r="X108" s="158">
        <f t="shared" si="12"/>
        <v>100.88438135088695</v>
      </c>
      <c r="Y108" s="158">
        <f t="shared" si="13"/>
        <v>76.521801736007916</v>
      </c>
      <c r="Z108" s="158">
        <f t="shared" si="14"/>
        <v>38.550789830788432</v>
      </c>
      <c r="AA108" s="158">
        <f t="shared" si="15"/>
        <v>15.043611995799989</v>
      </c>
    </row>
    <row r="109" spans="1:27" ht="19.5" thickBot="1" x14ac:dyDescent="0.35">
      <c r="A109" s="142">
        <v>264</v>
      </c>
      <c r="B109" s="143" t="s">
        <v>512</v>
      </c>
      <c r="C109" s="142">
        <v>5169</v>
      </c>
      <c r="D109" s="143" t="s">
        <v>159</v>
      </c>
      <c r="E109" s="142">
        <v>4188</v>
      </c>
      <c r="F109" s="143" t="s">
        <v>168</v>
      </c>
      <c r="G109" s="144">
        <v>2.9978898043414177</v>
      </c>
      <c r="H109" s="145">
        <v>6.3377913265807839</v>
      </c>
      <c r="I109" s="146">
        <v>4.0028155746826002</v>
      </c>
      <c r="J109" s="147">
        <v>0.91179420768519104</v>
      </c>
      <c r="K109" s="148">
        <v>239</v>
      </c>
      <c r="M109" s="149">
        <f t="shared" si="8"/>
        <v>0.63157894736842102</v>
      </c>
      <c r="N109" s="138">
        <f t="shared" si="9"/>
        <v>4.0028155746826002</v>
      </c>
      <c r="O109" s="149"/>
      <c r="V109" s="158">
        <f t="shared" si="10"/>
        <v>223.18790332370557</v>
      </c>
      <c r="W109" s="158">
        <f t="shared" si="11"/>
        <v>90.897633829791985</v>
      </c>
      <c r="X109" s="158">
        <f t="shared" si="12"/>
        <v>66.961542310115377</v>
      </c>
      <c r="Y109" s="158">
        <f t="shared" si="13"/>
        <v>54.286256420283209</v>
      </c>
      <c r="Z109" s="158">
        <f t="shared" si="14"/>
        <v>34.530818407022252</v>
      </c>
      <c r="AA109" s="158">
        <f t="shared" si="15"/>
        <v>22.300578250531178</v>
      </c>
    </row>
    <row r="110" spans="1:27" ht="19.5" thickBot="1" x14ac:dyDescent="0.35">
      <c r="A110" s="142">
        <v>264</v>
      </c>
      <c r="B110" s="143" t="s">
        <v>512</v>
      </c>
      <c r="C110" s="142">
        <v>5169</v>
      </c>
      <c r="D110" s="143" t="s">
        <v>159</v>
      </c>
      <c r="E110" s="142">
        <v>4180</v>
      </c>
      <c r="F110" s="143" t="s">
        <v>528</v>
      </c>
      <c r="G110" s="144">
        <v>3.5180638414217369</v>
      </c>
      <c r="H110" s="145">
        <v>11.085643057642505</v>
      </c>
      <c r="I110" s="146">
        <v>8.2929137488902587</v>
      </c>
      <c r="J110" s="147">
        <v>0.81725787407099304</v>
      </c>
      <c r="K110" s="148">
        <v>142</v>
      </c>
      <c r="M110" s="149">
        <f t="shared" si="8"/>
        <v>0.74807692307692308</v>
      </c>
      <c r="N110" s="138">
        <f t="shared" si="9"/>
        <v>8.2929137488902587</v>
      </c>
      <c r="O110" s="149"/>
      <c r="V110" s="158">
        <f t="shared" si="10"/>
        <v>198.19941828568733</v>
      </c>
      <c r="W110" s="158">
        <f t="shared" si="11"/>
        <v>67.131216923490939</v>
      </c>
      <c r="X110" s="158">
        <f t="shared" si="12"/>
        <v>43.416241701754956</v>
      </c>
      <c r="Y110" s="158">
        <f t="shared" si="13"/>
        <v>30.858047288156271</v>
      </c>
      <c r="Z110" s="158">
        <f t="shared" si="14"/>
        <v>11.285105624146698</v>
      </c>
      <c r="AA110" s="158">
        <f t="shared" si="15"/>
        <v>-0.83215428976362427</v>
      </c>
    </row>
    <row r="111" spans="1:27" ht="19.5" thickBot="1" x14ac:dyDescent="0.35">
      <c r="A111" s="142">
        <v>264</v>
      </c>
      <c r="B111" s="143" t="s">
        <v>512</v>
      </c>
      <c r="C111" s="142">
        <v>5169</v>
      </c>
      <c r="D111" s="143" t="s">
        <v>159</v>
      </c>
      <c r="E111" s="142">
        <v>4185</v>
      </c>
      <c r="F111" s="143" t="s">
        <v>529</v>
      </c>
      <c r="G111" s="144">
        <v>3.3305764510330889</v>
      </c>
      <c r="H111" s="145">
        <v>7.8064564444798243</v>
      </c>
      <c r="I111" s="146">
        <v>5.3519263893404947</v>
      </c>
      <c r="J111" s="147">
        <v>0.88206528660273198</v>
      </c>
      <c r="K111" s="148">
        <v>217</v>
      </c>
      <c r="M111" s="149">
        <f t="shared" si="8"/>
        <v>0.68557692307692308</v>
      </c>
      <c r="N111" s="138">
        <f t="shared" si="9"/>
        <v>5.3519263893404947</v>
      </c>
      <c r="O111" s="149"/>
      <c r="V111" s="158">
        <f t="shared" si="10"/>
        <v>220.97836235593084</v>
      </c>
      <c r="W111" s="158">
        <f t="shared" si="11"/>
        <v>85.583215506409715</v>
      </c>
      <c r="X111" s="158">
        <f t="shared" si="12"/>
        <v>61.085339444109486</v>
      </c>
      <c r="Y111" s="158">
        <f t="shared" si="13"/>
        <v>48.112562224901794</v>
      </c>
      <c r="Z111" s="158">
        <f t="shared" si="14"/>
        <v>27.893460388351823</v>
      </c>
      <c r="AA111" s="158">
        <f t="shared" si="15"/>
        <v>15.376174209044397</v>
      </c>
    </row>
    <row r="112" spans="1:27" ht="19.5" thickBot="1" x14ac:dyDescent="0.35">
      <c r="A112" s="142">
        <v>264</v>
      </c>
      <c r="B112" s="143" t="s">
        <v>512</v>
      </c>
      <c r="C112" s="142">
        <v>5169</v>
      </c>
      <c r="D112" s="143" t="s">
        <v>159</v>
      </c>
      <c r="E112" s="142">
        <v>4178</v>
      </c>
      <c r="F112" s="143" t="s">
        <v>171</v>
      </c>
      <c r="G112" s="144">
        <v>7.6444229507542065</v>
      </c>
      <c r="H112" s="145">
        <v>14.258761021228679</v>
      </c>
      <c r="I112" s="146">
        <v>11.093054445873321</v>
      </c>
      <c r="J112" s="147">
        <v>0.75555414973942236</v>
      </c>
      <c r="K112" s="148">
        <v>87</v>
      </c>
      <c r="M112" s="149">
        <f t="shared" si="8"/>
        <v>0.77798165137614683</v>
      </c>
      <c r="N112" s="138">
        <f t="shared" si="9"/>
        <v>11.093054445873321</v>
      </c>
      <c r="O112" s="149"/>
      <c r="V112" s="158">
        <f t="shared" si="10"/>
        <v>382.84832553548597</v>
      </c>
      <c r="W112" s="158">
        <f t="shared" si="11"/>
        <v>108.99675589112603</v>
      </c>
      <c r="X112" s="158">
        <f t="shared" si="12"/>
        <v>59.447108295041325</v>
      </c>
      <c r="Y112" s="158">
        <f t="shared" si="13"/>
        <v>33.208240161348037</v>
      </c>
      <c r="Z112" s="158">
        <f t="shared" si="14"/>
        <v>-7.6871161610780359</v>
      </c>
      <c r="AA112" s="158">
        <f t="shared" si="15"/>
        <v>-33.004703590565107</v>
      </c>
    </row>
    <row r="113" spans="1:27" ht="19.5" thickBot="1" x14ac:dyDescent="0.35">
      <c r="A113" s="142">
        <v>264</v>
      </c>
      <c r="B113" s="143" t="s">
        <v>512</v>
      </c>
      <c r="C113" s="142">
        <v>5169</v>
      </c>
      <c r="D113" s="143" t="s">
        <v>159</v>
      </c>
      <c r="E113" s="142">
        <v>4194</v>
      </c>
      <c r="F113" s="143" t="s">
        <v>172</v>
      </c>
      <c r="G113" s="144">
        <v>6.044791431609327</v>
      </c>
      <c r="H113" s="145">
        <v>9.7604691026191812</v>
      </c>
      <c r="I113" s="146">
        <v>6.6503535241574765</v>
      </c>
      <c r="J113" s="147">
        <v>0.85345322790236067</v>
      </c>
      <c r="K113" s="148">
        <v>184</v>
      </c>
      <c r="M113" s="149">
        <f t="shared" si="8"/>
        <v>0.68135593220338986</v>
      </c>
      <c r="N113" s="138">
        <f t="shared" si="9"/>
        <v>6.6503535241574765</v>
      </c>
      <c r="O113" s="149"/>
      <c r="V113" s="158">
        <f t="shared" si="10"/>
        <v>390.45663564582128</v>
      </c>
      <c r="W113" s="158">
        <f t="shared" si="11"/>
        <v>143.20045277441895</v>
      </c>
      <c r="X113" s="158">
        <f t="shared" si="12"/>
        <v>98.462871963246215</v>
      </c>
      <c r="Y113" s="158">
        <f t="shared" si="13"/>
        <v>74.772219446525469</v>
      </c>
      <c r="Z113" s="158">
        <f t="shared" si="14"/>
        <v>37.848459197203184</v>
      </c>
      <c r="AA113" s="158">
        <f t="shared" si="15"/>
        <v>14.98961622815432</v>
      </c>
    </row>
    <row r="114" spans="1:27" ht="19.5" thickBot="1" x14ac:dyDescent="0.35">
      <c r="A114" s="142">
        <v>264</v>
      </c>
      <c r="B114" s="143" t="s">
        <v>512</v>
      </c>
      <c r="C114" s="142">
        <v>5169</v>
      </c>
      <c r="D114" s="143" t="s">
        <v>159</v>
      </c>
      <c r="E114" s="142">
        <v>4181</v>
      </c>
      <c r="F114" s="143" t="s">
        <v>173</v>
      </c>
      <c r="G114" s="144">
        <v>4.0103442189703635</v>
      </c>
      <c r="H114" s="145">
        <v>22.691319006866649</v>
      </c>
      <c r="I114" s="146">
        <v>15.067285175713376</v>
      </c>
      <c r="J114" s="147">
        <v>0.66797825126820687</v>
      </c>
      <c r="K114" s="148">
        <v>36</v>
      </c>
      <c r="M114" s="149">
        <f t="shared" si="8"/>
        <v>0.66401098901098898</v>
      </c>
      <c r="N114" s="138">
        <f t="shared" si="9"/>
        <v>15.067285175713376</v>
      </c>
      <c r="O114" s="149"/>
      <c r="V114" s="158">
        <f t="shared" si="10"/>
        <v>208.04367176105774</v>
      </c>
      <c r="W114" s="158">
        <f t="shared" si="11"/>
        <v>39.719585612342236</v>
      </c>
      <c r="X114" s="158">
        <f t="shared" si="12"/>
        <v>9.2636741803457063</v>
      </c>
      <c r="Y114" s="158">
        <f t="shared" si="13"/>
        <v>-6.864162902773014</v>
      </c>
      <c r="Z114" s="158">
        <f t="shared" si="14"/>
        <v>-32.000675684635155</v>
      </c>
      <c r="AA114" s="158">
        <f t="shared" si="15"/>
        <v>-47.562243482449631</v>
      </c>
    </row>
    <row r="115" spans="1:27" ht="19.5" thickBot="1" x14ac:dyDescent="0.35">
      <c r="A115" s="142">
        <v>264</v>
      </c>
      <c r="B115" s="143" t="s">
        <v>512</v>
      </c>
      <c r="C115" s="142">
        <v>5169</v>
      </c>
      <c r="D115" s="143" t="s">
        <v>159</v>
      </c>
      <c r="E115" s="142">
        <v>4183</v>
      </c>
      <c r="F115" s="143" t="s">
        <v>530</v>
      </c>
      <c r="G115" s="144">
        <v>2.3561526821289123</v>
      </c>
      <c r="H115" s="145">
        <v>8.4884142490837693</v>
      </c>
      <c r="I115" s="146">
        <v>5.9100584209245746</v>
      </c>
      <c r="J115" s="147">
        <v>0.86976632424895151</v>
      </c>
      <c r="K115" s="148">
        <v>205</v>
      </c>
      <c r="M115" s="149">
        <f t="shared" si="8"/>
        <v>0.69625000000000004</v>
      </c>
      <c r="N115" s="138">
        <f t="shared" si="9"/>
        <v>5.9100584209245746</v>
      </c>
      <c r="O115" s="149"/>
      <c r="V115" s="158">
        <f t="shared" si="10"/>
        <v>151.78421668747441</v>
      </c>
      <c r="W115" s="158">
        <f t="shared" si="11"/>
        <v>57.46979569356499</v>
      </c>
      <c r="X115" s="158">
        <f t="shared" si="12"/>
        <v>40.404907843749335</v>
      </c>
      <c r="Y115" s="158">
        <f t="shared" si="13"/>
        <v>31.368247368227426</v>
      </c>
      <c r="Z115" s="158">
        <f t="shared" si="14"/>
        <v>17.283895549838412</v>
      </c>
      <c r="AA115" s="158">
        <f t="shared" si="15"/>
        <v>8.5645239483693736</v>
      </c>
    </row>
    <row r="116" spans="1:27" ht="19.5" thickBot="1" x14ac:dyDescent="0.35">
      <c r="A116" s="142">
        <v>30</v>
      </c>
      <c r="B116" s="143" t="s">
        <v>531</v>
      </c>
      <c r="C116" s="142">
        <v>6</v>
      </c>
      <c r="D116" s="143" t="s">
        <v>176</v>
      </c>
      <c r="E116" s="142">
        <v>551110</v>
      </c>
      <c r="F116" s="143" t="s">
        <v>177</v>
      </c>
      <c r="G116" s="144">
        <v>5.3611493955112479</v>
      </c>
      <c r="H116" s="145">
        <v>9.5128854351085579</v>
      </c>
      <c r="I116" s="146">
        <v>6.0761224127188491</v>
      </c>
      <c r="J116" s="147">
        <v>0.86610694856753867</v>
      </c>
      <c r="K116" s="148">
        <v>202</v>
      </c>
      <c r="M116" s="149">
        <f t="shared" si="8"/>
        <v>0.63872549019607849</v>
      </c>
      <c r="N116" s="138">
        <f t="shared" si="9"/>
        <v>6.0761224127188491</v>
      </c>
      <c r="O116" s="149"/>
      <c r="V116" s="158">
        <f t="shared" si="10"/>
        <v>374.88752390242189</v>
      </c>
      <c r="W116" s="158">
        <f t="shared" si="11"/>
        <v>140.95880499620313</v>
      </c>
      <c r="X116" s="158">
        <f t="shared" si="12"/>
        <v>98.632644151262284</v>
      </c>
      <c r="Y116" s="158">
        <f t="shared" si="13"/>
        <v>76.218951887108801</v>
      </c>
      <c r="Z116" s="158">
        <f t="shared" si="14"/>
        <v>41.285435434593218</v>
      </c>
      <c r="AA116" s="158">
        <f t="shared" si="15"/>
        <v>19.658716986831806</v>
      </c>
    </row>
    <row r="117" spans="1:27" ht="19.5" thickBot="1" x14ac:dyDescent="0.35">
      <c r="A117" s="142">
        <v>30</v>
      </c>
      <c r="B117" s="143" t="s">
        <v>531</v>
      </c>
      <c r="C117" s="142">
        <v>6</v>
      </c>
      <c r="D117" s="143" t="s">
        <v>176</v>
      </c>
      <c r="E117" s="142">
        <v>451101</v>
      </c>
      <c r="F117" s="143" t="s">
        <v>178</v>
      </c>
      <c r="G117" s="144">
        <v>9.7145609440858518</v>
      </c>
      <c r="H117" s="145">
        <v>12.86728249680692</v>
      </c>
      <c r="I117" s="146">
        <v>8.6879891418440334</v>
      </c>
      <c r="J117" s="147">
        <v>0.80855201755340023</v>
      </c>
      <c r="K117" s="148">
        <v>128</v>
      </c>
      <c r="M117" s="149">
        <f t="shared" si="8"/>
        <v>0.67520000000000002</v>
      </c>
      <c r="N117" s="138">
        <f t="shared" si="9"/>
        <v>8.6879891418440334</v>
      </c>
      <c r="O117" s="149"/>
      <c r="V117" s="158">
        <f t="shared" si="10"/>
        <v>599.90780466465515</v>
      </c>
      <c r="W117" s="158">
        <f t="shared" si="11"/>
        <v>198.92049843270189</v>
      </c>
      <c r="X117" s="158">
        <f t="shared" si="12"/>
        <v>126.36740063560192</v>
      </c>
      <c r="Y117" s="158">
        <f t="shared" si="13"/>
        <v>87.947124041354513</v>
      </c>
      <c r="Z117" s="158">
        <f t="shared" si="14"/>
        <v>28.066076836032277</v>
      </c>
      <c r="AA117" s="158">
        <f t="shared" si="15"/>
        <v>-9.0052139979987977</v>
      </c>
    </row>
    <row r="118" spans="1:27" ht="19.5" thickBot="1" x14ac:dyDescent="0.35">
      <c r="A118" s="142">
        <v>30</v>
      </c>
      <c r="B118" s="143" t="s">
        <v>531</v>
      </c>
      <c r="C118" s="142">
        <v>6</v>
      </c>
      <c r="D118" s="143" t="s">
        <v>176</v>
      </c>
      <c r="E118" s="142">
        <v>551103</v>
      </c>
      <c r="F118" s="143" t="s">
        <v>179</v>
      </c>
      <c r="G118" s="144">
        <v>2.7303992303992302</v>
      </c>
      <c r="H118" s="145">
        <v>16.114859508499958</v>
      </c>
      <c r="I118" s="146">
        <v>10.474658680524973</v>
      </c>
      <c r="J118" s="147">
        <v>0.76918107994117135</v>
      </c>
      <c r="K118" s="148">
        <v>98</v>
      </c>
      <c r="M118" s="149">
        <f t="shared" si="8"/>
        <v>0.65</v>
      </c>
      <c r="N118" s="138">
        <f t="shared" si="9"/>
        <v>10.474658680524973</v>
      </c>
      <c r="O118" s="149"/>
      <c r="V118" s="158">
        <f t="shared" si="10"/>
        <v>166.62002398787999</v>
      </c>
      <c r="W118" s="158">
        <f t="shared" si="11"/>
        <v>49.548121119935111</v>
      </c>
      <c r="X118" s="158">
        <f t="shared" si="12"/>
        <v>28.365582206453304</v>
      </c>
      <c r="Y118" s="158">
        <f t="shared" si="13"/>
        <v>17.148431888484254</v>
      </c>
      <c r="Z118" s="158">
        <f t="shared" si="14"/>
        <v>-0.33438622844913124</v>
      </c>
      <c r="AA118" s="158">
        <f t="shared" si="15"/>
        <v>-11.157687844886141</v>
      </c>
    </row>
    <row r="119" spans="1:27" ht="19.5" thickBot="1" x14ac:dyDescent="0.35">
      <c r="A119" s="142">
        <v>30</v>
      </c>
      <c r="B119" s="143" t="s">
        <v>531</v>
      </c>
      <c r="C119" s="142">
        <v>6</v>
      </c>
      <c r="D119" s="143" t="s">
        <v>176</v>
      </c>
      <c r="E119" s="142">
        <v>551330</v>
      </c>
      <c r="F119" s="143" t="s">
        <v>180</v>
      </c>
      <c r="G119" s="144">
        <v>3.1380264341599156</v>
      </c>
      <c r="H119" s="145">
        <v>8.604134020696419</v>
      </c>
      <c r="I119" s="146">
        <v>5.5926871134526728</v>
      </c>
      <c r="J119" s="147">
        <v>0.87675989842474045</v>
      </c>
      <c r="K119" s="148">
        <v>211</v>
      </c>
      <c r="M119" s="149">
        <f t="shared" si="8"/>
        <v>0.65</v>
      </c>
      <c r="N119" s="138">
        <f t="shared" si="9"/>
        <v>5.5926871134526728</v>
      </c>
      <c r="O119" s="149"/>
      <c r="V119" s="158">
        <f t="shared" si="10"/>
        <v>218.27787748251524</v>
      </c>
      <c r="W119" s="158">
        <f t="shared" si="11"/>
        <v>83.728057146059598</v>
      </c>
      <c r="X119" s="158">
        <f t="shared" si="12"/>
        <v>59.383131205171559</v>
      </c>
      <c r="Y119" s="158">
        <f t="shared" si="13"/>
        <v>46.491348266679658</v>
      </c>
      <c r="Z119" s="158">
        <f t="shared" si="14"/>
        <v>26.398482438217954</v>
      </c>
      <c r="AA119" s="158">
        <f t="shared" si="15"/>
        <v>13.959346725343101</v>
      </c>
    </row>
    <row r="120" spans="1:27" ht="19.5" thickBot="1" x14ac:dyDescent="0.35">
      <c r="A120" s="142">
        <v>30</v>
      </c>
      <c r="B120" s="143" t="s">
        <v>531</v>
      </c>
      <c r="C120" s="142">
        <v>6</v>
      </c>
      <c r="D120" s="143" t="s">
        <v>176</v>
      </c>
      <c r="E120" s="142">
        <v>451115</v>
      </c>
      <c r="F120" s="143" t="s">
        <v>532</v>
      </c>
      <c r="G120" s="144">
        <v>2.9645688839237225</v>
      </c>
      <c r="H120" s="145">
        <v>14.841955684890102</v>
      </c>
      <c r="I120" s="146">
        <v>10.945942317606452</v>
      </c>
      <c r="J120" s="147">
        <v>0.75879590334779989</v>
      </c>
      <c r="K120" s="148">
        <v>90</v>
      </c>
      <c r="M120" s="149">
        <f t="shared" si="8"/>
        <v>0.73750000000000004</v>
      </c>
      <c r="N120" s="138">
        <f t="shared" si="9"/>
        <v>10.945942317606452</v>
      </c>
      <c r="O120" s="149"/>
      <c r="V120" s="158">
        <f t="shared" si="10"/>
        <v>157.29332832226561</v>
      </c>
      <c r="W120" s="158">
        <f t="shared" si="11"/>
        <v>45.26202137404411</v>
      </c>
      <c r="X120" s="158">
        <f t="shared" si="12"/>
        <v>24.991508459978373</v>
      </c>
      <c r="Y120" s="158">
        <f t="shared" si="13"/>
        <v>14.257318790453347</v>
      </c>
      <c r="Z120" s="158">
        <f t="shared" si="14"/>
        <v>-2.472766864576839</v>
      </c>
      <c r="AA120" s="158">
        <f t="shared" si="15"/>
        <v>-12.830065207561583</v>
      </c>
    </row>
    <row r="121" spans="1:27" ht="19.5" thickBot="1" x14ac:dyDescent="0.35">
      <c r="A121" s="142">
        <v>30</v>
      </c>
      <c r="B121" s="143" t="s">
        <v>531</v>
      </c>
      <c r="C121" s="142">
        <v>6</v>
      </c>
      <c r="D121" s="143" t="s">
        <v>176</v>
      </c>
      <c r="E121" s="142">
        <v>551128</v>
      </c>
      <c r="F121" s="143" t="s">
        <v>182</v>
      </c>
      <c r="G121" s="144">
        <v>3.2593973529457401</v>
      </c>
      <c r="H121" s="145">
        <v>29.453297528525709</v>
      </c>
      <c r="I121" s="146">
        <v>19.359407021353878</v>
      </c>
      <c r="J121" s="147">
        <v>0.57339732415755906</v>
      </c>
      <c r="K121" s="148">
        <v>16</v>
      </c>
      <c r="M121" s="149">
        <f t="shared" si="8"/>
        <v>0.65729166666666672</v>
      </c>
      <c r="N121" s="138">
        <f t="shared" si="9"/>
        <v>19.359407021353878</v>
      </c>
      <c r="O121" s="149"/>
      <c r="V121" s="158">
        <f t="shared" si="10"/>
        <v>146.62926161706866</v>
      </c>
      <c r="W121" s="158">
        <f t="shared" si="11"/>
        <v>8.4257546865473874</v>
      </c>
      <c r="X121" s="158">
        <f t="shared" si="12"/>
        <v>-16.580255225477277</v>
      </c>
      <c r="Y121" s="158">
        <f t="shared" si="13"/>
        <v>-29.822113209615367</v>
      </c>
      <c r="Z121" s="158">
        <f t="shared" si="14"/>
        <v>-50.460598752248622</v>
      </c>
      <c r="AA121" s="158">
        <f t="shared" si="15"/>
        <v>-63.237517921706655</v>
      </c>
    </row>
    <row r="122" spans="1:27" ht="19.5" thickBot="1" x14ac:dyDescent="0.35">
      <c r="A122" s="142">
        <v>30</v>
      </c>
      <c r="B122" s="143" t="s">
        <v>531</v>
      </c>
      <c r="C122" s="142">
        <v>6</v>
      </c>
      <c r="D122" s="143" t="s">
        <v>176</v>
      </c>
      <c r="E122" s="142">
        <v>451120</v>
      </c>
      <c r="F122" s="143" t="s">
        <v>183</v>
      </c>
      <c r="G122" s="144">
        <v>2.4762819978250414</v>
      </c>
      <c r="H122" s="145">
        <v>12.518768067299202</v>
      </c>
      <c r="I122" s="146">
        <v>8.1371992437444813</v>
      </c>
      <c r="J122" s="147">
        <v>0.82068918911537414</v>
      </c>
      <c r="K122" s="148">
        <v>150</v>
      </c>
      <c r="M122" s="149">
        <f t="shared" si="8"/>
        <v>0.65</v>
      </c>
      <c r="N122" s="138">
        <f t="shared" si="9"/>
        <v>8.1371992437444813</v>
      </c>
      <c r="O122" s="149"/>
      <c r="V122" s="158">
        <f t="shared" si="10"/>
        <v>161.23200685257956</v>
      </c>
      <c r="W122" s="158">
        <f t="shared" si="11"/>
        <v>55.05594208690605</v>
      </c>
      <c r="X122" s="158">
        <f t="shared" si="12"/>
        <v>35.844854127430708</v>
      </c>
      <c r="Y122" s="158">
        <f t="shared" si="13"/>
        <v>25.671679783537137</v>
      </c>
      <c r="Z122" s="158">
        <f t="shared" si="14"/>
        <v>9.8159809933343709</v>
      </c>
      <c r="AA122" s="158">
        <f t="shared" si="15"/>
        <v>0</v>
      </c>
    </row>
    <row r="123" spans="1:27" ht="19.5" thickBot="1" x14ac:dyDescent="0.35">
      <c r="A123" s="142">
        <v>30</v>
      </c>
      <c r="B123" s="143" t="s">
        <v>531</v>
      </c>
      <c r="C123" s="142">
        <v>6</v>
      </c>
      <c r="D123" s="143" t="s">
        <v>176</v>
      </c>
      <c r="E123" s="142">
        <v>451381</v>
      </c>
      <c r="F123" s="143" t="s">
        <v>533</v>
      </c>
      <c r="G123" s="144">
        <v>6.4918796420425462</v>
      </c>
      <c r="H123" s="145">
        <v>13.555396102863126</v>
      </c>
      <c r="I123" s="146">
        <v>9.2577193838872045</v>
      </c>
      <c r="J123" s="147">
        <v>0.79599747776321506</v>
      </c>
      <c r="K123" s="148">
        <v>120</v>
      </c>
      <c r="M123" s="149">
        <f t="shared" si="8"/>
        <v>0.68295454545454559</v>
      </c>
      <c r="N123" s="138">
        <f t="shared" si="9"/>
        <v>9.2577193838872045</v>
      </c>
      <c r="O123" s="149"/>
      <c r="V123" s="158">
        <f t="shared" si="10"/>
        <v>390.19001776816452</v>
      </c>
      <c r="W123" s="158">
        <f t="shared" si="11"/>
        <v>125.26770315240401</v>
      </c>
      <c r="X123" s="158">
        <f t="shared" si="12"/>
        <v>77.333680548125102</v>
      </c>
      <c r="Y123" s="158">
        <f t="shared" si="13"/>
        <v>51.950361811252144</v>
      </c>
      <c r="Z123" s="158">
        <f t="shared" si="14"/>
        <v>12.38844705559384</v>
      </c>
      <c r="AA123" s="158">
        <f t="shared" si="15"/>
        <v>-12.103630426441271</v>
      </c>
    </row>
    <row r="124" spans="1:27" ht="19.5" thickBot="1" x14ac:dyDescent="0.35">
      <c r="A124" s="142">
        <v>30</v>
      </c>
      <c r="B124" s="143" t="s">
        <v>531</v>
      </c>
      <c r="C124" s="142">
        <v>6</v>
      </c>
      <c r="D124" s="143" t="s">
        <v>176</v>
      </c>
      <c r="E124" s="142">
        <v>551354</v>
      </c>
      <c r="F124" s="143" t="s">
        <v>185</v>
      </c>
      <c r="G124" s="144">
        <v>2.7823128830548205</v>
      </c>
      <c r="H124" s="145">
        <v>12.57946229310199</v>
      </c>
      <c r="I124" s="146">
        <v>7.7183986498390071</v>
      </c>
      <c r="J124" s="147">
        <v>0.82991785266934615</v>
      </c>
      <c r="K124" s="148">
        <v>160</v>
      </c>
      <c r="M124" s="149">
        <f t="shared" si="8"/>
        <v>0.61357142857142855</v>
      </c>
      <c r="N124" s="138">
        <f t="shared" si="9"/>
        <v>7.7183986498390071</v>
      </c>
      <c r="O124" s="149"/>
      <c r="V124" s="158">
        <f t="shared" si="10"/>
        <v>194.07149386945878</v>
      </c>
      <c r="W124" s="158">
        <f t="shared" si="11"/>
        <v>67.690804587843871</v>
      </c>
      <c r="X124" s="158">
        <f t="shared" si="12"/>
        <v>44.823969736443679</v>
      </c>
      <c r="Y124" s="158">
        <f t="shared" si="13"/>
        <v>32.714905526908467</v>
      </c>
      <c r="Z124" s="158">
        <f t="shared" si="14"/>
        <v>13.841968895004443</v>
      </c>
      <c r="AA124" s="158">
        <f t="shared" si="15"/>
        <v>2.1580696409618678</v>
      </c>
    </row>
    <row r="125" spans="1:27" ht="19.5" thickBot="1" x14ac:dyDescent="0.35">
      <c r="A125" s="142">
        <v>30</v>
      </c>
      <c r="B125" s="143" t="s">
        <v>531</v>
      </c>
      <c r="C125" s="142">
        <v>6</v>
      </c>
      <c r="D125" s="143" t="s">
        <v>176</v>
      </c>
      <c r="E125" s="142">
        <v>451166</v>
      </c>
      <c r="F125" s="143" t="s">
        <v>186</v>
      </c>
      <c r="G125" s="144">
        <v>6.3293904736944011</v>
      </c>
      <c r="H125" s="145">
        <v>3.6338412198758112</v>
      </c>
      <c r="I125" s="146">
        <v>2.2514016253578393</v>
      </c>
      <c r="J125" s="147">
        <v>0.95038825534716687</v>
      </c>
      <c r="K125" s="148">
        <v>267</v>
      </c>
      <c r="M125" s="149">
        <f t="shared" si="8"/>
        <v>0.61956521739130432</v>
      </c>
      <c r="N125" s="138">
        <f t="shared" si="9"/>
        <v>2.2514016253578393</v>
      </c>
      <c r="O125" s="149"/>
      <c r="V125" s="158">
        <f t="shared" si="10"/>
        <v>500.68170775494451</v>
      </c>
      <c r="W125" s="158">
        <f t="shared" si="11"/>
        <v>215.96382735044384</v>
      </c>
      <c r="X125" s="158">
        <f t="shared" si="12"/>
        <v>164.44807136384034</v>
      </c>
      <c r="Y125" s="158">
        <f t="shared" si="13"/>
        <v>137.16805639463561</v>
      </c>
      <c r="Z125" s="158">
        <f t="shared" si="14"/>
        <v>94.649990182237886</v>
      </c>
      <c r="AA125" s="158">
        <f t="shared" si="15"/>
        <v>68.327811933486515</v>
      </c>
    </row>
    <row r="126" spans="1:27" ht="19.5" thickBot="1" x14ac:dyDescent="0.35">
      <c r="A126" s="142">
        <v>30</v>
      </c>
      <c r="B126" s="143" t="s">
        <v>531</v>
      </c>
      <c r="C126" s="142">
        <v>2</v>
      </c>
      <c r="D126" s="143" t="s">
        <v>187</v>
      </c>
      <c r="E126" s="142">
        <v>508815</v>
      </c>
      <c r="F126" s="143" t="s">
        <v>188</v>
      </c>
      <c r="G126" s="144">
        <v>2.9213564213564207</v>
      </c>
      <c r="H126" s="145">
        <v>15.061496665843421</v>
      </c>
      <c r="I126" s="146">
        <v>9.7899728327982238</v>
      </c>
      <c r="J126" s="147">
        <v>0.78426877423002539</v>
      </c>
      <c r="K126" s="148">
        <v>111</v>
      </c>
      <c r="M126" s="149">
        <f t="shared" si="8"/>
        <v>0.65</v>
      </c>
      <c r="N126" s="138">
        <f t="shared" si="9"/>
        <v>9.7899728327982238</v>
      </c>
      <c r="O126" s="149"/>
      <c r="V126" s="158">
        <f t="shared" si="10"/>
        <v>181.76987856784797</v>
      </c>
      <c r="W126" s="158">
        <f t="shared" si="11"/>
        <v>56.510264004567226</v>
      </c>
      <c r="X126" s="158">
        <f t="shared" si="12"/>
        <v>33.846272092115591</v>
      </c>
      <c r="Y126" s="158">
        <f t="shared" si="13"/>
        <v>21.844622756048462</v>
      </c>
      <c r="Z126" s="158">
        <f t="shared" si="14"/>
        <v>3.1391007207811481</v>
      </c>
      <c r="AA126" s="158">
        <f t="shared" si="15"/>
        <v>-8.4411551353679162</v>
      </c>
    </row>
    <row r="127" spans="1:27" ht="19.5" thickBot="1" x14ac:dyDescent="0.35">
      <c r="A127" s="142">
        <v>30</v>
      </c>
      <c r="B127" s="143" t="s">
        <v>531</v>
      </c>
      <c r="C127" s="142">
        <v>2</v>
      </c>
      <c r="D127" s="143" t="s">
        <v>187</v>
      </c>
      <c r="E127" s="142">
        <v>408801</v>
      </c>
      <c r="F127" s="143" t="s">
        <v>189</v>
      </c>
      <c r="G127" s="144">
        <v>8.5281722426518165</v>
      </c>
      <c r="H127" s="145">
        <v>11.725841968795088</v>
      </c>
      <c r="I127" s="146">
        <v>8.1523916288047857</v>
      </c>
      <c r="J127" s="147">
        <v>0.82035441067345161</v>
      </c>
      <c r="K127" s="148">
        <v>148</v>
      </c>
      <c r="M127" s="149">
        <f t="shared" si="8"/>
        <v>0.69525000000000003</v>
      </c>
      <c r="N127" s="138">
        <f t="shared" si="9"/>
        <v>8.1523916288047857</v>
      </c>
      <c r="O127" s="149"/>
      <c r="V127" s="158">
        <f t="shared" si="10"/>
        <v>518.9222427973441</v>
      </c>
      <c r="W127" s="158">
        <f t="shared" si="11"/>
        <v>177.05708016199594</v>
      </c>
      <c r="X127" s="158">
        <f t="shared" si="12"/>
        <v>115.20131517237741</v>
      </c>
      <c r="Y127" s="158">
        <f t="shared" si="13"/>
        <v>82.445779268231618</v>
      </c>
      <c r="Z127" s="158">
        <f t="shared" si="14"/>
        <v>31.393679554679235</v>
      </c>
      <c r="AA127" s="158">
        <f t="shared" si="15"/>
        <v>-0.21176698468661723</v>
      </c>
    </row>
    <row r="128" spans="1:27" ht="19.5" thickBot="1" x14ac:dyDescent="0.35">
      <c r="A128" s="142">
        <v>30</v>
      </c>
      <c r="B128" s="143" t="s">
        <v>531</v>
      </c>
      <c r="C128" s="142">
        <v>2</v>
      </c>
      <c r="D128" s="143" t="s">
        <v>187</v>
      </c>
      <c r="E128" s="142">
        <v>408822</v>
      </c>
      <c r="F128" s="143" t="s">
        <v>187</v>
      </c>
      <c r="G128" s="144">
        <v>4.154172973979426</v>
      </c>
      <c r="H128" s="145">
        <v>16.850526070642786</v>
      </c>
      <c r="I128" s="146">
        <v>11.344014872557734</v>
      </c>
      <c r="J128" s="147">
        <v>0.75002400155688553</v>
      </c>
      <c r="K128" s="148">
        <v>80</v>
      </c>
      <c r="M128" s="149">
        <f t="shared" si="8"/>
        <v>0.67321428571428577</v>
      </c>
      <c r="N128" s="138">
        <f t="shared" si="9"/>
        <v>11.344014872557734</v>
      </c>
      <c r="O128" s="149"/>
      <c r="V128" s="158">
        <f t="shared" si="10"/>
        <v>238.66691400542544</v>
      </c>
      <c r="W128" s="158">
        <f t="shared" si="11"/>
        <v>66.689611000179426</v>
      </c>
      <c r="X128" s="158">
        <f t="shared" si="12"/>
        <v>35.572700589545512</v>
      </c>
      <c r="Y128" s="158">
        <f t="shared" si="13"/>
        <v>19.094833468305143</v>
      </c>
      <c r="Z128" s="158">
        <f t="shared" si="14"/>
        <v>-6.5872288799331491</v>
      </c>
      <c r="AA128" s="158">
        <f t="shared" si="15"/>
        <v>-22.486536707078848</v>
      </c>
    </row>
    <row r="129" spans="1:27" ht="19.5" thickBot="1" x14ac:dyDescent="0.35">
      <c r="A129" s="142">
        <v>30</v>
      </c>
      <c r="B129" s="143" t="s">
        <v>531</v>
      </c>
      <c r="C129" s="142">
        <v>2</v>
      </c>
      <c r="D129" s="143" t="s">
        <v>187</v>
      </c>
      <c r="E129" s="142">
        <v>508817</v>
      </c>
      <c r="F129" s="143" t="s">
        <v>190</v>
      </c>
      <c r="G129" s="144">
        <v>3.1974210582415354</v>
      </c>
      <c r="H129" s="145">
        <v>9.069809534546863</v>
      </c>
      <c r="I129" s="146">
        <v>5.7859129789350678</v>
      </c>
      <c r="J129" s="147">
        <v>0.87250198540261947</v>
      </c>
      <c r="K129" s="148">
        <v>208</v>
      </c>
      <c r="M129" s="149">
        <f t="shared" si="8"/>
        <v>0.63793103448275867</v>
      </c>
      <c r="N129" s="138">
        <f t="shared" si="9"/>
        <v>5.7859129789350678</v>
      </c>
      <c r="O129" s="149"/>
      <c r="V129" s="158">
        <f t="shared" si="10"/>
        <v>225.5165025740134</v>
      </c>
      <c r="W129" s="158">
        <f t="shared" si="11"/>
        <v>85.826288936753315</v>
      </c>
      <c r="X129" s="158">
        <f t="shared" si="12"/>
        <v>60.551280042932383</v>
      </c>
      <c r="Y129" s="158">
        <f t="shared" si="13"/>
        <v>47.166974450105194</v>
      </c>
      <c r="Z129" s="158">
        <f t="shared" si="14"/>
        <v>26.306473015439678</v>
      </c>
      <c r="AA129" s="158">
        <f t="shared" si="15"/>
        <v>13.392107757654504</v>
      </c>
    </row>
    <row r="130" spans="1:27" ht="19.5" thickBot="1" x14ac:dyDescent="0.35">
      <c r="A130" s="142">
        <v>30</v>
      </c>
      <c r="B130" s="143" t="s">
        <v>531</v>
      </c>
      <c r="C130" s="142">
        <v>2</v>
      </c>
      <c r="D130" s="143" t="s">
        <v>187</v>
      </c>
      <c r="E130" s="142">
        <v>508802</v>
      </c>
      <c r="F130" s="143" t="s">
        <v>191</v>
      </c>
      <c r="G130" s="144">
        <v>3.6646238141786531</v>
      </c>
      <c r="H130" s="145">
        <v>10.096534290053114</v>
      </c>
      <c r="I130" s="146">
        <v>6.6582550453323233</v>
      </c>
      <c r="J130" s="147">
        <v>0.85327911047858318</v>
      </c>
      <c r="K130" s="148">
        <v>183</v>
      </c>
      <c r="M130" s="149">
        <f t="shared" si="8"/>
        <v>0.65945945945945939</v>
      </c>
      <c r="N130" s="138">
        <f t="shared" si="9"/>
        <v>6.6582550453323233</v>
      </c>
      <c r="O130" s="149"/>
      <c r="V130" s="158">
        <f t="shared" si="10"/>
        <v>244.52215476090265</v>
      </c>
      <c r="W130" s="158">
        <f t="shared" si="11"/>
        <v>89.6472050485431</v>
      </c>
      <c r="X130" s="158">
        <f t="shared" si="12"/>
        <v>61.624728530790563</v>
      </c>
      <c r="Y130" s="158">
        <f t="shared" si="13"/>
        <v>46.785509650313074</v>
      </c>
      <c r="Z130" s="158">
        <f t="shared" si="14"/>
        <v>23.657410504742938</v>
      </c>
      <c r="AA130" s="158">
        <f t="shared" si="15"/>
        <v>9.3392158525370021</v>
      </c>
    </row>
    <row r="131" spans="1:27" ht="19.5" thickBot="1" x14ac:dyDescent="0.35">
      <c r="A131" s="142">
        <v>30</v>
      </c>
      <c r="B131" s="143" t="s">
        <v>531</v>
      </c>
      <c r="C131" s="142">
        <v>2</v>
      </c>
      <c r="D131" s="143" t="s">
        <v>187</v>
      </c>
      <c r="E131" s="142">
        <v>508839</v>
      </c>
      <c r="F131" s="143" t="s">
        <v>192</v>
      </c>
      <c r="G131" s="144">
        <v>2.8205915806701234</v>
      </c>
      <c r="H131" s="145">
        <v>21.626668822966373</v>
      </c>
      <c r="I131" s="146">
        <v>14.429597067126744</v>
      </c>
      <c r="J131" s="147">
        <v>0.68203030633249151</v>
      </c>
      <c r="K131" s="148">
        <v>43</v>
      </c>
      <c r="M131" s="149">
        <f t="shared" si="8"/>
        <v>0.66721311475409839</v>
      </c>
      <c r="N131" s="138">
        <f t="shared" si="9"/>
        <v>14.429597067126744</v>
      </c>
      <c r="O131" s="149"/>
      <c r="V131" s="158">
        <f t="shared" si="10"/>
        <v>148.68429828819518</v>
      </c>
      <c r="W131" s="158">
        <f t="shared" si="11"/>
        <v>30.865249494198068</v>
      </c>
      <c r="X131" s="158">
        <f t="shared" si="12"/>
        <v>9.5475248763333624</v>
      </c>
      <c r="Y131" s="158">
        <f t="shared" si="13"/>
        <v>-1.7412126282848992</v>
      </c>
      <c r="Z131" s="158">
        <f t="shared" si="14"/>
        <v>-19.335605051366809</v>
      </c>
      <c r="AA131" s="158">
        <f t="shared" si="15"/>
        <v>-30.227980335447853</v>
      </c>
    </row>
    <row r="132" spans="1:27" ht="19.5" thickBot="1" x14ac:dyDescent="0.35">
      <c r="A132" s="142">
        <v>30</v>
      </c>
      <c r="B132" s="143" t="s">
        <v>531</v>
      </c>
      <c r="C132" s="142">
        <v>2</v>
      </c>
      <c r="D132" s="143" t="s">
        <v>187</v>
      </c>
      <c r="E132" s="142">
        <v>508819</v>
      </c>
      <c r="F132" s="143" t="s">
        <v>193</v>
      </c>
      <c r="G132" s="144">
        <v>1.9545245414810632</v>
      </c>
      <c r="H132" s="145">
        <v>7.674500719563019</v>
      </c>
      <c r="I132" s="146">
        <v>4.9884254677159623</v>
      </c>
      <c r="J132" s="147">
        <v>0.89007537005545201</v>
      </c>
      <c r="K132" s="148">
        <v>222</v>
      </c>
      <c r="M132" s="149">
        <f t="shared" si="8"/>
        <v>0.65</v>
      </c>
      <c r="N132" s="138">
        <f t="shared" si="9"/>
        <v>4.9884254677159623</v>
      </c>
      <c r="O132" s="149"/>
      <c r="V132" s="158">
        <f t="shared" si="10"/>
        <v>138.01947088620898</v>
      </c>
      <c r="W132" s="158">
        <f t="shared" si="11"/>
        <v>54.21491046673205</v>
      </c>
      <c r="X132" s="158">
        <f t="shared" si="12"/>
        <v>39.051636284580979</v>
      </c>
      <c r="Y132" s="158">
        <f t="shared" si="13"/>
        <v>31.021969656398216</v>
      </c>
      <c r="Z132" s="158">
        <f t="shared" si="14"/>
        <v>18.507097588111066</v>
      </c>
      <c r="AA132" s="158">
        <f t="shared" si="15"/>
        <v>10.75936297346108</v>
      </c>
    </row>
    <row r="133" spans="1:27" ht="19.5" thickBot="1" x14ac:dyDescent="0.35">
      <c r="A133" s="142">
        <v>30</v>
      </c>
      <c r="B133" s="143" t="s">
        <v>531</v>
      </c>
      <c r="C133" s="142">
        <v>2</v>
      </c>
      <c r="D133" s="143" t="s">
        <v>187</v>
      </c>
      <c r="E133" s="142">
        <v>408840</v>
      </c>
      <c r="F133" s="143" t="s">
        <v>194</v>
      </c>
      <c r="G133" s="144">
        <v>5.9904369278843319</v>
      </c>
      <c r="H133" s="145">
        <v>13.688483993263624</v>
      </c>
      <c r="I133" s="146">
        <v>9.9867506694755654</v>
      </c>
      <c r="J133" s="147">
        <v>0.77993259019399341</v>
      </c>
      <c r="K133" s="148">
        <v>109</v>
      </c>
      <c r="M133" s="149">
        <f t="shared" si="8"/>
        <v>0.72957317073170735</v>
      </c>
      <c r="N133" s="138">
        <f t="shared" si="9"/>
        <v>9.9867506694755654</v>
      </c>
      <c r="O133" s="149"/>
      <c r="V133" s="158">
        <f t="shared" si="10"/>
        <v>330.24216024351819</v>
      </c>
      <c r="W133" s="158">
        <f t="shared" si="11"/>
        <v>101.40343166437586</v>
      </c>
      <c r="X133" s="158">
        <f t="shared" si="12"/>
        <v>59.998234052553066</v>
      </c>
      <c r="Y133" s="158">
        <f t="shared" si="13"/>
        <v>38.072235122300768</v>
      </c>
      <c r="Z133" s="158">
        <f t="shared" si="14"/>
        <v>3.8988273972020751</v>
      </c>
      <c r="AA133" s="158">
        <f t="shared" si="15"/>
        <v>-17.257321262376806</v>
      </c>
    </row>
    <row r="134" spans="1:27" ht="19.5" thickBot="1" x14ac:dyDescent="0.35">
      <c r="A134" s="142">
        <v>30</v>
      </c>
      <c r="B134" s="143" t="s">
        <v>531</v>
      </c>
      <c r="C134" s="142">
        <v>2</v>
      </c>
      <c r="D134" s="143" t="s">
        <v>187</v>
      </c>
      <c r="E134" s="142">
        <v>408862</v>
      </c>
      <c r="F134" s="143" t="s">
        <v>195</v>
      </c>
      <c r="G134" s="144">
        <v>3.8731675345588394</v>
      </c>
      <c r="H134" s="145">
        <v>17.8148761664293</v>
      </c>
      <c r="I134" s="146">
        <v>12.212226705392839</v>
      </c>
      <c r="J134" s="147">
        <v>0.73089214019992432</v>
      </c>
      <c r="K134" s="148">
        <v>66</v>
      </c>
      <c r="M134" s="149">
        <f t="shared" ref="M134:M197" si="16">IF(ISERROR(I134/H134),$O$3,(I134/H134))</f>
        <v>0.6855072463768116</v>
      </c>
      <c r="N134" s="138">
        <f t="shared" ref="N134:N197" si="17">I134</f>
        <v>12.212226705392839</v>
      </c>
      <c r="O134" s="149"/>
      <c r="V134" s="158">
        <f t="shared" ref="V134:V197" si="18">(((($O$5-N134))/M134)*G134)+((((($O$5-N134)/$T$2))*$T$3/M134)*G134)</f>
        <v>212.95769030399663</v>
      </c>
      <c r="W134" s="158">
        <f t="shared" ref="W134:W197" si="19">(((($P$5-N134))/M134)*G134)+((((($P$5-N134)/$T$2))*$T$3/M134)*G134)</f>
        <v>55.489036754992988</v>
      </c>
      <c r="X134" s="158">
        <f t="shared" ref="X134:X197" si="20">(((($Q$5-N134))/M134)*G134)+((((($Q$5-N134)/$T$2))*$T$3/M134)*G134)</f>
        <v>26.997265461091338</v>
      </c>
      <c r="Y134" s="158">
        <f t="shared" ref="Y134:Y197" si="21">(((($R$5-N134))/M134)*G134)+((((($R$5-N134)/$T$2))*$T$3/M134)*G134)</f>
        <v>11.909532931282058</v>
      </c>
      <c r="Z134" s="158">
        <f t="shared" ref="Z134:Z197" si="22">(((($S$5-N134))/M134)*G134)+((((($S$5-N134)/$T$2))*$T$3/M134)*G134)</f>
        <v>-11.605894440057074</v>
      </c>
      <c r="AA134" s="158">
        <f t="shared" ref="AA134:AA197" si="23">(((($T$5-N134))/M134)*G134)+((((($T$5-N134)/$T$2))*$T$3/M134)*G134)</f>
        <v>-26.163877104928822</v>
      </c>
    </row>
    <row r="135" spans="1:27" ht="19.5" thickBot="1" x14ac:dyDescent="0.35">
      <c r="A135" s="142">
        <v>30</v>
      </c>
      <c r="B135" s="143" t="s">
        <v>531</v>
      </c>
      <c r="C135" s="142">
        <v>2</v>
      </c>
      <c r="D135" s="143" t="s">
        <v>187</v>
      </c>
      <c r="E135" s="142">
        <v>508860</v>
      </c>
      <c r="F135" s="143" t="s">
        <v>196</v>
      </c>
      <c r="G135" s="144">
        <v>2.780643064148463</v>
      </c>
      <c r="H135" s="145">
        <v>23.016258657994708</v>
      </c>
      <c r="I135" s="146">
        <v>16.093399608519739</v>
      </c>
      <c r="J135" s="147">
        <v>0.645366858146873</v>
      </c>
      <c r="K135" s="148">
        <v>33</v>
      </c>
      <c r="M135" s="149">
        <f t="shared" si="16"/>
        <v>0.69921875000000011</v>
      </c>
      <c r="N135" s="138">
        <f t="shared" si="17"/>
        <v>16.093399608519739</v>
      </c>
      <c r="O135" s="149"/>
      <c r="V135" s="158">
        <f t="shared" si="18"/>
        <v>132.35021198619231</v>
      </c>
      <c r="W135" s="158">
        <f t="shared" si="19"/>
        <v>21.516453736213826</v>
      </c>
      <c r="X135" s="158">
        <f t="shared" si="20"/>
        <v>1.4626206682930372</v>
      </c>
      <c r="Y135" s="158">
        <f t="shared" si="21"/>
        <v>-9.1568268348179647</v>
      </c>
      <c r="Z135" s="158">
        <f t="shared" si="22"/>
        <v>-25.708077726214306</v>
      </c>
      <c r="AA135" s="158">
        <f t="shared" si="23"/>
        <v>-35.95466264912185</v>
      </c>
    </row>
    <row r="136" spans="1:27" ht="19.5" thickBot="1" x14ac:dyDescent="0.35">
      <c r="A136" s="142">
        <v>30</v>
      </c>
      <c r="B136" s="143" t="s">
        <v>531</v>
      </c>
      <c r="C136" s="142">
        <v>2</v>
      </c>
      <c r="D136" s="143" t="s">
        <v>187</v>
      </c>
      <c r="E136" s="142">
        <v>408806</v>
      </c>
      <c r="F136" s="143" t="s">
        <v>534</v>
      </c>
      <c r="G136" s="144">
        <v>8.6991771745688098</v>
      </c>
      <c r="H136" s="145">
        <v>10.115899266571942</v>
      </c>
      <c r="I136" s="146">
        <v>7.1386061869786088</v>
      </c>
      <c r="J136" s="147">
        <v>0.84269412292476797</v>
      </c>
      <c r="K136" s="148">
        <v>173</v>
      </c>
      <c r="M136" s="149">
        <f t="shared" si="16"/>
        <v>0.70568181818181819</v>
      </c>
      <c r="N136" s="138">
        <f t="shared" si="17"/>
        <v>7.1386061869786088</v>
      </c>
      <c r="O136" s="149"/>
      <c r="V136" s="158">
        <f t="shared" si="18"/>
        <v>535.7041571445842</v>
      </c>
      <c r="W136" s="158">
        <f t="shared" si="19"/>
        <v>192.13898727763066</v>
      </c>
      <c r="X136" s="158">
        <f t="shared" si="20"/>
        <v>129.97562953130003</v>
      </c>
      <c r="Y136" s="158">
        <f t="shared" si="21"/>
        <v>97.057208800040272</v>
      </c>
      <c r="Z136" s="158">
        <f t="shared" si="22"/>
        <v>45.751240169185387</v>
      </c>
      <c r="AA136" s="158">
        <f t="shared" si="23"/>
        <v>13.988627900322987</v>
      </c>
    </row>
    <row r="137" spans="1:27" ht="19.5" thickBot="1" x14ac:dyDescent="0.35">
      <c r="A137" s="142">
        <v>30</v>
      </c>
      <c r="B137" s="143" t="s">
        <v>531</v>
      </c>
      <c r="C137" s="142">
        <v>2</v>
      </c>
      <c r="D137" s="143" t="s">
        <v>187</v>
      </c>
      <c r="E137" s="142">
        <v>508833</v>
      </c>
      <c r="F137" s="143" t="s">
        <v>198</v>
      </c>
      <c r="G137" s="144">
        <v>2.9260884420239259</v>
      </c>
      <c r="H137" s="145">
        <v>38.276355010831963</v>
      </c>
      <c r="I137" s="146">
        <v>25.631487730467835</v>
      </c>
      <c r="J137" s="147">
        <v>0.43518614802719391</v>
      </c>
      <c r="K137" s="148">
        <v>5</v>
      </c>
      <c r="M137" s="149">
        <f t="shared" si="16"/>
        <v>0.66964285714285721</v>
      </c>
      <c r="N137" s="138">
        <f t="shared" si="17"/>
        <v>25.631487730467835</v>
      </c>
      <c r="O137" s="149"/>
      <c r="V137" s="158">
        <f t="shared" si="18"/>
        <v>98.062977275211153</v>
      </c>
      <c r="W137" s="158">
        <f t="shared" si="19"/>
        <v>-23.719299496174372</v>
      </c>
      <c r="X137" s="158">
        <f t="shared" si="20"/>
        <v>-45.754115310111345</v>
      </c>
      <c r="Y137" s="158">
        <f t="shared" si="21"/>
        <v>-57.422586319333966</v>
      </c>
      <c r="Z137" s="158">
        <f t="shared" si="22"/>
        <v>-75.608823516330418</v>
      </c>
      <c r="AA137" s="158">
        <f t="shared" si="23"/>
        <v>-86.867599368977963</v>
      </c>
    </row>
    <row r="138" spans="1:27" ht="19.5" thickBot="1" x14ac:dyDescent="0.35">
      <c r="A138" s="142">
        <v>30</v>
      </c>
      <c r="B138" s="143" t="s">
        <v>531</v>
      </c>
      <c r="C138" s="142">
        <v>2</v>
      </c>
      <c r="D138" s="143" t="s">
        <v>187</v>
      </c>
      <c r="E138" s="142">
        <v>508820</v>
      </c>
      <c r="F138" s="143" t="s">
        <v>199</v>
      </c>
      <c r="G138" s="144">
        <v>2.846087604152121</v>
      </c>
      <c r="H138" s="145">
        <v>33.73051478104427</v>
      </c>
      <c r="I138" s="146">
        <v>23.400544629349461</v>
      </c>
      <c r="J138" s="147">
        <v>0.48434706992627663</v>
      </c>
      <c r="K138" s="148">
        <v>7</v>
      </c>
      <c r="M138" s="149">
        <f t="shared" si="16"/>
        <v>0.69374999999999998</v>
      </c>
      <c r="N138" s="138">
        <f t="shared" si="17"/>
        <v>23.400544629349461</v>
      </c>
      <c r="O138" s="149"/>
      <c r="V138" s="158">
        <f t="shared" si="18"/>
        <v>102.46787925014087</v>
      </c>
      <c r="W138" s="158">
        <f t="shared" si="19"/>
        <v>-11.868687903546039</v>
      </c>
      <c r="X138" s="158">
        <f t="shared" si="20"/>
        <v>-32.55630571478811</v>
      </c>
      <c r="Y138" s="158">
        <f t="shared" si="21"/>
        <v>-43.511372038858553</v>
      </c>
      <c r="Z138" s="158">
        <f t="shared" si="22"/>
        <v>-60.585711472097309</v>
      </c>
      <c r="AA138" s="158">
        <f t="shared" si="23"/>
        <v>-71.156131203706479</v>
      </c>
    </row>
    <row r="139" spans="1:27" ht="19.5" thickBot="1" x14ac:dyDescent="0.35">
      <c r="A139" s="142">
        <v>30</v>
      </c>
      <c r="B139" s="143" t="s">
        <v>531</v>
      </c>
      <c r="C139" s="142">
        <v>2</v>
      </c>
      <c r="D139" s="143" t="s">
        <v>187</v>
      </c>
      <c r="E139" s="142">
        <v>408814</v>
      </c>
      <c r="F139" s="143" t="s">
        <v>200</v>
      </c>
      <c r="G139" s="144">
        <v>0.62457229747552401</v>
      </c>
      <c r="H139" s="145">
        <v>36.825200369860035</v>
      </c>
      <c r="I139" s="146">
        <v>23.936380240409022</v>
      </c>
      <c r="J139" s="147">
        <v>0.47253943009322086</v>
      </c>
      <c r="K139" s="148">
        <v>6</v>
      </c>
      <c r="M139" s="149">
        <f t="shared" si="16"/>
        <v>0.65</v>
      </c>
      <c r="N139" s="138">
        <f t="shared" si="17"/>
        <v>23.936380240409022</v>
      </c>
      <c r="O139" s="149"/>
      <c r="V139" s="158">
        <f t="shared" si="18"/>
        <v>23.414949063622355</v>
      </c>
      <c r="W139" s="158">
        <f t="shared" si="19"/>
        <v>-3.3649688802353945</v>
      </c>
      <c r="X139" s="158">
        <f t="shared" si="20"/>
        <v>-8.2104240240326511</v>
      </c>
      <c r="Y139" s="158">
        <f t="shared" si="21"/>
        <v>-10.776320346893044</v>
      </c>
      <c r="Z139" s="158">
        <f t="shared" si="22"/>
        <v>-14.775473201929271</v>
      </c>
      <c r="AA139" s="158">
        <f t="shared" si="23"/>
        <v>-17.251277575731489</v>
      </c>
    </row>
    <row r="140" spans="1:27" ht="19.5" thickBot="1" x14ac:dyDescent="0.35">
      <c r="A140" s="142">
        <v>30</v>
      </c>
      <c r="B140" s="143" t="s">
        <v>531</v>
      </c>
      <c r="C140" s="142">
        <v>11</v>
      </c>
      <c r="D140" s="143" t="s">
        <v>201</v>
      </c>
      <c r="E140" s="142">
        <v>551367</v>
      </c>
      <c r="F140" s="143" t="s">
        <v>202</v>
      </c>
      <c r="G140" s="144">
        <v>2.7066750453847233</v>
      </c>
      <c r="H140" s="145">
        <v>15.147736360118662</v>
      </c>
      <c r="I140" s="146">
        <v>9.846028634077129</v>
      </c>
      <c r="J140" s="147">
        <v>0.7830335321177182</v>
      </c>
      <c r="K140" s="148">
        <v>110</v>
      </c>
      <c r="M140" s="149">
        <f t="shared" si="16"/>
        <v>0.64999999999999991</v>
      </c>
      <c r="N140" s="138">
        <f t="shared" si="17"/>
        <v>9.846028634077129</v>
      </c>
      <c r="O140" s="149"/>
      <c r="V140" s="158">
        <f t="shared" si="18"/>
        <v>168.14692365192582</v>
      </c>
      <c r="W140" s="158">
        <f t="shared" si="19"/>
        <v>52.092247661543936</v>
      </c>
      <c r="X140" s="158">
        <f t="shared" si="20"/>
        <v>31.093761858927881</v>
      </c>
      <c r="Y140" s="158">
        <f t="shared" si="21"/>
        <v>19.974076316994569</v>
      </c>
      <c r="Z140" s="158">
        <f t="shared" si="22"/>
        <v>2.643164780960876</v>
      </c>
      <c r="AA140" s="158">
        <f t="shared" si="23"/>
        <v>-8.0860941741842112</v>
      </c>
    </row>
    <row r="141" spans="1:27" ht="19.5" thickBot="1" x14ac:dyDescent="0.35">
      <c r="A141" s="142">
        <v>30</v>
      </c>
      <c r="B141" s="143" t="s">
        <v>531</v>
      </c>
      <c r="C141" s="142">
        <v>11</v>
      </c>
      <c r="D141" s="143" t="s">
        <v>201</v>
      </c>
      <c r="E141" s="142">
        <v>551340</v>
      </c>
      <c r="F141" s="143" t="s">
        <v>203</v>
      </c>
      <c r="G141" s="144">
        <v>2.9894179894179898</v>
      </c>
      <c r="H141" s="145">
        <v>11.038938053097343</v>
      </c>
      <c r="I141" s="146">
        <v>7.1753097345132737</v>
      </c>
      <c r="J141" s="147">
        <v>0.84188532585913833</v>
      </c>
      <c r="K141" s="148">
        <v>171</v>
      </c>
      <c r="M141" s="149">
        <f t="shared" si="16"/>
        <v>0.65</v>
      </c>
      <c r="N141" s="138">
        <f t="shared" si="17"/>
        <v>7.1753097345132737</v>
      </c>
      <c r="O141" s="149"/>
      <c r="V141" s="158">
        <f t="shared" si="18"/>
        <v>199.66963781990214</v>
      </c>
      <c r="W141" s="158">
        <f t="shared" si="19"/>
        <v>71.491733067981485</v>
      </c>
      <c r="X141" s="158">
        <f t="shared" si="20"/>
        <v>48.299716975796251</v>
      </c>
      <c r="Y141" s="158">
        <f t="shared" si="21"/>
        <v>36.018454009852853</v>
      </c>
      <c r="Z141" s="158">
        <f t="shared" si="22"/>
        <v>16.877131963390948</v>
      </c>
      <c r="AA141" s="158">
        <f t="shared" si="23"/>
        <v>5.0270800746996738</v>
      </c>
    </row>
    <row r="142" spans="1:27" ht="19.5" thickBot="1" x14ac:dyDescent="0.35">
      <c r="A142" s="142">
        <v>30</v>
      </c>
      <c r="B142" s="143" t="s">
        <v>531</v>
      </c>
      <c r="C142" s="142">
        <v>11</v>
      </c>
      <c r="D142" s="143" t="s">
        <v>201</v>
      </c>
      <c r="E142" s="142">
        <v>551369</v>
      </c>
      <c r="F142" s="143" t="s">
        <v>204</v>
      </c>
      <c r="G142" s="144">
        <v>2.9247757073844021</v>
      </c>
      <c r="H142" s="145">
        <v>9.5733836715431835</v>
      </c>
      <c r="I142" s="146">
        <v>6.3423666823973592</v>
      </c>
      <c r="J142" s="147">
        <v>0.86024000658180066</v>
      </c>
      <c r="K142" s="148">
        <v>192</v>
      </c>
      <c r="M142" s="149">
        <f t="shared" si="16"/>
        <v>0.66249999999999998</v>
      </c>
      <c r="N142" s="138">
        <f t="shared" si="17"/>
        <v>6.3423666823973592</v>
      </c>
      <c r="O142" s="149"/>
      <c r="V142" s="158">
        <f t="shared" si="18"/>
        <v>195.84483561609434</v>
      </c>
      <c r="W142" s="158">
        <f t="shared" si="19"/>
        <v>72.804766775643728</v>
      </c>
      <c r="X142" s="158">
        <f t="shared" si="20"/>
        <v>50.542370912221322</v>
      </c>
      <c r="Y142" s="158">
        <f t="shared" si="21"/>
        <v>38.753385566408738</v>
      </c>
      <c r="Z142" s="158">
        <f t="shared" si="22"/>
        <v>20.379317220915539</v>
      </c>
      <c r="AA142" s="158">
        <f t="shared" si="23"/>
        <v>9.0042584463989499</v>
      </c>
    </row>
    <row r="143" spans="1:27" ht="19.5" thickBot="1" x14ac:dyDescent="0.35">
      <c r="A143" s="142">
        <v>30</v>
      </c>
      <c r="B143" s="143" t="s">
        <v>531</v>
      </c>
      <c r="C143" s="142">
        <v>11</v>
      </c>
      <c r="D143" s="143" t="s">
        <v>201</v>
      </c>
      <c r="E143" s="142">
        <v>551365</v>
      </c>
      <c r="F143" s="143" t="s">
        <v>205</v>
      </c>
      <c r="G143" s="144">
        <v>2.668153180775902</v>
      </c>
      <c r="H143" s="145">
        <v>7.4958215083378299</v>
      </c>
      <c r="I143" s="146">
        <v>4.8722839804195894</v>
      </c>
      <c r="J143" s="147">
        <v>0.89263465656677454</v>
      </c>
      <c r="K143" s="148">
        <v>225</v>
      </c>
      <c r="M143" s="149">
        <f t="shared" si="16"/>
        <v>0.65</v>
      </c>
      <c r="N143" s="138">
        <f t="shared" si="17"/>
        <v>4.8722839804195894</v>
      </c>
      <c r="O143" s="149"/>
      <c r="V143" s="158">
        <f t="shared" si="18"/>
        <v>188.95437425975217</v>
      </c>
      <c r="W143" s="158">
        <f t="shared" si="19"/>
        <v>74.551408371528737</v>
      </c>
      <c r="X143" s="158">
        <f t="shared" si="20"/>
        <v>53.851776629158259</v>
      </c>
      <c r="Y143" s="158">
        <f t="shared" si="21"/>
        <v>42.890348363682797</v>
      </c>
      <c r="Z143" s="158">
        <f t="shared" si="22"/>
        <v>25.806093340360874</v>
      </c>
      <c r="AA143" s="158">
        <f t="shared" si="23"/>
        <v>15.229535043363814</v>
      </c>
    </row>
    <row r="144" spans="1:27" ht="19.5" thickBot="1" x14ac:dyDescent="0.35">
      <c r="A144" s="142">
        <v>30</v>
      </c>
      <c r="B144" s="143" t="s">
        <v>531</v>
      </c>
      <c r="C144" s="142">
        <v>11</v>
      </c>
      <c r="D144" s="143" t="s">
        <v>201</v>
      </c>
      <c r="E144" s="142">
        <v>451370</v>
      </c>
      <c r="F144" s="143" t="s">
        <v>535</v>
      </c>
      <c r="G144" s="144">
        <v>10.628939992255416</v>
      </c>
      <c r="H144" s="145">
        <v>19.004717323381598</v>
      </c>
      <c r="I144" s="146">
        <v>13.317414540221117</v>
      </c>
      <c r="J144" s="147">
        <v>0.70653829056361006</v>
      </c>
      <c r="K144" s="148">
        <v>57</v>
      </c>
      <c r="M144" s="149">
        <f t="shared" si="16"/>
        <v>0.70074257425742581</v>
      </c>
      <c r="N144" s="138">
        <f t="shared" si="17"/>
        <v>13.317414540221117</v>
      </c>
      <c r="O144" s="149"/>
      <c r="V144" s="158">
        <f t="shared" si="18"/>
        <v>552.65354165854694</v>
      </c>
      <c r="W144" s="158">
        <f t="shared" si="19"/>
        <v>129.91549915827261</v>
      </c>
      <c r="X144" s="158">
        <f t="shared" si="20"/>
        <v>53.426906967438455</v>
      </c>
      <c r="Y144" s="158">
        <f t="shared" si="21"/>
        <v>12.922601052138123</v>
      </c>
      <c r="Z144" s="158">
        <f t="shared" si="22"/>
        <v>-50.206571081309477</v>
      </c>
      <c r="AA144" s="158">
        <f t="shared" si="23"/>
        <v>-89.288718262974697</v>
      </c>
    </row>
    <row r="145" spans="1:27" ht="19.5" thickBot="1" x14ac:dyDescent="0.35">
      <c r="A145" s="142">
        <v>30</v>
      </c>
      <c r="B145" s="143" t="s">
        <v>531</v>
      </c>
      <c r="C145" s="142">
        <v>11</v>
      </c>
      <c r="D145" s="143" t="s">
        <v>201</v>
      </c>
      <c r="E145" s="142">
        <v>551314</v>
      </c>
      <c r="F145" s="143" t="s">
        <v>207</v>
      </c>
      <c r="G145" s="144">
        <v>2.3655582742539263</v>
      </c>
      <c r="H145" s="145">
        <v>11.836529374373972</v>
      </c>
      <c r="I145" s="146">
        <v>7.6937440933430814</v>
      </c>
      <c r="J145" s="147">
        <v>0.83046113892606199</v>
      </c>
      <c r="K145" s="148">
        <v>162</v>
      </c>
      <c r="M145" s="149">
        <f t="shared" si="16"/>
        <v>0.64999999999999991</v>
      </c>
      <c r="N145" s="138">
        <f t="shared" si="17"/>
        <v>7.6937440933430814</v>
      </c>
      <c r="O145" s="149"/>
      <c r="V145" s="158">
        <f t="shared" si="18"/>
        <v>155.85667701141435</v>
      </c>
      <c r="W145" s="158">
        <f t="shared" si="19"/>
        <v>54.428136661501625</v>
      </c>
      <c r="X145" s="158">
        <f t="shared" si="20"/>
        <v>36.076047473003733</v>
      </c>
      <c r="Y145" s="158">
        <f t="shared" si="21"/>
        <v>26.357753366855047</v>
      </c>
      <c r="Z145" s="158">
        <f t="shared" si="22"/>
        <v>11.211021492138984</v>
      </c>
      <c r="AA145" s="158">
        <f t="shared" si="23"/>
        <v>1.8339493012107537</v>
      </c>
    </row>
    <row r="146" spans="1:27" ht="19.5" thickBot="1" x14ac:dyDescent="0.35">
      <c r="A146" s="142">
        <v>30</v>
      </c>
      <c r="B146" s="143" t="s">
        <v>531</v>
      </c>
      <c r="C146" s="142">
        <v>11</v>
      </c>
      <c r="D146" s="143" t="s">
        <v>201</v>
      </c>
      <c r="E146" s="142">
        <v>451361</v>
      </c>
      <c r="F146" s="143" t="s">
        <v>208</v>
      </c>
      <c r="G146" s="144">
        <v>1.8899021605893966</v>
      </c>
      <c r="H146" s="145">
        <v>23.810756418187289</v>
      </c>
      <c r="I146" s="146">
        <v>16.773355076811935</v>
      </c>
      <c r="J146" s="147">
        <v>0.63038340220180222</v>
      </c>
      <c r="K146" s="148">
        <v>27</v>
      </c>
      <c r="M146" s="149">
        <f t="shared" si="16"/>
        <v>0.70444444444444443</v>
      </c>
      <c r="N146" s="138">
        <f t="shared" si="17"/>
        <v>16.773355076811935</v>
      </c>
      <c r="O146" s="149"/>
      <c r="V146" s="158">
        <f t="shared" si="18"/>
        <v>87.21338564703548</v>
      </c>
      <c r="W146" s="158">
        <f t="shared" si="19"/>
        <v>12.442512152824934</v>
      </c>
      <c r="X146" s="158">
        <f t="shared" si="20"/>
        <v>-1.0862415326146992</v>
      </c>
      <c r="Y146" s="158">
        <f t="shared" si="21"/>
        <v>-8.250352705698349</v>
      </c>
      <c r="Z146" s="158">
        <f t="shared" si="22"/>
        <v>-19.41618797206473</v>
      </c>
      <c r="AA146" s="158">
        <f t="shared" si="23"/>
        <v>-26.328757906672664</v>
      </c>
    </row>
    <row r="147" spans="1:27" ht="19.5" thickBot="1" x14ac:dyDescent="0.35">
      <c r="A147" s="142">
        <v>30</v>
      </c>
      <c r="B147" s="143" t="s">
        <v>531</v>
      </c>
      <c r="C147" s="142">
        <v>11</v>
      </c>
      <c r="D147" s="143" t="s">
        <v>201</v>
      </c>
      <c r="E147" s="142">
        <v>451350</v>
      </c>
      <c r="F147" s="143" t="s">
        <v>209</v>
      </c>
      <c r="G147" s="144">
        <v>8.0221390946569269</v>
      </c>
      <c r="H147" s="145">
        <v>16.080499038706431</v>
      </c>
      <c r="I147" s="146">
        <v>11.16285805361365</v>
      </c>
      <c r="J147" s="147">
        <v>0.75401596182836539</v>
      </c>
      <c r="K147" s="148">
        <v>84</v>
      </c>
      <c r="M147" s="149">
        <f t="shared" si="16"/>
        <v>0.69418604651162785</v>
      </c>
      <c r="N147" s="138">
        <f t="shared" si="17"/>
        <v>11.16285805361365</v>
      </c>
      <c r="O147" s="149"/>
      <c r="V147" s="158">
        <f t="shared" si="18"/>
        <v>449.34576298138893</v>
      </c>
      <c r="W147" s="158">
        <f t="shared" si="19"/>
        <v>127.27285899076833</v>
      </c>
      <c r="X147" s="158">
        <f t="shared" si="20"/>
        <v>68.998229001582359</v>
      </c>
      <c r="Y147" s="158">
        <f t="shared" si="21"/>
        <v>38.139072458421744</v>
      </c>
      <c r="Z147" s="158">
        <f t="shared" si="22"/>
        <v>-9.957369667507896</v>
      </c>
      <c r="AA147" s="158">
        <f t="shared" si="23"/>
        <v>-39.73302118574</v>
      </c>
    </row>
    <row r="148" spans="1:27" ht="19.5" thickBot="1" x14ac:dyDescent="0.35">
      <c r="A148" s="142">
        <v>30</v>
      </c>
      <c r="B148" s="143" t="s">
        <v>531</v>
      </c>
      <c r="C148" s="142">
        <v>11</v>
      </c>
      <c r="D148" s="143" t="s">
        <v>201</v>
      </c>
      <c r="E148" s="142">
        <v>551310</v>
      </c>
      <c r="F148" s="143" t="s">
        <v>210</v>
      </c>
      <c r="G148" s="144">
        <v>3.6958525562848132</v>
      </c>
      <c r="H148" s="145">
        <v>32.198254174842553</v>
      </c>
      <c r="I148" s="146">
        <v>21.963809097839025</v>
      </c>
      <c r="J148" s="147">
        <v>0.51600688375963444</v>
      </c>
      <c r="K148" s="148">
        <v>9</v>
      </c>
      <c r="M148" s="149">
        <f t="shared" si="16"/>
        <v>0.68214285714285705</v>
      </c>
      <c r="N148" s="138">
        <f t="shared" si="17"/>
        <v>21.963809097839025</v>
      </c>
      <c r="O148" s="149"/>
      <c r="V148" s="158">
        <f t="shared" si="18"/>
        <v>144.17189265282906</v>
      </c>
      <c r="W148" s="158">
        <f t="shared" si="19"/>
        <v>-6.828884415657817</v>
      </c>
      <c r="X148" s="158">
        <f t="shared" si="20"/>
        <v>-34.15038306616799</v>
      </c>
      <c r="Y148" s="158">
        <f t="shared" si="21"/>
        <v>-48.618401207275063</v>
      </c>
      <c r="Z148" s="158">
        <f t="shared" si="22"/>
        <v>-71.167954570063955</v>
      </c>
      <c r="AA148" s="158">
        <f t="shared" si="23"/>
        <v>-85.127981822479015</v>
      </c>
    </row>
    <row r="149" spans="1:27" ht="19.5" thickBot="1" x14ac:dyDescent="0.35">
      <c r="A149" s="142">
        <v>30</v>
      </c>
      <c r="B149" s="143" t="s">
        <v>531</v>
      </c>
      <c r="C149" s="142">
        <v>11</v>
      </c>
      <c r="D149" s="143" t="s">
        <v>201</v>
      </c>
      <c r="E149" s="142">
        <v>551309</v>
      </c>
      <c r="F149" s="143" t="s">
        <v>211</v>
      </c>
      <c r="G149" s="144">
        <v>2.8061909416748136</v>
      </c>
      <c r="H149" s="145">
        <v>20.668586423910259</v>
      </c>
      <c r="I149" s="146">
        <v>13.764209493509203</v>
      </c>
      <c r="J149" s="147">
        <v>0.69669274506651113</v>
      </c>
      <c r="K149" s="148">
        <v>53</v>
      </c>
      <c r="M149" s="149">
        <f t="shared" si="16"/>
        <v>0.66594827586206895</v>
      </c>
      <c r="N149" s="138">
        <f t="shared" si="17"/>
        <v>13.764209493509203</v>
      </c>
      <c r="O149" s="149"/>
      <c r="V149" s="158">
        <f t="shared" si="18"/>
        <v>151.39230837179301</v>
      </c>
      <c r="W149" s="158">
        <f t="shared" si="19"/>
        <v>33.952157450641209</v>
      </c>
      <c r="X149" s="158">
        <f t="shared" si="20"/>
        <v>12.702989153628597</v>
      </c>
      <c r="Y149" s="158">
        <f t="shared" si="21"/>
        <v>1.4505554442912438</v>
      </c>
      <c r="Z149" s="158">
        <f t="shared" si="22"/>
        <v>-16.087254635516388</v>
      </c>
      <c r="AA149" s="158">
        <f t="shared" si="23"/>
        <v>-26.944600797671765</v>
      </c>
    </row>
    <row r="150" spans="1:27" ht="19.5" thickBot="1" x14ac:dyDescent="0.35">
      <c r="A150" s="142">
        <v>30</v>
      </c>
      <c r="B150" s="143" t="s">
        <v>531</v>
      </c>
      <c r="C150" s="142">
        <v>11</v>
      </c>
      <c r="D150" s="143" t="s">
        <v>201</v>
      </c>
      <c r="E150" s="142">
        <v>551305</v>
      </c>
      <c r="F150" s="143" t="s">
        <v>212</v>
      </c>
      <c r="G150" s="144">
        <v>3.7250110427726142</v>
      </c>
      <c r="H150" s="145">
        <v>10.201312040061953</v>
      </c>
      <c r="I150" s="146">
        <v>6.7248122790408402</v>
      </c>
      <c r="J150" s="147">
        <v>0.85181245946156581</v>
      </c>
      <c r="K150" s="148">
        <v>180</v>
      </c>
      <c r="M150" s="149">
        <f t="shared" si="16"/>
        <v>0.65921052631578947</v>
      </c>
      <c r="N150" s="138">
        <f t="shared" si="17"/>
        <v>6.7248122790408402</v>
      </c>
      <c r="O150" s="149"/>
      <c r="V150" s="158">
        <f t="shared" si="18"/>
        <v>248.21797173924105</v>
      </c>
      <c r="W150" s="158">
        <f t="shared" si="19"/>
        <v>90.731478693304865</v>
      </c>
      <c r="X150" s="158">
        <f t="shared" si="20"/>
        <v>62.236479589581108</v>
      </c>
      <c r="Y150" s="158">
        <f t="shared" si="21"/>
        <v>47.147037782705446</v>
      </c>
      <c r="Z150" s="158">
        <f t="shared" si="22"/>
        <v>23.628946367539157</v>
      </c>
      <c r="AA150" s="158">
        <f t="shared" si="23"/>
        <v>9.0693144405365622</v>
      </c>
    </row>
    <row r="151" spans="1:27" ht="19.5" thickBot="1" x14ac:dyDescent="0.35">
      <c r="A151" s="142">
        <v>30</v>
      </c>
      <c r="B151" s="143" t="s">
        <v>531</v>
      </c>
      <c r="C151" s="142">
        <v>11</v>
      </c>
      <c r="D151" s="143" t="s">
        <v>201</v>
      </c>
      <c r="E151" s="142">
        <v>451301</v>
      </c>
      <c r="F151" s="143" t="s">
        <v>213</v>
      </c>
      <c r="G151" s="144">
        <v>7.9314378250547959</v>
      </c>
      <c r="H151" s="145">
        <v>9.2038797517139539</v>
      </c>
      <c r="I151" s="146">
        <v>6.2000107779525164</v>
      </c>
      <c r="J151" s="147">
        <v>0.86337695234109779</v>
      </c>
      <c r="K151" s="148">
        <v>197</v>
      </c>
      <c r="M151" s="149">
        <f t="shared" si="16"/>
        <v>0.67363013698630136</v>
      </c>
      <c r="N151" s="138">
        <f t="shared" si="17"/>
        <v>6.2000107779525164</v>
      </c>
      <c r="O151" s="149"/>
      <c r="V151" s="158">
        <f t="shared" si="18"/>
        <v>524.22372260497411</v>
      </c>
      <c r="W151" s="158">
        <f t="shared" si="19"/>
        <v>196.07531825539172</v>
      </c>
      <c r="X151" s="158">
        <f t="shared" si="20"/>
        <v>136.70141064604314</v>
      </c>
      <c r="Y151" s="158">
        <f t="shared" si="21"/>
        <v>105.26013491703296</v>
      </c>
      <c r="Z151" s="158">
        <f t="shared" si="22"/>
        <v>56.256413886916512</v>
      </c>
      <c r="AA151" s="158">
        <f t="shared" si="23"/>
        <v>25.919082142729692</v>
      </c>
    </row>
    <row r="152" spans="1:27" ht="19.5" thickBot="1" x14ac:dyDescent="0.35">
      <c r="A152" s="142">
        <v>30</v>
      </c>
      <c r="B152" s="143" t="s">
        <v>531</v>
      </c>
      <c r="C152" s="142">
        <v>11</v>
      </c>
      <c r="D152" s="143" t="s">
        <v>201</v>
      </c>
      <c r="E152" s="142">
        <v>551341</v>
      </c>
      <c r="F152" s="143" t="s">
        <v>214</v>
      </c>
      <c r="G152" s="144">
        <v>4.0442520442520431</v>
      </c>
      <c r="H152" s="145">
        <v>5.6870837297811621</v>
      </c>
      <c r="I152" s="146">
        <v>3.4926112036156054</v>
      </c>
      <c r="J152" s="147">
        <v>0.92303703912541091</v>
      </c>
      <c r="K152" s="148">
        <v>248</v>
      </c>
      <c r="M152" s="149">
        <f t="shared" si="16"/>
        <v>0.61413043478260876</v>
      </c>
      <c r="N152" s="138">
        <f t="shared" si="17"/>
        <v>3.4926112036156054</v>
      </c>
      <c r="O152" s="149"/>
      <c r="V152" s="158">
        <f t="shared" si="18"/>
        <v>313.46028570451517</v>
      </c>
      <c r="W152" s="158">
        <f t="shared" si="19"/>
        <v>129.92588655709679</v>
      </c>
      <c r="X152" s="158">
        <f t="shared" si="20"/>
        <v>96.717879711184537</v>
      </c>
      <c r="Y152" s="158">
        <f t="shared" si="21"/>
        <v>79.132678708028919</v>
      </c>
      <c r="Z152" s="158">
        <f t="shared" si="22"/>
        <v>51.724748710390408</v>
      </c>
      <c r="AA152" s="158">
        <f t="shared" si="23"/>
        <v>34.756986930651266</v>
      </c>
    </row>
    <row r="153" spans="1:27" ht="19.5" thickBot="1" x14ac:dyDescent="0.35">
      <c r="A153" s="142">
        <v>30</v>
      </c>
      <c r="B153" s="143" t="s">
        <v>531</v>
      </c>
      <c r="C153" s="142">
        <v>11</v>
      </c>
      <c r="D153" s="143" t="s">
        <v>201</v>
      </c>
      <c r="E153" s="142">
        <v>551306</v>
      </c>
      <c r="F153" s="143" t="s">
        <v>216</v>
      </c>
      <c r="G153" s="144">
        <v>4.911395056556346</v>
      </c>
      <c r="H153" s="145">
        <v>12.827312662600761</v>
      </c>
      <c r="I153" s="146">
        <v>8.3428434341280351</v>
      </c>
      <c r="J153" s="147">
        <v>0.81615762666657032</v>
      </c>
      <c r="K153" s="148">
        <v>140</v>
      </c>
      <c r="M153" s="149">
        <f t="shared" si="16"/>
        <v>0.65039682539682542</v>
      </c>
      <c r="N153" s="138">
        <f t="shared" si="17"/>
        <v>8.3428434341280351</v>
      </c>
      <c r="O153" s="149"/>
      <c r="V153" s="158">
        <f t="shared" si="18"/>
        <v>317.82371710664717</v>
      </c>
      <c r="W153" s="158">
        <f t="shared" si="19"/>
        <v>107.36528185087353</v>
      </c>
      <c r="X153" s="158">
        <f t="shared" si="20"/>
        <v>69.285743675906701</v>
      </c>
      <c r="Y153" s="158">
        <f t="shared" si="21"/>
        <v>49.120837783743589</v>
      </c>
      <c r="Z153" s="158">
        <f t="shared" si="22"/>
        <v>17.692233185923058</v>
      </c>
      <c r="AA153" s="158">
        <f t="shared" si="23"/>
        <v>-1.7646566970918252</v>
      </c>
    </row>
    <row r="154" spans="1:27" ht="19.5" thickBot="1" x14ac:dyDescent="0.35">
      <c r="A154" s="142">
        <v>30</v>
      </c>
      <c r="B154" s="143" t="s">
        <v>531</v>
      </c>
      <c r="C154" s="142">
        <v>11</v>
      </c>
      <c r="D154" s="143" t="s">
        <v>201</v>
      </c>
      <c r="E154" s="142">
        <v>551349</v>
      </c>
      <c r="F154" s="143" t="s">
        <v>217</v>
      </c>
      <c r="G154" s="144">
        <v>2.8078154285050836</v>
      </c>
      <c r="H154" s="145">
        <v>27.067306215516936</v>
      </c>
      <c r="I154" s="146">
        <v>18.056742435877748</v>
      </c>
      <c r="J154" s="147">
        <v>0.60210275905421307</v>
      </c>
      <c r="K154" s="148">
        <v>20</v>
      </c>
      <c r="M154" s="149">
        <f t="shared" si="16"/>
        <v>0.66710526315789487</v>
      </c>
      <c r="N154" s="138">
        <f t="shared" si="17"/>
        <v>18.056742435877748</v>
      </c>
      <c r="O154" s="149"/>
      <c r="V154" s="158">
        <f t="shared" si="18"/>
        <v>130.6864647085732</v>
      </c>
      <c r="W154" s="158">
        <f t="shared" si="19"/>
        <v>13.38212745291364</v>
      </c>
      <c r="X154" s="158">
        <f t="shared" si="20"/>
        <v>-7.8424672428864088</v>
      </c>
      <c r="Y154" s="158">
        <f t="shared" si="21"/>
        <v>-19.081888074977041</v>
      </c>
      <c r="Z154" s="158">
        <f t="shared" si="22"/>
        <v>-36.599416553875926</v>
      </c>
      <c r="AA154" s="158">
        <f t="shared" si="23"/>
        <v>-47.444206737788477</v>
      </c>
    </row>
    <row r="155" spans="1:27" ht="19.5" thickBot="1" x14ac:dyDescent="0.35">
      <c r="A155" s="142">
        <v>30</v>
      </c>
      <c r="B155" s="143" t="s">
        <v>531</v>
      </c>
      <c r="C155" s="142">
        <v>11</v>
      </c>
      <c r="D155" s="143" t="s">
        <v>201</v>
      </c>
      <c r="E155" s="142">
        <v>451308</v>
      </c>
      <c r="F155" s="143" t="s">
        <v>218</v>
      </c>
      <c r="G155" s="144">
        <v>8.1451756454500952</v>
      </c>
      <c r="H155" s="145">
        <v>11.663345781016657</v>
      </c>
      <c r="I155" s="146">
        <v>8.2809755045218267</v>
      </c>
      <c r="J155" s="147">
        <v>0.81752094447324331</v>
      </c>
      <c r="K155" s="148">
        <v>143</v>
      </c>
      <c r="M155" s="149">
        <f t="shared" si="16"/>
        <v>0.71</v>
      </c>
      <c r="N155" s="138">
        <f t="shared" si="17"/>
        <v>8.2809755045218267</v>
      </c>
      <c r="O155" s="149"/>
      <c r="V155" s="158">
        <f t="shared" si="18"/>
        <v>483.64510494322946</v>
      </c>
      <c r="W155" s="158">
        <f t="shared" si="19"/>
        <v>163.91613652637818</v>
      </c>
      <c r="X155" s="158">
        <f t="shared" si="20"/>
        <v>106.06560920645576</v>
      </c>
      <c r="Y155" s="158">
        <f t="shared" si="21"/>
        <v>75.431034967182882</v>
      </c>
      <c r="Z155" s="158">
        <f t="shared" si="22"/>
        <v>27.684622167762438</v>
      </c>
      <c r="AA155" s="158">
        <f t="shared" si="23"/>
        <v>-1.8743324226592759</v>
      </c>
    </row>
    <row r="156" spans="1:27" ht="19.5" thickBot="1" x14ac:dyDescent="0.35">
      <c r="A156" s="142">
        <v>30</v>
      </c>
      <c r="B156" s="143" t="s">
        <v>531</v>
      </c>
      <c r="C156" s="142">
        <v>11</v>
      </c>
      <c r="D156" s="143" t="s">
        <v>201</v>
      </c>
      <c r="E156" s="142">
        <v>551307</v>
      </c>
      <c r="F156" s="143" t="s">
        <v>215</v>
      </c>
      <c r="G156" s="144">
        <v>2.8994516251467903</v>
      </c>
      <c r="H156" s="145">
        <v>10.691676912675018</v>
      </c>
      <c r="I156" s="146">
        <v>7.0703024745108989</v>
      </c>
      <c r="J156" s="147">
        <v>0.84419925923790795</v>
      </c>
      <c r="K156" s="148">
        <v>174</v>
      </c>
      <c r="M156" s="149">
        <f t="shared" si="16"/>
        <v>0.66129032258064513</v>
      </c>
      <c r="N156" s="138">
        <f t="shared" si="17"/>
        <v>7.0703024745108989</v>
      </c>
      <c r="O156" s="149"/>
      <c r="V156" s="158">
        <f t="shared" si="18"/>
        <v>190.87738219901428</v>
      </c>
      <c r="W156" s="158">
        <f t="shared" si="19"/>
        <v>68.679527576851044</v>
      </c>
      <c r="X156" s="158">
        <f t="shared" si="20"/>
        <v>46.569518708218368</v>
      </c>
      <c r="Y156" s="158">
        <f t="shared" si="21"/>
        <v>34.861229441097862</v>
      </c>
      <c r="Z156" s="158">
        <f t="shared" si="22"/>
        <v>16.612932332196102</v>
      </c>
      <c r="AA156" s="158">
        <f t="shared" si="23"/>
        <v>5.3157362923482987</v>
      </c>
    </row>
    <row r="157" spans="1:27" ht="19.5" thickBot="1" x14ac:dyDescent="0.35">
      <c r="A157" s="142">
        <v>30</v>
      </c>
      <c r="B157" s="143" t="s">
        <v>531</v>
      </c>
      <c r="C157" s="142">
        <v>11</v>
      </c>
      <c r="D157" s="143" t="s">
        <v>201</v>
      </c>
      <c r="E157" s="142">
        <v>451336</v>
      </c>
      <c r="F157" s="143" t="s">
        <v>219</v>
      </c>
      <c r="G157" s="144">
        <v>4.9912352884692046</v>
      </c>
      <c r="H157" s="145">
        <v>11.620369837902073</v>
      </c>
      <c r="I157" s="146">
        <v>8.5750315355553219</v>
      </c>
      <c r="J157" s="147">
        <v>0.81104114426303386</v>
      </c>
      <c r="K157" s="148">
        <v>135</v>
      </c>
      <c r="M157" s="149">
        <f t="shared" si="16"/>
        <v>0.73793103448275854</v>
      </c>
      <c r="N157" s="138">
        <f t="shared" si="17"/>
        <v>8.5750315355553219</v>
      </c>
      <c r="O157" s="149"/>
      <c r="V157" s="158">
        <f t="shared" si="18"/>
        <v>282.89218994136826</v>
      </c>
      <c r="W157" s="158">
        <f t="shared" si="19"/>
        <v>94.383164228101563</v>
      </c>
      <c r="X157" s="158">
        <f t="shared" si="20"/>
        <v>60.275067623419552</v>
      </c>
      <c r="Y157" s="158">
        <f t="shared" si="21"/>
        <v>42.21322677246178</v>
      </c>
      <c r="Z157" s="158">
        <f t="shared" si="22"/>
        <v>14.062415781862109</v>
      </c>
      <c r="AA157" s="158">
        <f t="shared" si="23"/>
        <v>-3.36525040219896</v>
      </c>
    </row>
    <row r="158" spans="1:27" ht="19.5" thickBot="1" x14ac:dyDescent="0.35">
      <c r="A158" s="142">
        <v>110</v>
      </c>
      <c r="B158" s="143" t="s">
        <v>220</v>
      </c>
      <c r="C158" s="142">
        <v>26</v>
      </c>
      <c r="D158" s="143" t="s">
        <v>221</v>
      </c>
      <c r="E158" s="142">
        <v>554116</v>
      </c>
      <c r="F158" s="143" t="s">
        <v>222</v>
      </c>
      <c r="G158" s="144">
        <v>2.502116364877657</v>
      </c>
      <c r="H158" s="145">
        <v>10.790865036894552</v>
      </c>
      <c r="I158" s="146">
        <v>6.8741806901698626</v>
      </c>
      <c r="J158" s="147">
        <v>0.84852098654590824</v>
      </c>
      <c r="K158" s="148">
        <v>178</v>
      </c>
      <c r="M158" s="149">
        <f t="shared" si="16"/>
        <v>0.63703703703703707</v>
      </c>
      <c r="N158" s="138">
        <f t="shared" si="17"/>
        <v>6.8741806901698626</v>
      </c>
      <c r="O158" s="149"/>
      <c r="V158" s="158">
        <f t="shared" si="18"/>
        <v>171.8664918592743</v>
      </c>
      <c r="W158" s="158">
        <f t="shared" si="19"/>
        <v>62.399621518036128</v>
      </c>
      <c r="X158" s="158">
        <f t="shared" si="20"/>
        <v>42.593107880379641</v>
      </c>
      <c r="Y158" s="158">
        <f t="shared" si="21"/>
        <v>32.104627644089689</v>
      </c>
      <c r="Z158" s="158">
        <f t="shared" si="22"/>
        <v>15.757499621710837</v>
      </c>
      <c r="AA158" s="158">
        <f t="shared" si="23"/>
        <v>5.6372835349607131</v>
      </c>
    </row>
    <row r="159" spans="1:27" ht="19.5" thickBot="1" x14ac:dyDescent="0.35">
      <c r="A159" s="142">
        <v>110</v>
      </c>
      <c r="B159" s="143" t="s">
        <v>220</v>
      </c>
      <c r="C159" s="142">
        <v>26</v>
      </c>
      <c r="D159" s="143" t="s">
        <v>221</v>
      </c>
      <c r="E159" s="142">
        <v>454161</v>
      </c>
      <c r="F159" s="143" t="s">
        <v>223</v>
      </c>
      <c r="G159" s="144">
        <v>1.3746450681934557</v>
      </c>
      <c r="H159" s="145">
        <v>16.004131181958243</v>
      </c>
      <c r="I159" s="146">
        <v>10.402685268272858</v>
      </c>
      <c r="J159" s="147">
        <v>0.77076708152801732</v>
      </c>
      <c r="K159" s="148">
        <v>101</v>
      </c>
      <c r="M159" s="149">
        <f t="shared" si="16"/>
        <v>0.65</v>
      </c>
      <c r="N159" s="138">
        <f t="shared" si="17"/>
        <v>10.402685268272858</v>
      </c>
      <c r="O159" s="149"/>
      <c r="V159" s="158">
        <f t="shared" si="18"/>
        <v>84.059380156413056</v>
      </c>
      <c r="W159" s="158">
        <f t="shared" si="19"/>
        <v>25.118434045058972</v>
      </c>
      <c r="X159" s="158">
        <f t="shared" si="20"/>
        <v>14.453886412229428</v>
      </c>
      <c r="Y159" s="158">
        <f t="shared" si="21"/>
        <v>8.8065070136034578</v>
      </c>
      <c r="Z159" s="158">
        <f t="shared" si="22"/>
        <v>4.6184710800638304E-3</v>
      </c>
      <c r="AA159" s="158">
        <f t="shared" si="23"/>
        <v>-5.4444741095789002</v>
      </c>
    </row>
    <row r="160" spans="1:27" ht="19.5" thickBot="1" x14ac:dyDescent="0.35">
      <c r="A160" s="142">
        <v>110</v>
      </c>
      <c r="B160" s="143" t="s">
        <v>220</v>
      </c>
      <c r="C160" s="142">
        <v>26</v>
      </c>
      <c r="D160" s="143" t="s">
        <v>221</v>
      </c>
      <c r="E160" s="142">
        <v>554166</v>
      </c>
      <c r="F160" s="143" t="s">
        <v>224</v>
      </c>
      <c r="G160" s="144">
        <v>2.7294855338704069</v>
      </c>
      <c r="H160" s="145">
        <v>11.357451657214698</v>
      </c>
      <c r="I160" s="146">
        <v>7.6388021629976288</v>
      </c>
      <c r="J160" s="147">
        <v>0.83167183584851778</v>
      </c>
      <c r="K160" s="148">
        <v>164</v>
      </c>
      <c r="M160" s="149">
        <f t="shared" si="16"/>
        <v>0.67258064516129046</v>
      </c>
      <c r="N160" s="138">
        <f t="shared" si="17"/>
        <v>7.6388021629976288</v>
      </c>
      <c r="O160" s="149"/>
      <c r="V160" s="158">
        <f t="shared" si="18"/>
        <v>174.0500808567117</v>
      </c>
      <c r="W160" s="158">
        <f t="shared" si="19"/>
        <v>60.946511019531734</v>
      </c>
      <c r="X160" s="158">
        <f t="shared" si="20"/>
        <v>40.481986990805424</v>
      </c>
      <c r="Y160" s="158">
        <f t="shared" si="21"/>
        <v>29.645059314028614</v>
      </c>
      <c r="Z160" s="158">
        <f t="shared" si="22"/>
        <v>12.754848329162943</v>
      </c>
      <c r="AA160" s="158">
        <f t="shared" si="23"/>
        <v>2.298419243660073</v>
      </c>
    </row>
    <row r="161" spans="1:27" ht="19.5" thickBot="1" x14ac:dyDescent="0.35">
      <c r="A161" s="142">
        <v>110</v>
      </c>
      <c r="B161" s="143" t="s">
        <v>220</v>
      </c>
      <c r="C161" s="142">
        <v>26</v>
      </c>
      <c r="D161" s="143" t="s">
        <v>221</v>
      </c>
      <c r="E161" s="142">
        <v>454171</v>
      </c>
      <c r="F161" s="143" t="s">
        <v>225</v>
      </c>
      <c r="G161" s="144">
        <v>1.1783439328771577</v>
      </c>
      <c r="H161" s="145">
        <v>5.9405406220475276</v>
      </c>
      <c r="I161" s="146">
        <v>3.8613514043308927</v>
      </c>
      <c r="J161" s="147">
        <v>0.91491150324808213</v>
      </c>
      <c r="K161" s="148">
        <v>242</v>
      </c>
      <c r="M161" s="149">
        <f t="shared" si="16"/>
        <v>0.64999999999999991</v>
      </c>
      <c r="N161" s="138">
        <f t="shared" si="17"/>
        <v>3.8613514043308927</v>
      </c>
      <c r="O161" s="149"/>
      <c r="V161" s="158">
        <f t="shared" si="18"/>
        <v>85.531010856756524</v>
      </c>
      <c r="W161" s="158">
        <f t="shared" si="19"/>
        <v>35.006909868544597</v>
      </c>
      <c r="X161" s="158">
        <f t="shared" si="20"/>
        <v>25.865273754039116</v>
      </c>
      <c r="Y161" s="158">
        <f t="shared" si="21"/>
        <v>21.024347608811162</v>
      </c>
      <c r="Z161" s="158">
        <f t="shared" si="22"/>
        <v>13.479380400967665</v>
      </c>
      <c r="AA161" s="158">
        <f t="shared" si="23"/>
        <v>8.8084254536344488</v>
      </c>
    </row>
    <row r="162" spans="1:27" ht="19.5" thickBot="1" x14ac:dyDescent="0.35">
      <c r="A162" s="142">
        <v>110</v>
      </c>
      <c r="B162" s="143" t="s">
        <v>220</v>
      </c>
      <c r="C162" s="142">
        <v>26</v>
      </c>
      <c r="D162" s="143" t="s">
        <v>221</v>
      </c>
      <c r="E162" s="142">
        <v>554266</v>
      </c>
      <c r="F162" s="143" t="s">
        <v>226</v>
      </c>
      <c r="G162" s="144">
        <v>3.1786816063864465</v>
      </c>
      <c r="H162" s="145">
        <v>26.11145445748344</v>
      </c>
      <c r="I162" s="146">
        <v>17.373555089331603</v>
      </c>
      <c r="J162" s="147">
        <v>0.61715743246527399</v>
      </c>
      <c r="K162" s="148">
        <v>23</v>
      </c>
      <c r="M162" s="149">
        <f t="shared" si="16"/>
        <v>0.66536144578313261</v>
      </c>
      <c r="N162" s="138">
        <f t="shared" si="17"/>
        <v>17.373555089331603</v>
      </c>
      <c r="O162" s="149"/>
      <c r="V162" s="158">
        <f t="shared" si="18"/>
        <v>152.04465715642263</v>
      </c>
      <c r="W162" s="158">
        <f t="shared" si="19"/>
        <v>18.898303353416061</v>
      </c>
      <c r="X162" s="158">
        <f t="shared" si="20"/>
        <v>-5.1926847618257339</v>
      </c>
      <c r="Y162" s="158">
        <f t="shared" si="21"/>
        <v>-17.949995681957297</v>
      </c>
      <c r="Z162" s="158">
        <f t="shared" si="22"/>
        <v>-37.833276208255</v>
      </c>
      <c r="AA162" s="158">
        <f t="shared" si="23"/>
        <v>-50.142661389806996</v>
      </c>
    </row>
    <row r="163" spans="1:27" ht="19.5" thickBot="1" x14ac:dyDescent="0.35">
      <c r="A163" s="142">
        <v>110</v>
      </c>
      <c r="B163" s="143" t="s">
        <v>220</v>
      </c>
      <c r="C163" s="142">
        <v>26</v>
      </c>
      <c r="D163" s="143" t="s">
        <v>221</v>
      </c>
      <c r="E163" s="142">
        <v>554296</v>
      </c>
      <c r="F163" s="143" t="s">
        <v>227</v>
      </c>
      <c r="G163" s="144">
        <v>3.7074923414334346</v>
      </c>
      <c r="H163" s="145">
        <v>5.9339299920156003</v>
      </c>
      <c r="I163" s="146">
        <v>4.2076958125201527</v>
      </c>
      <c r="J163" s="147">
        <v>0.90727947964665512</v>
      </c>
      <c r="K163" s="148">
        <v>238</v>
      </c>
      <c r="M163" s="149">
        <f t="shared" si="16"/>
        <v>0.70909090909090899</v>
      </c>
      <c r="N163" s="138">
        <f t="shared" si="17"/>
        <v>4.2076958125201527</v>
      </c>
      <c r="O163" s="149"/>
      <c r="V163" s="158">
        <f t="shared" si="18"/>
        <v>244.62747733434307</v>
      </c>
      <c r="W163" s="158">
        <f t="shared" si="19"/>
        <v>98.907791518126245</v>
      </c>
      <c r="X163" s="158">
        <f t="shared" si="20"/>
        <v>72.541833165641663</v>
      </c>
      <c r="Y163" s="158">
        <f t="shared" si="21"/>
        <v>58.579818540053139</v>
      </c>
      <c r="Z163" s="158">
        <f t="shared" si="22"/>
        <v>36.818911774445716</v>
      </c>
      <c r="AA163" s="158">
        <f t="shared" si="23"/>
        <v>23.34712159759712</v>
      </c>
    </row>
    <row r="164" spans="1:27" ht="19.5" thickBot="1" x14ac:dyDescent="0.35">
      <c r="A164" s="142">
        <v>110</v>
      </c>
      <c r="B164" s="143" t="s">
        <v>220</v>
      </c>
      <c r="C164" s="142">
        <v>26</v>
      </c>
      <c r="D164" s="143" t="s">
        <v>221</v>
      </c>
      <c r="E164" s="142">
        <v>554356</v>
      </c>
      <c r="F164" s="143" t="s">
        <v>228</v>
      </c>
      <c r="G164" s="144">
        <v>3.5906872100420477</v>
      </c>
      <c r="H164" s="145">
        <v>21.722861234433896</v>
      </c>
      <c r="I164" s="146">
        <v>14.377470656764743</v>
      </c>
      <c r="J164" s="147">
        <v>0.68317896063362593</v>
      </c>
      <c r="K164" s="148">
        <v>45</v>
      </c>
      <c r="M164" s="149">
        <f t="shared" si="16"/>
        <v>0.66185897435897434</v>
      </c>
      <c r="N164" s="138">
        <f t="shared" si="17"/>
        <v>14.377470656764743</v>
      </c>
      <c r="O164" s="149"/>
      <c r="V164" s="158">
        <f t="shared" si="18"/>
        <v>191.13155775431119</v>
      </c>
      <c r="W164" s="158">
        <f t="shared" si="19"/>
        <v>39.931487162275474</v>
      </c>
      <c r="X164" s="158">
        <f t="shared" si="20"/>
        <v>12.573929109685372</v>
      </c>
      <c r="Y164" s="158">
        <f t="shared" si="21"/>
        <v>-1.9131841802685277</v>
      </c>
      <c r="Z164" s="158">
        <f t="shared" si="22"/>
        <v>-24.492498846484917</v>
      </c>
      <c r="AA164" s="158">
        <f t="shared" si="23"/>
        <v>-38.47095079229549</v>
      </c>
    </row>
    <row r="165" spans="1:27" ht="19.5" thickBot="1" x14ac:dyDescent="0.35">
      <c r="A165" s="142">
        <v>110</v>
      </c>
      <c r="B165" s="143" t="s">
        <v>220</v>
      </c>
      <c r="C165" s="142">
        <v>26</v>
      </c>
      <c r="D165" s="143" t="s">
        <v>221</v>
      </c>
      <c r="E165" s="142">
        <v>454426</v>
      </c>
      <c r="F165" s="143" t="s">
        <v>229</v>
      </c>
      <c r="G165" s="144">
        <v>8.270629616811938</v>
      </c>
      <c r="H165" s="145">
        <v>16.322820178717926</v>
      </c>
      <c r="I165" s="146">
        <v>11.244609456450126</v>
      </c>
      <c r="J165" s="147">
        <v>0.75221449305582255</v>
      </c>
      <c r="K165" s="148">
        <v>82</v>
      </c>
      <c r="M165" s="149">
        <f t="shared" si="16"/>
        <v>0.68888888888888888</v>
      </c>
      <c r="N165" s="138">
        <f t="shared" si="17"/>
        <v>11.244609456450126</v>
      </c>
      <c r="O165" s="149"/>
      <c r="V165" s="158">
        <f t="shared" si="18"/>
        <v>465.7114250606013</v>
      </c>
      <c r="W165" s="158">
        <f t="shared" si="19"/>
        <v>131.10885427882025</v>
      </c>
      <c r="X165" s="158">
        <f t="shared" si="20"/>
        <v>70.567154669384777</v>
      </c>
      <c r="Y165" s="158">
        <f t="shared" si="21"/>
        <v>38.50747816893734</v>
      </c>
      <c r="Z165" s="158">
        <f t="shared" si="22"/>
        <v>-11.460069493072375</v>
      </c>
      <c r="AA165" s="158">
        <f t="shared" si="23"/>
        <v>-42.394089155257461</v>
      </c>
    </row>
    <row r="166" spans="1:27" ht="19.5" thickBot="1" x14ac:dyDescent="0.35">
      <c r="A166" s="142">
        <v>110</v>
      </c>
      <c r="B166" s="143" t="s">
        <v>220</v>
      </c>
      <c r="C166" s="142">
        <v>26</v>
      </c>
      <c r="D166" s="143" t="s">
        <v>221</v>
      </c>
      <c r="E166" s="142">
        <v>554431</v>
      </c>
      <c r="F166" s="143" t="s">
        <v>230</v>
      </c>
      <c r="G166" s="144">
        <v>2.0619326909649489</v>
      </c>
      <c r="H166" s="145">
        <v>8.7296739020012879</v>
      </c>
      <c r="I166" s="146">
        <v>5.6742880363008368</v>
      </c>
      <c r="J166" s="147">
        <v>0.87496174561975815</v>
      </c>
      <c r="K166" s="148">
        <v>210</v>
      </c>
      <c r="M166" s="149">
        <f t="shared" si="16"/>
        <v>0.64999999999999991</v>
      </c>
      <c r="N166" s="138">
        <f t="shared" si="17"/>
        <v>5.6742880363008368</v>
      </c>
      <c r="O166" s="149"/>
      <c r="V166" s="158">
        <f t="shared" si="18"/>
        <v>143.13175504148592</v>
      </c>
      <c r="W166" s="158">
        <f t="shared" si="19"/>
        <v>54.721832774699728</v>
      </c>
      <c r="X166" s="158">
        <f t="shared" si="20"/>
        <v>38.725282168816733</v>
      </c>
      <c r="Y166" s="158">
        <f t="shared" si="21"/>
        <v>30.254356495172139</v>
      </c>
      <c r="Z166" s="158">
        <f t="shared" si="22"/>
        <v>17.051747219521143</v>
      </c>
      <c r="AA166" s="158">
        <f t="shared" si="23"/>
        <v>8.8782467370139972</v>
      </c>
    </row>
    <row r="167" spans="1:27" ht="19.5" thickBot="1" x14ac:dyDescent="0.35">
      <c r="A167" s="142">
        <v>110</v>
      </c>
      <c r="B167" s="143" t="s">
        <v>220</v>
      </c>
      <c r="C167" s="142">
        <v>26</v>
      </c>
      <c r="D167" s="143" t="s">
        <v>221</v>
      </c>
      <c r="E167" s="142">
        <v>554476</v>
      </c>
      <c r="F167" s="143" t="s">
        <v>231</v>
      </c>
      <c r="G167" s="144">
        <v>2.0199468106564877</v>
      </c>
      <c r="H167" s="145">
        <v>15.842001299826267</v>
      </c>
      <c r="I167" s="146">
        <v>11.275049362610725</v>
      </c>
      <c r="J167" s="147">
        <v>0.75154372119766699</v>
      </c>
      <c r="K167" s="148">
        <v>81</v>
      </c>
      <c r="M167" s="149">
        <f t="shared" si="16"/>
        <v>0.71171874999999996</v>
      </c>
      <c r="N167" s="138">
        <f t="shared" si="17"/>
        <v>11.275049362610725</v>
      </c>
      <c r="O167" s="149"/>
      <c r="V167" s="158">
        <f t="shared" si="18"/>
        <v>109.99465467623935</v>
      </c>
      <c r="W167" s="158">
        <f t="shared" si="19"/>
        <v>30.895579174810084</v>
      </c>
      <c r="X167" s="158">
        <f t="shared" si="20"/>
        <v>16.583697298939171</v>
      </c>
      <c r="Y167" s="158">
        <f t="shared" si="21"/>
        <v>9.0048829278023437</v>
      </c>
      <c r="Z167" s="158">
        <f t="shared" si="22"/>
        <v>-2.8073001522739092</v>
      </c>
      <c r="AA167" s="158">
        <f t="shared" si="23"/>
        <v>-10.120012517588183</v>
      </c>
    </row>
    <row r="168" spans="1:27" ht="19.5" thickBot="1" x14ac:dyDescent="0.35">
      <c r="A168" s="142">
        <v>110</v>
      </c>
      <c r="B168" s="143" t="s">
        <v>220</v>
      </c>
      <c r="C168" s="142">
        <v>26</v>
      </c>
      <c r="D168" s="143" t="s">
        <v>221</v>
      </c>
      <c r="E168" s="142">
        <v>554471</v>
      </c>
      <c r="F168" s="143" t="s">
        <v>232</v>
      </c>
      <c r="G168" s="144">
        <v>1.8614832399778634</v>
      </c>
      <c r="H168" s="145">
        <v>12.355738427316442</v>
      </c>
      <c r="I168" s="146">
        <v>8.1521013319359579</v>
      </c>
      <c r="J168" s="147">
        <v>0.8203608076369997</v>
      </c>
      <c r="K168" s="148">
        <v>149</v>
      </c>
      <c r="M168" s="149">
        <f t="shared" si="16"/>
        <v>0.6597826086956522</v>
      </c>
      <c r="N168" s="138">
        <f t="shared" si="17"/>
        <v>8.1521013319359579</v>
      </c>
      <c r="O168" s="149"/>
      <c r="V168" s="158">
        <f t="shared" si="18"/>
        <v>119.35729669778776</v>
      </c>
      <c r="W168" s="158">
        <f t="shared" si="19"/>
        <v>40.72550930820389</v>
      </c>
      <c r="X168" s="158">
        <f t="shared" si="20"/>
        <v>26.498176742376543</v>
      </c>
      <c r="Y168" s="158">
        <f t="shared" si="21"/>
        <v>18.964135206257883</v>
      </c>
      <c r="Z168" s="158">
        <f t="shared" si="22"/>
        <v>7.2217341393501817</v>
      </c>
      <c r="AA168" s="158">
        <f t="shared" si="23"/>
        <v>-4.7777423274631484E-2</v>
      </c>
    </row>
    <row r="169" spans="1:27" ht="19.5" thickBot="1" x14ac:dyDescent="0.35">
      <c r="A169" s="142">
        <v>110</v>
      </c>
      <c r="B169" s="143" t="s">
        <v>220</v>
      </c>
      <c r="C169" s="142">
        <v>26</v>
      </c>
      <c r="D169" s="143" t="s">
        <v>221</v>
      </c>
      <c r="E169" s="142">
        <v>454481</v>
      </c>
      <c r="F169" s="143" t="s">
        <v>233</v>
      </c>
      <c r="G169" s="144">
        <v>10.399239442446538</v>
      </c>
      <c r="H169" s="145">
        <v>14.904936159786558</v>
      </c>
      <c r="I169" s="146">
        <v>10.404607048315519</v>
      </c>
      <c r="J169" s="147">
        <v>0.77072473330383495</v>
      </c>
      <c r="K169" s="148">
        <v>100</v>
      </c>
      <c r="M169" s="149">
        <f t="shared" si="16"/>
        <v>0.6980645161290322</v>
      </c>
      <c r="N169" s="138">
        <f t="shared" si="17"/>
        <v>10.404607048315519</v>
      </c>
      <c r="O169" s="149"/>
      <c r="V169" s="158">
        <f t="shared" si="18"/>
        <v>592.09461990787975</v>
      </c>
      <c r="W169" s="158">
        <f t="shared" si="19"/>
        <v>176.905564760007</v>
      </c>
      <c r="X169" s="158">
        <f t="shared" si="20"/>
        <v>101.78285724715573</v>
      </c>
      <c r="Y169" s="158">
        <f t="shared" si="21"/>
        <v>62.001851490185025</v>
      </c>
      <c r="Z169" s="158">
        <f t="shared" si="22"/>
        <v>0</v>
      </c>
      <c r="AA169" s="158">
        <f t="shared" si="23"/>
        <v>-38.384243030351712</v>
      </c>
    </row>
    <row r="170" spans="1:27" ht="19.5" thickBot="1" x14ac:dyDescent="0.35">
      <c r="A170" s="142">
        <v>110</v>
      </c>
      <c r="B170" s="143" t="s">
        <v>220</v>
      </c>
      <c r="C170" s="142">
        <v>26</v>
      </c>
      <c r="D170" s="143" t="s">
        <v>221</v>
      </c>
      <c r="E170" s="142">
        <v>554486</v>
      </c>
      <c r="F170" s="143" t="s">
        <v>234</v>
      </c>
      <c r="G170" s="144">
        <v>4.7502856913022802</v>
      </c>
      <c r="H170" s="145">
        <v>11.157223679628871</v>
      </c>
      <c r="I170" s="146">
        <v>7.7153254312905304</v>
      </c>
      <c r="J170" s="147">
        <v>0.82998557392004269</v>
      </c>
      <c r="K170" s="148">
        <v>161</v>
      </c>
      <c r="M170" s="149">
        <f t="shared" si="16"/>
        <v>0.69150943396226416</v>
      </c>
      <c r="N170" s="138">
        <f t="shared" si="17"/>
        <v>7.7153254312905304</v>
      </c>
      <c r="O170" s="149"/>
      <c r="V170" s="158">
        <f t="shared" si="18"/>
        <v>294.02074090274721</v>
      </c>
      <c r="W170" s="158">
        <f t="shared" si="19"/>
        <v>102.56803824227423</v>
      </c>
      <c r="X170" s="158">
        <f t="shared" si="20"/>
        <v>67.927324075603408</v>
      </c>
      <c r="Y170" s="158">
        <f t="shared" si="21"/>
        <v>49.583437182893014</v>
      </c>
      <c r="Z170" s="158">
        <f t="shared" si="22"/>
        <v>20.993035074336824</v>
      </c>
      <c r="AA170" s="158">
        <f t="shared" si="23"/>
        <v>3.2932258509941299</v>
      </c>
    </row>
    <row r="171" spans="1:27" ht="19.5" thickBot="1" x14ac:dyDescent="0.35">
      <c r="A171" s="142">
        <v>110</v>
      </c>
      <c r="B171" s="143" t="s">
        <v>220</v>
      </c>
      <c r="C171" s="142">
        <v>26</v>
      </c>
      <c r="D171" s="143" t="s">
        <v>221</v>
      </c>
      <c r="E171" s="142">
        <v>554491</v>
      </c>
      <c r="F171" s="143" t="s">
        <v>235</v>
      </c>
      <c r="G171" s="144">
        <v>3.3012442740771761</v>
      </c>
      <c r="H171" s="145">
        <v>11.813727419762657</v>
      </c>
      <c r="I171" s="146">
        <v>8.3150466069867921</v>
      </c>
      <c r="J171" s="147">
        <v>0.81677015580164691</v>
      </c>
      <c r="K171" s="148">
        <v>141</v>
      </c>
      <c r="M171" s="149">
        <f t="shared" si="16"/>
        <v>0.70384615384615379</v>
      </c>
      <c r="N171" s="138">
        <f t="shared" si="17"/>
        <v>8.3150466069867921</v>
      </c>
      <c r="O171" s="149"/>
      <c r="V171" s="158">
        <f t="shared" si="18"/>
        <v>197.55388881571415</v>
      </c>
      <c r="W171" s="158">
        <f t="shared" si="19"/>
        <v>66.834562696054519</v>
      </c>
      <c r="X171" s="158">
        <f t="shared" si="20"/>
        <v>43.1827116161489</v>
      </c>
      <c r="Y171" s="158">
        <f t="shared" si="21"/>
        <v>30.657944403628246</v>
      </c>
      <c r="Z171" s="158">
        <f t="shared" si="22"/>
        <v>11.137101682758356</v>
      </c>
      <c r="AA171" s="158">
        <f t="shared" si="23"/>
        <v>-0.94790470247444458</v>
      </c>
    </row>
    <row r="172" spans="1:27" ht="19.5" thickBot="1" x14ac:dyDescent="0.35">
      <c r="A172" s="142">
        <v>110</v>
      </c>
      <c r="B172" s="143" t="s">
        <v>220</v>
      </c>
      <c r="C172" s="142">
        <v>26</v>
      </c>
      <c r="D172" s="143" t="s">
        <v>221</v>
      </c>
      <c r="E172" s="142">
        <v>554601</v>
      </c>
      <c r="F172" s="143" t="s">
        <v>236</v>
      </c>
      <c r="G172" s="144">
        <v>3.9852030364082958</v>
      </c>
      <c r="H172" s="145">
        <v>2.5092824402273366</v>
      </c>
      <c r="I172" s="146">
        <v>1.5432087007398121</v>
      </c>
      <c r="J172" s="147">
        <v>0.96599395010431988</v>
      </c>
      <c r="K172" s="148">
        <v>273</v>
      </c>
      <c r="M172" s="149">
        <f t="shared" si="16"/>
        <v>0.61499999999999999</v>
      </c>
      <c r="N172" s="138">
        <f t="shared" si="17"/>
        <v>1.5432087007398121</v>
      </c>
      <c r="O172" s="149"/>
      <c r="V172" s="158">
        <f t="shared" si="18"/>
        <v>322.80150185431086</v>
      </c>
      <c r="W172" s="158">
        <f t="shared" si="19"/>
        <v>142.2025531371149</v>
      </c>
      <c r="X172" s="158">
        <f t="shared" si="20"/>
        <v>109.52567537891311</v>
      </c>
      <c r="Y172" s="158">
        <f t="shared" si="21"/>
        <v>92.221732200394484</v>
      </c>
      <c r="Z172" s="158">
        <f t="shared" si="22"/>
        <v>65.252164821844346</v>
      </c>
      <c r="AA172" s="158">
        <f t="shared" si="23"/>
        <v>48.555785539596812</v>
      </c>
    </row>
    <row r="173" spans="1:27" ht="19.5" thickBot="1" x14ac:dyDescent="0.35">
      <c r="A173" s="142">
        <v>110</v>
      </c>
      <c r="B173" s="143" t="s">
        <v>220</v>
      </c>
      <c r="C173" s="142">
        <v>26</v>
      </c>
      <c r="D173" s="143" t="s">
        <v>221</v>
      </c>
      <c r="E173" s="142">
        <v>554611</v>
      </c>
      <c r="F173" s="143" t="s">
        <v>237</v>
      </c>
      <c r="G173" s="144">
        <v>3.0016649497715413</v>
      </c>
      <c r="H173" s="145">
        <v>6.6629688305226118</v>
      </c>
      <c r="I173" s="146">
        <v>4.7556940027855141</v>
      </c>
      <c r="J173" s="147">
        <v>0.89520382598297843</v>
      </c>
      <c r="K173" s="148">
        <v>227</v>
      </c>
      <c r="M173" s="149">
        <f t="shared" si="16"/>
        <v>0.71375</v>
      </c>
      <c r="N173" s="138">
        <f t="shared" si="17"/>
        <v>4.7556940027855141</v>
      </c>
      <c r="O173" s="149"/>
      <c r="V173" s="158">
        <f t="shared" si="18"/>
        <v>194.14393407443026</v>
      </c>
      <c r="W173" s="158">
        <f t="shared" si="19"/>
        <v>76.936279905933276</v>
      </c>
      <c r="X173" s="158">
        <f t="shared" si="20"/>
        <v>55.729178675310834</v>
      </c>
      <c r="Y173" s="158">
        <f t="shared" si="21"/>
        <v>44.499021455541694</v>
      </c>
      <c r="Z173" s="158">
        <f t="shared" si="22"/>
        <v>26.995931050906908</v>
      </c>
      <c r="AA173" s="158">
        <f t="shared" si="23"/>
        <v>16.160079221868017</v>
      </c>
    </row>
    <row r="174" spans="1:27" ht="19.5" thickBot="1" x14ac:dyDescent="0.35">
      <c r="A174" s="142">
        <v>110</v>
      </c>
      <c r="B174" s="143" t="s">
        <v>220</v>
      </c>
      <c r="C174" s="142">
        <v>26</v>
      </c>
      <c r="D174" s="143" t="s">
        <v>221</v>
      </c>
      <c r="E174" s="142">
        <v>554636</v>
      </c>
      <c r="F174" s="143" t="s">
        <v>238</v>
      </c>
      <c r="G174" s="144">
        <v>2.7065897065897064</v>
      </c>
      <c r="H174" s="145">
        <v>6.6504354007464013</v>
      </c>
      <c r="I174" s="146">
        <v>4.7107250755287016</v>
      </c>
      <c r="J174" s="147">
        <v>0.89619475843645502</v>
      </c>
      <c r="K174" s="148">
        <v>229</v>
      </c>
      <c r="M174" s="149">
        <f t="shared" si="16"/>
        <v>0.70833333333333348</v>
      </c>
      <c r="N174" s="138">
        <f t="shared" si="17"/>
        <v>4.7107250755287016</v>
      </c>
      <c r="O174" s="149"/>
      <c r="V174" s="158">
        <f t="shared" si="18"/>
        <v>176.59278227624236</v>
      </c>
      <c r="W174" s="158">
        <f t="shared" si="19"/>
        <v>70.09890794365711</v>
      </c>
      <c r="X174" s="158">
        <f t="shared" si="20"/>
        <v>50.830316745972866</v>
      </c>
      <c r="Y174" s="158">
        <f t="shared" si="21"/>
        <v>40.626691733753191</v>
      </c>
      <c r="Z174" s="158">
        <f t="shared" si="22"/>
        <v>24.723533162697578</v>
      </c>
      <c r="AA174" s="158">
        <f t="shared" si="23"/>
        <v>14.878170663510728</v>
      </c>
    </row>
    <row r="175" spans="1:27" ht="19.5" thickBot="1" x14ac:dyDescent="0.35">
      <c r="A175" s="142">
        <v>110</v>
      </c>
      <c r="B175" s="143" t="s">
        <v>220</v>
      </c>
      <c r="C175" s="142">
        <v>26</v>
      </c>
      <c r="D175" s="143" t="s">
        <v>221</v>
      </c>
      <c r="E175" s="142">
        <v>454671</v>
      </c>
      <c r="F175" s="143" t="s">
        <v>239</v>
      </c>
      <c r="G175" s="144">
        <v>4.3740007442467412</v>
      </c>
      <c r="H175" s="145">
        <v>10.745311386108144</v>
      </c>
      <c r="I175" s="146">
        <v>7.5160023791128765</v>
      </c>
      <c r="J175" s="147">
        <v>0.83437784416480165</v>
      </c>
      <c r="K175" s="148">
        <v>166</v>
      </c>
      <c r="M175" s="149">
        <f t="shared" si="16"/>
        <v>0.69946808510638292</v>
      </c>
      <c r="N175" s="138">
        <f t="shared" si="17"/>
        <v>7.5160023791128765</v>
      </c>
      <c r="O175" s="149"/>
      <c r="V175" s="158">
        <f t="shared" si="18"/>
        <v>269.06642958972088</v>
      </c>
      <c r="W175" s="158">
        <f t="shared" si="19"/>
        <v>94.785113771755903</v>
      </c>
      <c r="X175" s="158">
        <f t="shared" si="20"/>
        <v>63.251324162381792</v>
      </c>
      <c r="Y175" s="158">
        <f t="shared" si="21"/>
        <v>46.552699904529852</v>
      </c>
      <c r="Z175" s="158">
        <f t="shared" si="22"/>
        <v>20.526570056258819</v>
      </c>
      <c r="AA175" s="158">
        <f t="shared" si="23"/>
        <v>4.4142561619928085</v>
      </c>
    </row>
    <row r="176" spans="1:27" ht="19.5" thickBot="1" x14ac:dyDescent="0.35">
      <c r="A176" s="142">
        <v>110</v>
      </c>
      <c r="B176" s="143" t="s">
        <v>220</v>
      </c>
      <c r="C176" s="142">
        <v>27</v>
      </c>
      <c r="D176" s="143" t="s">
        <v>240</v>
      </c>
      <c r="E176" s="142">
        <v>554184</v>
      </c>
      <c r="F176" s="143" t="s">
        <v>536</v>
      </c>
      <c r="G176" s="144">
        <v>3.9752389572564639</v>
      </c>
      <c r="H176" s="145">
        <v>3.018686456092158</v>
      </c>
      <c r="I176" s="146">
        <v>2.0501912180959239</v>
      </c>
      <c r="J176" s="147">
        <v>0.95482211522988947</v>
      </c>
      <c r="K176" s="148">
        <v>269</v>
      </c>
      <c r="M176" s="149">
        <f t="shared" si="16"/>
        <v>0.67916666666666659</v>
      </c>
      <c r="N176" s="138">
        <f t="shared" si="17"/>
        <v>2.0501912180959239</v>
      </c>
      <c r="O176" s="149"/>
      <c r="V176" s="158">
        <f t="shared" si="18"/>
        <v>288.20077871221719</v>
      </c>
      <c r="W176" s="158">
        <f t="shared" si="19"/>
        <v>125.07343729456404</v>
      </c>
      <c r="X176" s="158">
        <f t="shared" si="20"/>
        <v>95.557804826114662</v>
      </c>
      <c r="Y176" s="158">
        <f t="shared" si="21"/>
        <v>79.927889664348783</v>
      </c>
      <c r="Z176" s="158">
        <f t="shared" si="22"/>
        <v>55.567427674415583</v>
      </c>
      <c r="AA176" s="158">
        <f t="shared" si="23"/>
        <v>40.486299113258625</v>
      </c>
    </row>
    <row r="177" spans="1:27" ht="19.5" thickBot="1" x14ac:dyDescent="0.35">
      <c r="A177" s="142">
        <v>110</v>
      </c>
      <c r="B177" s="143" t="s">
        <v>220</v>
      </c>
      <c r="C177" s="142">
        <v>27</v>
      </c>
      <c r="D177" s="143" t="s">
        <v>240</v>
      </c>
      <c r="E177" s="142">
        <v>554506</v>
      </c>
      <c r="F177" s="143" t="s">
        <v>242</v>
      </c>
      <c r="G177" s="144">
        <v>2.6208074601622977</v>
      </c>
      <c r="H177" s="145">
        <v>16.025595408446787</v>
      </c>
      <c r="I177" s="146">
        <v>10.769581676271679</v>
      </c>
      <c r="J177" s="147">
        <v>0.76268217535105476</v>
      </c>
      <c r="K177" s="148">
        <v>96</v>
      </c>
      <c r="M177" s="149">
        <f t="shared" si="16"/>
        <v>0.67202380952380947</v>
      </c>
      <c r="N177" s="138">
        <f t="shared" si="17"/>
        <v>10.769581676271679</v>
      </c>
      <c r="O177" s="149"/>
      <c r="V177" s="158">
        <f t="shared" si="18"/>
        <v>153.38392824498368</v>
      </c>
      <c r="W177" s="158">
        <f t="shared" si="19"/>
        <v>44.693740918639968</v>
      </c>
      <c r="X177" s="158">
        <f t="shared" si="20"/>
        <v>25.027757312386495</v>
      </c>
      <c r="Y177" s="158">
        <f t="shared" si="21"/>
        <v>14.613694335183141</v>
      </c>
      <c r="Z177" s="158">
        <f t="shared" si="22"/>
        <v>-1.6174484887725851</v>
      </c>
      <c r="AA177" s="158">
        <f t="shared" si="23"/>
        <v>-11.665860202956486</v>
      </c>
    </row>
    <row r="178" spans="1:27" ht="19.5" thickBot="1" x14ac:dyDescent="0.35">
      <c r="A178" s="142">
        <v>110</v>
      </c>
      <c r="B178" s="143" t="s">
        <v>220</v>
      </c>
      <c r="C178" s="142">
        <v>27</v>
      </c>
      <c r="D178" s="143" t="s">
        <v>240</v>
      </c>
      <c r="E178" s="142">
        <v>554196</v>
      </c>
      <c r="F178" s="143" t="s">
        <v>243</v>
      </c>
      <c r="G178" s="144">
        <v>3.1714420394420397</v>
      </c>
      <c r="H178" s="145">
        <v>11.035989169821828</v>
      </c>
      <c r="I178" s="146">
        <v>7.1733929603841879</v>
      </c>
      <c r="J178" s="147">
        <v>0.84192756377332401</v>
      </c>
      <c r="K178" s="148">
        <v>172</v>
      </c>
      <c r="M178" s="149">
        <f t="shared" si="16"/>
        <v>0.64999999999999991</v>
      </c>
      <c r="N178" s="138">
        <f t="shared" si="17"/>
        <v>7.1733929603841879</v>
      </c>
      <c r="O178" s="149"/>
      <c r="V178" s="158">
        <f t="shared" si="18"/>
        <v>211.83804195520543</v>
      </c>
      <c r="W178" s="158">
        <f t="shared" si="19"/>
        <v>75.855453673202746</v>
      </c>
      <c r="X178" s="158">
        <f t="shared" si="20"/>
        <v>51.25128822209016</v>
      </c>
      <c r="Y178" s="158">
        <f t="shared" si="21"/>
        <v>38.222225773978458</v>
      </c>
      <c r="Z178" s="158">
        <f t="shared" si="22"/>
        <v>17.915398945634252</v>
      </c>
      <c r="AA178" s="158">
        <f t="shared" si="23"/>
        <v>5.3438037848378004</v>
      </c>
    </row>
    <row r="179" spans="1:27" ht="19.5" thickBot="1" x14ac:dyDescent="0.35">
      <c r="A179" s="142">
        <v>110</v>
      </c>
      <c r="B179" s="143" t="s">
        <v>220</v>
      </c>
      <c r="C179" s="142">
        <v>27</v>
      </c>
      <c r="D179" s="143" t="s">
        <v>240</v>
      </c>
      <c r="E179" s="142">
        <v>554257</v>
      </c>
      <c r="F179" s="143" t="s">
        <v>244</v>
      </c>
      <c r="G179" s="144">
        <v>3.4906875203649386</v>
      </c>
      <c r="H179" s="145">
        <v>12.318490196883767</v>
      </c>
      <c r="I179" s="146">
        <v>8.1072854086467583</v>
      </c>
      <c r="J179" s="147">
        <v>0.82134836850466653</v>
      </c>
      <c r="K179" s="148">
        <v>152</v>
      </c>
      <c r="M179" s="149">
        <f t="shared" si="16"/>
        <v>0.6581395348837209</v>
      </c>
      <c r="N179" s="138">
        <f t="shared" si="17"/>
        <v>8.1072854086467583</v>
      </c>
      <c r="O179" s="149"/>
      <c r="V179" s="158">
        <f t="shared" si="18"/>
        <v>224.64988240270483</v>
      </c>
      <c r="W179" s="158">
        <f t="shared" si="19"/>
        <v>76.829992474733558</v>
      </c>
      <c r="X179" s="158">
        <f t="shared" si="20"/>
        <v>50.084031284388949</v>
      </c>
      <c r="Y179" s="158">
        <f t="shared" si="21"/>
        <v>35.920787289132271</v>
      </c>
      <c r="Z179" s="158">
        <f t="shared" si="22"/>
        <v>13.846248596523075</v>
      </c>
      <c r="AA179" s="158">
        <f t="shared" si="23"/>
        <v>0.1802944742635999</v>
      </c>
    </row>
    <row r="180" spans="1:27" ht="19.5" thickBot="1" x14ac:dyDescent="0.35">
      <c r="A180" s="142">
        <v>110</v>
      </c>
      <c r="B180" s="143" t="s">
        <v>220</v>
      </c>
      <c r="C180" s="142">
        <v>27</v>
      </c>
      <c r="D180" s="143" t="s">
        <v>240</v>
      </c>
      <c r="E180" s="142">
        <v>554321</v>
      </c>
      <c r="F180" s="143" t="s">
        <v>245</v>
      </c>
      <c r="G180" s="144">
        <v>2.5343313424514755</v>
      </c>
      <c r="H180" s="145">
        <v>9.4699535131758434</v>
      </c>
      <c r="I180" s="146">
        <v>6.2935732722981115</v>
      </c>
      <c r="J180" s="147">
        <v>0.86131521509871745</v>
      </c>
      <c r="K180" s="148">
        <v>194</v>
      </c>
      <c r="M180" s="149">
        <f t="shared" si="16"/>
        <v>0.66458333333333319</v>
      </c>
      <c r="N180" s="138">
        <f t="shared" si="17"/>
        <v>6.2935732722981115</v>
      </c>
      <c r="O180" s="149"/>
      <c r="V180" s="158">
        <f t="shared" si="18"/>
        <v>169.37989970535344</v>
      </c>
      <c r="W180" s="158">
        <f t="shared" si="19"/>
        <v>63.099340685601028</v>
      </c>
      <c r="X180" s="158">
        <f t="shared" si="20"/>
        <v>43.869345938510222</v>
      </c>
      <c r="Y180" s="158">
        <f t="shared" si="21"/>
        <v>33.686159561612541</v>
      </c>
      <c r="Z180" s="158">
        <f t="shared" si="22"/>
        <v>17.814856224173653</v>
      </c>
      <c r="AA180" s="158">
        <f t="shared" si="23"/>
        <v>7.9892147333042214</v>
      </c>
    </row>
    <row r="181" spans="1:27" ht="19.5" thickBot="1" x14ac:dyDescent="0.35">
      <c r="A181" s="142">
        <v>110</v>
      </c>
      <c r="B181" s="143" t="s">
        <v>220</v>
      </c>
      <c r="C181" s="142">
        <v>27</v>
      </c>
      <c r="D181" s="143" t="s">
        <v>240</v>
      </c>
      <c r="E181" s="142">
        <v>454355</v>
      </c>
      <c r="F181" s="143" t="s">
        <v>246</v>
      </c>
      <c r="G181" s="144">
        <v>3.729047579312796</v>
      </c>
      <c r="H181" s="145">
        <v>7.2404546806494947</v>
      </c>
      <c r="I181" s="146">
        <v>4.9878687800029855</v>
      </c>
      <c r="J181" s="147">
        <v>0.89008763719089179</v>
      </c>
      <c r="K181" s="148">
        <v>223</v>
      </c>
      <c r="M181" s="149">
        <f t="shared" si="16"/>
        <v>0.68888888888888888</v>
      </c>
      <c r="N181" s="138">
        <f t="shared" si="17"/>
        <v>4.9878687800029855</v>
      </c>
      <c r="O181" s="149"/>
      <c r="V181" s="158">
        <f t="shared" si="18"/>
        <v>248.46619936289827</v>
      </c>
      <c r="W181" s="158">
        <f t="shared" si="19"/>
        <v>97.601154690929675</v>
      </c>
      <c r="X181" s="158">
        <f t="shared" si="20"/>
        <v>70.304214937137118</v>
      </c>
      <c r="Y181" s="158">
        <f t="shared" si="21"/>
        <v>55.849201886555342</v>
      </c>
      <c r="Z181" s="158">
        <f t="shared" si="22"/>
        <v>33.319917988452453</v>
      </c>
      <c r="AA181" s="158">
        <f t="shared" si="23"/>
        <v>19.372439200960674</v>
      </c>
    </row>
    <row r="182" spans="1:27" ht="19.5" thickBot="1" x14ac:dyDescent="0.35">
      <c r="A182" s="142">
        <v>110</v>
      </c>
      <c r="B182" s="143" t="s">
        <v>220</v>
      </c>
      <c r="C182" s="142">
        <v>27</v>
      </c>
      <c r="D182" s="143" t="s">
        <v>240</v>
      </c>
      <c r="E182" s="142">
        <v>554357</v>
      </c>
      <c r="F182" s="143" t="s">
        <v>537</v>
      </c>
      <c r="G182" s="144">
        <v>4.4497067785987827</v>
      </c>
      <c r="H182" s="145">
        <v>5.3936138253940467</v>
      </c>
      <c r="I182" s="146">
        <v>3.7923847209801891</v>
      </c>
      <c r="J182" s="147">
        <v>0.91643124874591353</v>
      </c>
      <c r="K182" s="148">
        <v>245</v>
      </c>
      <c r="M182" s="149">
        <f t="shared" si="16"/>
        <v>0.703125</v>
      </c>
      <c r="N182" s="138">
        <f t="shared" si="17"/>
        <v>3.7923847209801891</v>
      </c>
      <c r="O182" s="149"/>
      <c r="V182" s="158">
        <f t="shared" si="18"/>
        <v>299.07805413126852</v>
      </c>
      <c r="W182" s="158">
        <f t="shared" si="19"/>
        <v>122.70236051790161</v>
      </c>
      <c r="X182" s="158">
        <f t="shared" si="20"/>
        <v>90.789622261893854</v>
      </c>
      <c r="Y182" s="158">
        <f t="shared" si="21"/>
        <v>73.890326878194259</v>
      </c>
      <c r="Z182" s="158">
        <f t="shared" si="22"/>
        <v>47.551435170175729</v>
      </c>
      <c r="AA182" s="158">
        <f t="shared" si="23"/>
        <v>31.245495973654471</v>
      </c>
    </row>
    <row r="183" spans="1:27" ht="19.5" thickBot="1" x14ac:dyDescent="0.35">
      <c r="A183" s="142">
        <v>110</v>
      </c>
      <c r="B183" s="143" t="s">
        <v>220</v>
      </c>
      <c r="C183" s="142">
        <v>27</v>
      </c>
      <c r="D183" s="143" t="s">
        <v>240</v>
      </c>
      <c r="E183" s="142">
        <v>554381</v>
      </c>
      <c r="F183" s="143" t="s">
        <v>248</v>
      </c>
      <c r="G183" s="144">
        <v>4.5199524895653918</v>
      </c>
      <c r="H183" s="145">
        <v>7.7434442244248824</v>
      </c>
      <c r="I183" s="146">
        <v>4.9558043036319246</v>
      </c>
      <c r="J183" s="147">
        <v>0.89079420797605546</v>
      </c>
      <c r="K183" s="148">
        <v>224</v>
      </c>
      <c r="M183" s="149">
        <f t="shared" si="16"/>
        <v>0.64</v>
      </c>
      <c r="N183" s="138">
        <f t="shared" si="17"/>
        <v>4.9558043036319246</v>
      </c>
      <c r="O183" s="149"/>
      <c r="V183" s="158">
        <f t="shared" si="18"/>
        <v>324.42706960257647</v>
      </c>
      <c r="W183" s="158">
        <f t="shared" si="19"/>
        <v>127.59594356273993</v>
      </c>
      <c r="X183" s="158">
        <f t="shared" si="20"/>
        <v>91.982078198082192</v>
      </c>
      <c r="Y183" s="158">
        <f t="shared" si="21"/>
        <v>73.122861990292236</v>
      </c>
      <c r="Z183" s="158">
        <f t="shared" si="22"/>
        <v>43.729278286547142</v>
      </c>
      <c r="AA183" s="158">
        <f t="shared" si="23"/>
        <v>25.532233628999453</v>
      </c>
    </row>
    <row r="184" spans="1:27" ht="19.5" thickBot="1" x14ac:dyDescent="0.35">
      <c r="A184" s="142">
        <v>110</v>
      </c>
      <c r="B184" s="143" t="s">
        <v>220</v>
      </c>
      <c r="C184" s="142">
        <v>27</v>
      </c>
      <c r="D184" s="143" t="s">
        <v>240</v>
      </c>
      <c r="E184" s="142">
        <v>554376</v>
      </c>
      <c r="F184" s="143" t="s">
        <v>538</v>
      </c>
      <c r="G184" s="144">
        <v>3.0343497082627509</v>
      </c>
      <c r="H184" s="145">
        <v>17.796234841671065</v>
      </c>
      <c r="I184" s="146">
        <v>11.567552647086194</v>
      </c>
      <c r="J184" s="147">
        <v>0.74509813721297669</v>
      </c>
      <c r="K184" s="148">
        <v>77</v>
      </c>
      <c r="M184" s="149">
        <f t="shared" si="16"/>
        <v>0.65</v>
      </c>
      <c r="N184" s="138">
        <f t="shared" si="17"/>
        <v>11.567552647086194</v>
      </c>
      <c r="O184" s="149"/>
      <c r="V184" s="158">
        <f t="shared" si="18"/>
        <v>179.37072192117216</v>
      </c>
      <c r="W184" s="158">
        <f t="shared" si="19"/>
        <v>49.266270396999992</v>
      </c>
      <c r="X184" s="158">
        <f t="shared" si="20"/>
        <v>25.725672356694446</v>
      </c>
      <c r="Y184" s="158">
        <f t="shared" si="21"/>
        <v>13.259818859551441</v>
      </c>
      <c r="Z184" s="158">
        <f t="shared" si="22"/>
        <v>-6.1692021649567241</v>
      </c>
      <c r="AA184" s="158">
        <f t="shared" si="23"/>
        <v>-18.197363371797305</v>
      </c>
    </row>
    <row r="185" spans="1:27" ht="19.5" thickBot="1" x14ac:dyDescent="0.35">
      <c r="A185" s="142">
        <v>110</v>
      </c>
      <c r="B185" s="143" t="s">
        <v>220</v>
      </c>
      <c r="C185" s="142">
        <v>27</v>
      </c>
      <c r="D185" s="143" t="s">
        <v>240</v>
      </c>
      <c r="E185" s="142">
        <v>554416</v>
      </c>
      <c r="F185" s="143" t="s">
        <v>250</v>
      </c>
      <c r="G185" s="144">
        <v>3.9243355211097128</v>
      </c>
      <c r="H185" s="145">
        <v>7.3897860781790286</v>
      </c>
      <c r="I185" s="146">
        <v>4.7141738774590358</v>
      </c>
      <c r="J185" s="147">
        <v>0.89611876085397191</v>
      </c>
      <c r="K185" s="148">
        <v>228</v>
      </c>
      <c r="M185" s="149">
        <f t="shared" si="16"/>
        <v>0.63793103448275867</v>
      </c>
      <c r="N185" s="138">
        <f t="shared" si="17"/>
        <v>4.7141738774590358</v>
      </c>
      <c r="O185" s="149"/>
      <c r="V185" s="158">
        <f t="shared" si="18"/>
        <v>284.27834207599795</v>
      </c>
      <c r="W185" s="158">
        <f t="shared" si="19"/>
        <v>112.83039782883357</v>
      </c>
      <c r="X185" s="158">
        <f t="shared" si="20"/>
        <v>81.8092675517549</v>
      </c>
      <c r="Y185" s="158">
        <f t="shared" si="21"/>
        <v>65.382120514634394</v>
      </c>
      <c r="Z185" s="158">
        <f t="shared" si="22"/>
        <v>39.779109438814444</v>
      </c>
      <c r="AA185" s="158">
        <f t="shared" si="23"/>
        <v>23.928740847827591</v>
      </c>
    </row>
    <row r="186" spans="1:27" ht="19.5" thickBot="1" x14ac:dyDescent="0.35">
      <c r="A186" s="142">
        <v>110</v>
      </c>
      <c r="B186" s="143" t="s">
        <v>220</v>
      </c>
      <c r="C186" s="142">
        <v>27</v>
      </c>
      <c r="D186" s="143" t="s">
        <v>240</v>
      </c>
      <c r="E186" s="142">
        <v>454466</v>
      </c>
      <c r="F186" s="143" t="s">
        <v>251</v>
      </c>
      <c r="G186" s="144">
        <v>1.8288818863853922</v>
      </c>
      <c r="H186" s="145">
        <v>2.1871286657585158</v>
      </c>
      <c r="I186" s="146">
        <v>1.4216336327430352</v>
      </c>
      <c r="J186" s="147">
        <v>0.96867297065830393</v>
      </c>
      <c r="K186" s="148">
        <v>274</v>
      </c>
      <c r="M186" s="149">
        <f t="shared" si="16"/>
        <v>0.65</v>
      </c>
      <c r="N186" s="138">
        <f t="shared" si="17"/>
        <v>1.4216336327430352</v>
      </c>
      <c r="O186" s="149"/>
      <c r="V186" s="158">
        <f t="shared" si="18"/>
        <v>140.55143593450498</v>
      </c>
      <c r="W186" s="158">
        <f t="shared" si="19"/>
        <v>62.134082099934844</v>
      </c>
      <c r="X186" s="158">
        <f t="shared" si="20"/>
        <v>47.945548315131475</v>
      </c>
      <c r="Y186" s="158">
        <f t="shared" si="21"/>
        <v>40.432052557810984</v>
      </c>
      <c r="Z186" s="158">
        <f t="shared" si="22"/>
        <v>28.721673716122439</v>
      </c>
      <c r="AA186" s="158">
        <f t="shared" si="23"/>
        <v>21.471986543344745</v>
      </c>
    </row>
    <row r="187" spans="1:27" ht="19.5" thickBot="1" x14ac:dyDescent="0.35">
      <c r="A187" s="142">
        <v>110</v>
      </c>
      <c r="B187" s="143" t="s">
        <v>220</v>
      </c>
      <c r="C187" s="142">
        <v>27</v>
      </c>
      <c r="D187" s="143" t="s">
        <v>240</v>
      </c>
      <c r="E187" s="142">
        <v>554496</v>
      </c>
      <c r="F187" s="143" t="s">
        <v>252</v>
      </c>
      <c r="G187" s="144">
        <v>3.0121534750010834</v>
      </c>
      <c r="H187" s="145">
        <v>18.591350163517102</v>
      </c>
      <c r="I187" s="146">
        <v>12.740054687945872</v>
      </c>
      <c r="J187" s="147">
        <v>0.71926095596513495</v>
      </c>
      <c r="K187" s="148">
        <v>62</v>
      </c>
      <c r="M187" s="149">
        <f t="shared" si="16"/>
        <v>0.6852678571428571</v>
      </c>
      <c r="N187" s="138">
        <f t="shared" si="17"/>
        <v>12.740054687945872</v>
      </c>
      <c r="O187" s="149"/>
      <c r="V187" s="158">
        <f t="shared" si="18"/>
        <v>163.03806939497707</v>
      </c>
      <c r="W187" s="158">
        <f t="shared" si="19"/>
        <v>40.532279219382005</v>
      </c>
      <c r="X187" s="158">
        <f t="shared" si="20"/>
        <v>18.366553678485339</v>
      </c>
      <c r="Y187" s="158">
        <f t="shared" si="21"/>
        <v>6.6287598137075365</v>
      </c>
      <c r="Z187" s="158">
        <f t="shared" si="22"/>
        <v>-11.665522549900981</v>
      </c>
      <c r="AA187" s="158">
        <f t="shared" si="23"/>
        <v>-22.991187242701123</v>
      </c>
    </row>
    <row r="188" spans="1:27" ht="19.5" thickBot="1" x14ac:dyDescent="0.35">
      <c r="A188" s="142">
        <v>110</v>
      </c>
      <c r="B188" s="143" t="s">
        <v>220</v>
      </c>
      <c r="C188" s="142">
        <v>27</v>
      </c>
      <c r="D188" s="143" t="s">
        <v>240</v>
      </c>
      <c r="E188" s="142">
        <v>554516</v>
      </c>
      <c r="F188" s="143" t="s">
        <v>253</v>
      </c>
      <c r="G188" s="144">
        <v>2.6973816843382079</v>
      </c>
      <c r="H188" s="145">
        <v>11.492626416200245</v>
      </c>
      <c r="I188" s="146">
        <v>7.7297180896056492</v>
      </c>
      <c r="J188" s="147">
        <v>0.82966841820639181</v>
      </c>
      <c r="K188" s="148">
        <v>159</v>
      </c>
      <c r="M188" s="149">
        <f t="shared" si="16"/>
        <v>0.67258064516129035</v>
      </c>
      <c r="N188" s="138">
        <f t="shared" si="17"/>
        <v>7.7297180896056492</v>
      </c>
      <c r="O188" s="149"/>
      <c r="V188" s="158">
        <f t="shared" si="18"/>
        <v>171.58858817371879</v>
      </c>
      <c r="W188" s="158">
        <f t="shared" si="19"/>
        <v>59.815327635690352</v>
      </c>
      <c r="X188" s="158">
        <f t="shared" si="20"/>
        <v>39.591504644582173</v>
      </c>
      <c r="Y188" s="158">
        <f t="shared" si="21"/>
        <v>28.882039484535849</v>
      </c>
      <c r="Z188" s="158">
        <f t="shared" si="22"/>
        <v>12.190488937799087</v>
      </c>
      <c r="AA188" s="158">
        <f t="shared" si="23"/>
        <v>1.8570469946860406</v>
      </c>
    </row>
    <row r="189" spans="1:27" ht="19.5" thickBot="1" x14ac:dyDescent="0.35">
      <c r="A189" s="142">
        <v>110</v>
      </c>
      <c r="B189" s="143" t="s">
        <v>220</v>
      </c>
      <c r="C189" s="142">
        <v>27</v>
      </c>
      <c r="D189" s="143" t="s">
        <v>240</v>
      </c>
      <c r="E189" s="142">
        <v>554531</v>
      </c>
      <c r="F189" s="143" t="s">
        <v>254</v>
      </c>
      <c r="G189" s="144">
        <v>2.5112282917332012</v>
      </c>
      <c r="H189" s="145">
        <v>21.901632830856673</v>
      </c>
      <c r="I189" s="146">
        <v>14.236061340056837</v>
      </c>
      <c r="J189" s="147">
        <v>0.6862950474450713</v>
      </c>
      <c r="K189" s="148">
        <v>48</v>
      </c>
      <c r="M189" s="149">
        <f t="shared" si="16"/>
        <v>0.65</v>
      </c>
      <c r="N189" s="138">
        <f t="shared" si="17"/>
        <v>14.236061340056837</v>
      </c>
      <c r="O189" s="149"/>
      <c r="V189" s="158">
        <f t="shared" si="18"/>
        <v>136.73179245650081</v>
      </c>
      <c r="W189" s="158">
        <f t="shared" si="19"/>
        <v>29.057328086673987</v>
      </c>
      <c r="X189" s="158">
        <f t="shared" si="20"/>
        <v>9.5751254776082479</v>
      </c>
      <c r="Y189" s="158">
        <f t="shared" si="21"/>
        <v>-0.74161682054615219</v>
      </c>
      <c r="Z189" s="158">
        <f t="shared" si="22"/>
        <v>-16.821077650180758</v>
      </c>
      <c r="AA189" s="158">
        <f t="shared" si="23"/>
        <v>-26.775585740627356</v>
      </c>
    </row>
    <row r="190" spans="1:27" ht="19.5" thickBot="1" x14ac:dyDescent="0.35">
      <c r="A190" s="142">
        <v>110</v>
      </c>
      <c r="B190" s="143" t="s">
        <v>220</v>
      </c>
      <c r="C190" s="142">
        <v>27</v>
      </c>
      <c r="D190" s="143" t="s">
        <v>240</v>
      </c>
      <c r="E190" s="142">
        <v>554533</v>
      </c>
      <c r="F190" s="143" t="s">
        <v>255</v>
      </c>
      <c r="G190" s="144">
        <v>3.5167137566137558</v>
      </c>
      <c r="H190" s="145">
        <v>2.8435638189754178</v>
      </c>
      <c r="I190" s="146">
        <v>3.0994845626832057</v>
      </c>
      <c r="J190" s="147">
        <v>0.93169995306599407</v>
      </c>
      <c r="K190" s="148">
        <v>256</v>
      </c>
      <c r="M190" s="149">
        <f t="shared" si="16"/>
        <v>1.0900000000000001</v>
      </c>
      <c r="N190" s="138">
        <f t="shared" si="17"/>
        <v>3.0994845626832057</v>
      </c>
      <c r="O190" s="149"/>
      <c r="V190" s="158">
        <f t="shared" si="18"/>
        <v>155.01452695763248</v>
      </c>
      <c r="W190" s="158">
        <f t="shared" si="19"/>
        <v>65.095747441734773</v>
      </c>
      <c r="X190" s="158">
        <f t="shared" si="20"/>
        <v>48.826190020286063</v>
      </c>
      <c r="Y190" s="158">
        <f t="shared" si="21"/>
        <v>40.210694401530624</v>
      </c>
      <c r="Z190" s="158">
        <f t="shared" si="22"/>
        <v>26.782761404265667</v>
      </c>
      <c r="AA190" s="158">
        <f t="shared" si="23"/>
        <v>18.469767014995064</v>
      </c>
    </row>
    <row r="191" spans="1:27" ht="19.5" thickBot="1" x14ac:dyDescent="0.35">
      <c r="A191" s="142">
        <v>110</v>
      </c>
      <c r="B191" s="143" t="s">
        <v>220</v>
      </c>
      <c r="C191" s="142">
        <v>27</v>
      </c>
      <c r="D191" s="143" t="s">
        <v>240</v>
      </c>
      <c r="E191" s="142">
        <v>454535</v>
      </c>
      <c r="F191" s="143" t="s">
        <v>256</v>
      </c>
      <c r="G191" s="144">
        <v>7.4460326411109019</v>
      </c>
      <c r="H191" s="145">
        <v>13.967169499875284</v>
      </c>
      <c r="I191" s="146">
        <v>8.9846503802082367</v>
      </c>
      <c r="J191" s="147">
        <v>0.80201480915826162</v>
      </c>
      <c r="K191" s="148">
        <v>124</v>
      </c>
      <c r="M191" s="149">
        <f t="shared" si="16"/>
        <v>0.64326923076923082</v>
      </c>
      <c r="N191" s="138">
        <f t="shared" si="17"/>
        <v>8.9846503802082367</v>
      </c>
      <c r="O191" s="149"/>
      <c r="V191" s="158">
        <f t="shared" si="18"/>
        <v>478.74069748395243</v>
      </c>
      <c r="W191" s="158">
        <f t="shared" si="19"/>
        <v>156.13499609402743</v>
      </c>
      <c r="X191" s="158">
        <f t="shared" si="20"/>
        <v>97.763963796795778</v>
      </c>
      <c r="Y191" s="158">
        <f t="shared" si="21"/>
        <v>66.853757698869117</v>
      </c>
      <c r="Z191" s="158">
        <f t="shared" si="22"/>
        <v>18.677750794397163</v>
      </c>
      <c r="AA191" s="158">
        <f t="shared" si="23"/>
        <v>-11.147157862498094</v>
      </c>
    </row>
    <row r="192" spans="1:27" ht="19.5" thickBot="1" x14ac:dyDescent="0.35">
      <c r="A192" s="142">
        <v>110</v>
      </c>
      <c r="B192" s="143" t="s">
        <v>220</v>
      </c>
      <c r="C192" s="142">
        <v>27</v>
      </c>
      <c r="D192" s="143" t="s">
        <v>240</v>
      </c>
      <c r="E192" s="142">
        <v>454651</v>
      </c>
      <c r="F192" s="143" t="s">
        <v>539</v>
      </c>
      <c r="G192" s="144">
        <v>10.895669109990308</v>
      </c>
      <c r="H192" s="145">
        <v>67.733334460691637</v>
      </c>
      <c r="I192" s="146">
        <v>45.380416292803503</v>
      </c>
      <c r="J192" s="147">
        <v>0</v>
      </c>
      <c r="K192" s="148">
        <v>1</v>
      </c>
      <c r="M192" s="149">
        <f t="shared" si="16"/>
        <v>0.66998644986449873</v>
      </c>
      <c r="N192" s="138">
        <f t="shared" si="17"/>
        <v>45.380416292803503</v>
      </c>
      <c r="O192" s="149"/>
      <c r="V192" s="158">
        <f t="shared" si="18"/>
        <v>0</v>
      </c>
      <c r="W192" s="158">
        <f t="shared" si="19"/>
        <v>-453.23951635540459</v>
      </c>
      <c r="X192" s="158">
        <f t="shared" si="20"/>
        <v>-535.24692767386182</v>
      </c>
      <c r="Y192" s="158">
        <f t="shared" si="21"/>
        <v>-578.67370780177089</v>
      </c>
      <c r="Z192" s="158">
        <f t="shared" si="22"/>
        <v>-646.3577877025341</v>
      </c>
      <c r="AA192" s="158">
        <f t="shared" si="23"/>
        <v>-688.25979723539319</v>
      </c>
    </row>
    <row r="193" spans="1:27" ht="19.5" thickBot="1" x14ac:dyDescent="0.35">
      <c r="A193" s="142">
        <v>110</v>
      </c>
      <c r="B193" s="143" t="s">
        <v>220</v>
      </c>
      <c r="C193" s="142">
        <v>27</v>
      </c>
      <c r="D193" s="143" t="s">
        <v>240</v>
      </c>
      <c r="E193" s="142">
        <v>554686</v>
      </c>
      <c r="F193" s="143" t="s">
        <v>258</v>
      </c>
      <c r="G193" s="144">
        <v>1.7385762385762389</v>
      </c>
      <c r="H193" s="145">
        <v>12.078849080094063</v>
      </c>
      <c r="I193" s="146">
        <v>7.8512519020611418</v>
      </c>
      <c r="J193" s="147">
        <v>0.82699030675692131</v>
      </c>
      <c r="K193" s="148">
        <v>157</v>
      </c>
      <c r="M193" s="149">
        <f t="shared" si="16"/>
        <v>0.65</v>
      </c>
      <c r="N193" s="138">
        <f t="shared" si="17"/>
        <v>7.8512519020611418</v>
      </c>
      <c r="O193" s="149"/>
      <c r="V193" s="158">
        <f t="shared" si="18"/>
        <v>114.06872983105976</v>
      </c>
      <c r="W193" s="158">
        <f t="shared" si="19"/>
        <v>39.523430277428652</v>
      </c>
      <c r="X193" s="158">
        <f t="shared" si="20"/>
        <v>26.035491071442571</v>
      </c>
      <c r="Y193" s="158">
        <f t="shared" si="21"/>
        <v>18.892993084249905</v>
      </c>
      <c r="Z193" s="158">
        <f t="shared" si="22"/>
        <v>7.7608436816856949</v>
      </c>
      <c r="AA193" s="158">
        <f t="shared" si="23"/>
        <v>0.86912806596974657</v>
      </c>
    </row>
    <row r="194" spans="1:27" ht="19.5" thickBot="1" x14ac:dyDescent="0.35">
      <c r="A194" s="142">
        <v>110</v>
      </c>
      <c r="B194" s="143" t="s">
        <v>220</v>
      </c>
      <c r="C194" s="142">
        <v>27</v>
      </c>
      <c r="D194" s="143" t="s">
        <v>240</v>
      </c>
      <c r="E194" s="142">
        <v>454696</v>
      </c>
      <c r="F194" s="143" t="s">
        <v>259</v>
      </c>
      <c r="G194" s="144">
        <v>4.5380946795140344</v>
      </c>
      <c r="H194" s="145">
        <v>5.9496334710432519</v>
      </c>
      <c r="I194" s="146">
        <v>4.2253415484168286</v>
      </c>
      <c r="J194" s="147">
        <v>0.90689063931996394</v>
      </c>
      <c r="K194" s="148">
        <v>237</v>
      </c>
      <c r="M194" s="149">
        <f t="shared" si="16"/>
        <v>0.71018518518518525</v>
      </c>
      <c r="N194" s="138">
        <f t="shared" si="17"/>
        <v>4.2253415484168286</v>
      </c>
      <c r="O194" s="149"/>
      <c r="V194" s="158">
        <f t="shared" si="18"/>
        <v>298.8427103696572</v>
      </c>
      <c r="W194" s="158">
        <f t="shared" si="19"/>
        <v>120.75177081116968</v>
      </c>
      <c r="X194" s="158">
        <f t="shared" si="20"/>
        <v>88.52868256435589</v>
      </c>
      <c r="Y194" s="158">
        <f t="shared" si="21"/>
        <v>71.465042268449565</v>
      </c>
      <c r="Z194" s="158">
        <f t="shared" si="22"/>
        <v>44.870005984749412</v>
      </c>
      <c r="AA194" s="158">
        <f t="shared" si="23"/>
        <v>28.405492239120907</v>
      </c>
    </row>
    <row r="195" spans="1:27" ht="19.5" thickBot="1" x14ac:dyDescent="0.35">
      <c r="A195" s="142">
        <v>110</v>
      </c>
      <c r="B195" s="143" t="s">
        <v>220</v>
      </c>
      <c r="C195" s="142">
        <v>31</v>
      </c>
      <c r="D195" s="143" t="s">
        <v>260</v>
      </c>
      <c r="E195" s="142">
        <v>455151</v>
      </c>
      <c r="F195" s="143" t="s">
        <v>261</v>
      </c>
      <c r="G195" s="144">
        <v>9.600868431864221</v>
      </c>
      <c r="H195" s="145">
        <v>16.144372886683055</v>
      </c>
      <c r="I195" s="146">
        <v>10.834957351852935</v>
      </c>
      <c r="J195" s="147">
        <v>0.76124156107463559</v>
      </c>
      <c r="K195" s="148">
        <v>94</v>
      </c>
      <c r="M195" s="149">
        <f t="shared" si="16"/>
        <v>0.67112903225806464</v>
      </c>
      <c r="N195" s="138">
        <f t="shared" si="17"/>
        <v>10.834957351852935</v>
      </c>
      <c r="O195" s="149"/>
      <c r="V195" s="158">
        <f t="shared" si="18"/>
        <v>561.58149223981604</v>
      </c>
      <c r="W195" s="158">
        <f t="shared" si="19"/>
        <v>162.88320213198702</v>
      </c>
      <c r="X195" s="158">
        <f t="shared" si="20"/>
        <v>90.744270090589652</v>
      </c>
      <c r="Y195" s="158">
        <f t="shared" si="21"/>
        <v>52.543313737284429</v>
      </c>
      <c r="Z195" s="158">
        <f t="shared" si="22"/>
        <v>-6.9959054838294179</v>
      </c>
      <c r="AA195" s="158">
        <f t="shared" si="23"/>
        <v>-43.855576695138296</v>
      </c>
    </row>
    <row r="196" spans="1:27" ht="19.5" thickBot="1" x14ac:dyDescent="0.35">
      <c r="A196" s="142">
        <v>110</v>
      </c>
      <c r="B196" s="143" t="s">
        <v>220</v>
      </c>
      <c r="C196" s="142">
        <v>31</v>
      </c>
      <c r="D196" s="143" t="s">
        <v>260</v>
      </c>
      <c r="E196" s="142">
        <v>455231</v>
      </c>
      <c r="F196" s="143" t="s">
        <v>262</v>
      </c>
      <c r="G196" s="144">
        <v>4.5932318577479867</v>
      </c>
      <c r="H196" s="145">
        <v>20.682604959240507</v>
      </c>
      <c r="I196" s="146">
        <v>14.205683932530981</v>
      </c>
      <c r="J196" s="147">
        <v>0.6869644420872415</v>
      </c>
      <c r="K196" s="148">
        <v>49</v>
      </c>
      <c r="M196" s="149">
        <f t="shared" si="16"/>
        <v>0.68684210526315792</v>
      </c>
      <c r="N196" s="138">
        <f t="shared" si="17"/>
        <v>14.205683932530981</v>
      </c>
      <c r="O196" s="149"/>
      <c r="V196" s="158">
        <f t="shared" si="18"/>
        <v>236.90897795589044</v>
      </c>
      <c r="W196" s="158">
        <f t="shared" si="19"/>
        <v>50.528106178022263</v>
      </c>
      <c r="X196" s="158">
        <f t="shared" si="20"/>
        <v>16.805069544572696</v>
      </c>
      <c r="Y196" s="158">
        <f t="shared" si="21"/>
        <v>-1.052863946819292</v>
      </c>
      <c r="Z196" s="158">
        <f t="shared" si="22"/>
        <v>-28.885869150838591</v>
      </c>
      <c r="AA196" s="158">
        <f t="shared" si="23"/>
        <v>-46.116787427291051</v>
      </c>
    </row>
    <row r="197" spans="1:27" ht="19.5" thickBot="1" x14ac:dyDescent="0.35">
      <c r="A197" s="142">
        <v>110</v>
      </c>
      <c r="B197" s="143" t="s">
        <v>220</v>
      </c>
      <c r="C197" s="142">
        <v>31</v>
      </c>
      <c r="D197" s="143" t="s">
        <v>260</v>
      </c>
      <c r="E197" s="142">
        <v>455298</v>
      </c>
      <c r="F197" s="143" t="s">
        <v>263</v>
      </c>
      <c r="G197" s="144">
        <v>1.9563433722788568</v>
      </c>
      <c r="H197" s="145">
        <v>12.267785062723153</v>
      </c>
      <c r="I197" s="146">
        <v>8.2679759745644592</v>
      </c>
      <c r="J197" s="147">
        <v>0.81780740129799989</v>
      </c>
      <c r="K197" s="148">
        <v>144</v>
      </c>
      <c r="M197" s="149">
        <f t="shared" si="16"/>
        <v>0.67395833333333344</v>
      </c>
      <c r="N197" s="138">
        <f t="shared" si="17"/>
        <v>8.2679759745644592</v>
      </c>
      <c r="O197" s="149"/>
      <c r="V197" s="158">
        <f t="shared" si="18"/>
        <v>122.41901359395516</v>
      </c>
      <c r="W197" s="158">
        <f t="shared" si="19"/>
        <v>41.518381121223371</v>
      </c>
      <c r="X197" s="158">
        <f t="shared" si="20"/>
        <v>26.880532470109081</v>
      </c>
      <c r="Y197" s="158">
        <f t="shared" si="21"/>
        <v>19.129103365134029</v>
      </c>
      <c r="Z197" s="158">
        <f t="shared" si="22"/>
        <v>7.0478865366945778</v>
      </c>
      <c r="AA197" s="158">
        <f t="shared" si="23"/>
        <v>-0.43137983519116446</v>
      </c>
    </row>
    <row r="198" spans="1:27" ht="19.5" thickBot="1" x14ac:dyDescent="0.35">
      <c r="A198" s="142">
        <v>110</v>
      </c>
      <c r="B198" s="143" t="s">
        <v>220</v>
      </c>
      <c r="C198" s="142">
        <v>31</v>
      </c>
      <c r="D198" s="143" t="s">
        <v>260</v>
      </c>
      <c r="E198" s="142">
        <v>555406</v>
      </c>
      <c r="F198" s="143" t="s">
        <v>264</v>
      </c>
      <c r="G198" s="144">
        <v>2.6404956531183768</v>
      </c>
      <c r="H198" s="145">
        <v>7.1956187383082222</v>
      </c>
      <c r="I198" s="146">
        <v>4.6771521799003448</v>
      </c>
      <c r="J198" s="147">
        <v>0.89693456865352605</v>
      </c>
      <c r="K198" s="148">
        <v>230</v>
      </c>
      <c r="M198" s="149">
        <f t="shared" ref="M198:M261" si="24">IF(ISERROR(I198/H198),$O$3,(I198/H198))</f>
        <v>0.65</v>
      </c>
      <c r="N198" s="138">
        <f t="shared" ref="N198:N261" si="25">I198</f>
        <v>4.6771521799003448</v>
      </c>
      <c r="O198" s="149"/>
      <c r="V198" s="158">
        <f t="shared" ref="V198:V261" si="26">(((($O$5-N198))/M198)*G198)+((((($O$5-N198)/$T$2))*$T$3/M198)*G198)</f>
        <v>187.89648943680072</v>
      </c>
      <c r="W198" s="158">
        <f t="shared" ref="W198:W261" si="27">(((($P$5-N198))/M198)*G198)+((((($P$5-N198)/$T$2))*$T$3/M198)*G198)</f>
        <v>74.679401187070425</v>
      </c>
      <c r="X198" s="158">
        <f t="shared" ref="X198:X261" si="28">(((($Q$5-N198))/M198)*G198)+((((($Q$5-N198)/$T$2))*$T$3/M198)*G198)</f>
        <v>54.194337574273646</v>
      </c>
      <c r="Y198" s="158">
        <f t="shared" ref="Y198:Y261" si="29">(((($R$5-N198))/M198)*G198)+((((($R$5-N198)/$T$2))*$T$3/M198)*G198)</f>
        <v>43.346533221998783</v>
      </c>
      <c r="Z198" s="158">
        <f t="shared" ref="Z198:Z261" si="30">(((($S$5-N198))/M198)*G198)+((((($S$5-N198)/$T$2))*$T$3/M198)*G198)</f>
        <v>26.439370076017397</v>
      </c>
      <c r="AA198" s="158">
        <f t="shared" ref="AA198:AA261" si="31">(((($T$5-N198))/M198)*G198)+((((($T$5-N198)/$T$2))*$T$3/M198)*G198)</f>
        <v>15.972446209205325</v>
      </c>
    </row>
    <row r="199" spans="1:27" ht="19.5" thickBot="1" x14ac:dyDescent="0.35">
      <c r="A199" s="142">
        <v>110</v>
      </c>
      <c r="B199" s="143" t="s">
        <v>220</v>
      </c>
      <c r="C199" s="142">
        <v>31</v>
      </c>
      <c r="D199" s="143" t="s">
        <v>260</v>
      </c>
      <c r="E199" s="142">
        <v>554412</v>
      </c>
      <c r="F199" s="143" t="s">
        <v>265</v>
      </c>
      <c r="G199" s="144">
        <v>2.6921407279830221</v>
      </c>
      <c r="H199" s="145">
        <v>8.543386963738639</v>
      </c>
      <c r="I199" s="146">
        <v>5.42319346393844</v>
      </c>
      <c r="J199" s="147">
        <v>0.88049484982802029</v>
      </c>
      <c r="K199" s="148">
        <v>214</v>
      </c>
      <c r="M199" s="149">
        <f t="shared" si="24"/>
        <v>0.63478260869565217</v>
      </c>
      <c r="N199" s="138">
        <f t="shared" si="25"/>
        <v>5.42319346393844</v>
      </c>
      <c r="O199" s="149"/>
      <c r="V199" s="158">
        <f t="shared" si="26"/>
        <v>192.56855074390211</v>
      </c>
      <c r="W199" s="158">
        <f t="shared" si="27"/>
        <v>74.369872608305357</v>
      </c>
      <c r="X199" s="158">
        <f t="shared" si="28"/>
        <v>52.983459320451196</v>
      </c>
      <c r="Y199" s="158">
        <f t="shared" si="29"/>
        <v>41.658347935460981</v>
      </c>
      <c r="Z199" s="158">
        <f t="shared" si="30"/>
        <v>24.007263935933747</v>
      </c>
      <c r="AA199" s="158">
        <f t="shared" si="31"/>
        <v>13.079791905614478</v>
      </c>
    </row>
    <row r="200" spans="1:27" ht="19.5" thickBot="1" x14ac:dyDescent="0.35">
      <c r="A200" s="142">
        <v>110</v>
      </c>
      <c r="B200" s="143" t="s">
        <v>220</v>
      </c>
      <c r="C200" s="142">
        <v>31</v>
      </c>
      <c r="D200" s="143" t="s">
        <v>260</v>
      </c>
      <c r="E200" s="142">
        <v>554413</v>
      </c>
      <c r="F200" s="143" t="s">
        <v>266</v>
      </c>
      <c r="G200" s="144">
        <v>3.8745519713261647</v>
      </c>
      <c r="H200" s="145">
        <v>14.453283996299723</v>
      </c>
      <c r="I200" s="146">
        <v>9.3946345975948198</v>
      </c>
      <c r="J200" s="147">
        <v>0.79298042272290414</v>
      </c>
      <c r="K200" s="148">
        <v>118</v>
      </c>
      <c r="M200" s="149">
        <f t="shared" si="24"/>
        <v>0.65</v>
      </c>
      <c r="N200" s="138">
        <f t="shared" si="25"/>
        <v>9.3946345975948198</v>
      </c>
      <c r="O200" s="149"/>
      <c r="V200" s="158">
        <f t="shared" si="26"/>
        <v>243.75661085119549</v>
      </c>
      <c r="W200" s="158">
        <f t="shared" si="27"/>
        <v>77.626629933504887</v>
      </c>
      <c r="X200" s="158">
        <f t="shared" si="28"/>
        <v>47.567711445997219</v>
      </c>
      <c r="Y200" s="158">
        <f t="shared" si="29"/>
        <v>31.650100792849582</v>
      </c>
      <c r="Z200" s="158">
        <f t="shared" si="30"/>
        <v>6.8412425697989567</v>
      </c>
      <c r="AA200" s="158">
        <f t="shared" si="31"/>
        <v>-8.5174801207623112</v>
      </c>
    </row>
    <row r="201" spans="1:27" ht="19.5" thickBot="1" x14ac:dyDescent="0.35">
      <c r="A201" s="142">
        <v>110</v>
      </c>
      <c r="B201" s="143" t="s">
        <v>220</v>
      </c>
      <c r="C201" s="142">
        <v>31</v>
      </c>
      <c r="D201" s="143" t="s">
        <v>260</v>
      </c>
      <c r="E201" s="142">
        <v>454414</v>
      </c>
      <c r="F201" s="143" t="s">
        <v>267</v>
      </c>
      <c r="G201" s="144">
        <v>3.2393056718394044</v>
      </c>
      <c r="H201" s="145">
        <v>12.03961711271733</v>
      </c>
      <c r="I201" s="146">
        <v>8.2579425067997061</v>
      </c>
      <c r="J201" s="147">
        <v>0.81802849816277989</v>
      </c>
      <c r="K201" s="148">
        <v>145</v>
      </c>
      <c r="M201" s="149">
        <f t="shared" si="24"/>
        <v>0.68589743589743579</v>
      </c>
      <c r="N201" s="138">
        <f t="shared" si="25"/>
        <v>8.2579425067997061</v>
      </c>
      <c r="O201" s="149"/>
      <c r="V201" s="158">
        <f t="shared" si="26"/>
        <v>199.22644671286139</v>
      </c>
      <c r="W201" s="158">
        <f t="shared" si="27"/>
        <v>67.603189681963443</v>
      </c>
      <c r="X201" s="158">
        <f t="shared" si="28"/>
        <v>43.787784826699749</v>
      </c>
      <c r="Y201" s="158">
        <f t="shared" si="29"/>
        <v>31.176408200134993</v>
      </c>
      <c r="Z201" s="158">
        <f t="shared" si="30"/>
        <v>11.520577840691573</v>
      </c>
      <c r="AA201" s="158">
        <f t="shared" si="31"/>
        <v>-0.64799698968548369</v>
      </c>
    </row>
    <row r="202" spans="1:27" ht="19.5" thickBot="1" x14ac:dyDescent="0.35">
      <c r="A202" s="142">
        <v>110</v>
      </c>
      <c r="B202" s="143" t="s">
        <v>220</v>
      </c>
      <c r="C202" s="142">
        <v>31</v>
      </c>
      <c r="D202" s="143" t="s">
        <v>260</v>
      </c>
      <c r="E202" s="142">
        <v>455456</v>
      </c>
      <c r="F202" s="143" t="s">
        <v>268</v>
      </c>
      <c r="G202" s="144">
        <v>1.6022852177690901</v>
      </c>
      <c r="H202" s="145">
        <v>1.8723258298400769</v>
      </c>
      <c r="I202" s="146">
        <v>0.99857377591470775</v>
      </c>
      <c r="J202" s="147">
        <v>0.97799549106223027</v>
      </c>
      <c r="K202" s="148">
        <v>277</v>
      </c>
      <c r="M202" s="149">
        <f t="shared" si="24"/>
        <v>0.53333333333333333</v>
      </c>
      <c r="N202" s="138">
        <f t="shared" si="25"/>
        <v>0.99857377591470775</v>
      </c>
      <c r="O202" s="149"/>
      <c r="V202" s="158">
        <f t="shared" si="26"/>
        <v>151.51783423757092</v>
      </c>
      <c r="W202" s="158">
        <f t="shared" si="27"/>
        <v>67.787855824244872</v>
      </c>
      <c r="X202" s="158">
        <f t="shared" si="28"/>
        <v>52.638076222850032</v>
      </c>
      <c r="Y202" s="158">
        <f t="shared" si="29"/>
        <v>44.615555609667581</v>
      </c>
      <c r="Z202" s="158">
        <f t="shared" si="30"/>
        <v>32.111821172326799</v>
      </c>
      <c r="AA202" s="158">
        <f t="shared" si="31"/>
        <v>24.370981666818754</v>
      </c>
    </row>
    <row r="203" spans="1:27" ht="19.5" thickBot="1" x14ac:dyDescent="0.35">
      <c r="A203" s="142">
        <v>110</v>
      </c>
      <c r="B203" s="143" t="s">
        <v>220</v>
      </c>
      <c r="C203" s="142">
        <v>31</v>
      </c>
      <c r="D203" s="143" t="s">
        <v>260</v>
      </c>
      <c r="E203" s="142">
        <v>455566</v>
      </c>
      <c r="F203" s="143" t="s">
        <v>269</v>
      </c>
      <c r="G203" s="144">
        <v>2.8902111342504053</v>
      </c>
      <c r="H203" s="145">
        <v>20.067738066839421</v>
      </c>
      <c r="I203" s="146">
        <v>13.286226582183341</v>
      </c>
      <c r="J203" s="147">
        <v>0.70722554644589519</v>
      </c>
      <c r="K203" s="148">
        <v>58</v>
      </c>
      <c r="M203" s="149">
        <f t="shared" si="24"/>
        <v>0.66206896551724137</v>
      </c>
      <c r="N203" s="138">
        <f t="shared" si="25"/>
        <v>13.286226582183341</v>
      </c>
      <c r="O203" s="149"/>
      <c r="V203" s="158">
        <f t="shared" si="26"/>
        <v>159.20990464873321</v>
      </c>
      <c r="W203" s="158">
        <f t="shared" si="27"/>
        <v>37.544747861798854</v>
      </c>
      <c r="X203" s="158">
        <f t="shared" si="28"/>
        <v>15.531123286471725</v>
      </c>
      <c r="Y203" s="158">
        <f t="shared" si="29"/>
        <v>3.8738740344653348</v>
      </c>
      <c r="Z203" s="158">
        <f t="shared" si="30"/>
        <v>-14.294873164197977</v>
      </c>
      <c r="AA203" s="158">
        <f t="shared" si="31"/>
        <v>-25.542821270084985</v>
      </c>
    </row>
    <row r="204" spans="1:27" ht="19.5" thickBot="1" x14ac:dyDescent="0.35">
      <c r="A204" s="142">
        <v>110</v>
      </c>
      <c r="B204" s="143" t="s">
        <v>220</v>
      </c>
      <c r="C204" s="142">
        <v>31</v>
      </c>
      <c r="D204" s="143" t="s">
        <v>260</v>
      </c>
      <c r="E204" s="142">
        <v>555624</v>
      </c>
      <c r="F204" s="143" t="s">
        <v>270</v>
      </c>
      <c r="G204" s="144">
        <v>2.6579356498262534</v>
      </c>
      <c r="H204" s="145">
        <v>18.435359788790628</v>
      </c>
      <c r="I204" s="146">
        <v>11.851302721365403</v>
      </c>
      <c r="J204" s="147">
        <v>0.73884543841778727</v>
      </c>
      <c r="K204" s="148">
        <v>73</v>
      </c>
      <c r="M204" s="149">
        <f t="shared" si="24"/>
        <v>0.6428571428571429</v>
      </c>
      <c r="N204" s="138">
        <f t="shared" si="25"/>
        <v>11.851302721365403</v>
      </c>
      <c r="O204" s="149"/>
      <c r="V204" s="158">
        <f t="shared" si="26"/>
        <v>157.53221815156314</v>
      </c>
      <c r="W204" s="158">
        <f t="shared" si="27"/>
        <v>42.301075193603296</v>
      </c>
      <c r="X204" s="158">
        <f t="shared" si="28"/>
        <v>21.451596284003191</v>
      </c>
      <c r="Y204" s="158">
        <f t="shared" si="29"/>
        <v>10.410816897946678</v>
      </c>
      <c r="Z204" s="158">
        <f t="shared" si="30"/>
        <v>-6.797113138116341</v>
      </c>
      <c r="AA204" s="158">
        <f t="shared" si="31"/>
        <v>-17.450236434895501</v>
      </c>
    </row>
    <row r="205" spans="1:27" ht="19.5" thickBot="1" x14ac:dyDescent="0.35">
      <c r="A205" s="142">
        <v>110</v>
      </c>
      <c r="B205" s="143" t="s">
        <v>220</v>
      </c>
      <c r="C205" s="142">
        <v>31</v>
      </c>
      <c r="D205" s="143" t="s">
        <v>260</v>
      </c>
      <c r="E205" s="142">
        <v>455676</v>
      </c>
      <c r="F205" s="143" t="s">
        <v>271</v>
      </c>
      <c r="G205" s="144">
        <v>1.9523576781641299</v>
      </c>
      <c r="H205" s="145">
        <v>1.0244024557429814</v>
      </c>
      <c r="I205" s="146">
        <v>0.48659116647791617</v>
      </c>
      <c r="J205" s="147">
        <v>0.98927750765135491</v>
      </c>
      <c r="K205" s="148">
        <v>280</v>
      </c>
      <c r="M205" s="149">
        <f t="shared" si="24"/>
        <v>0.47500000000000003</v>
      </c>
      <c r="N205" s="138">
        <f t="shared" si="25"/>
        <v>0.48659116647791617</v>
      </c>
      <c r="O205" s="149"/>
      <c r="V205" s="158">
        <f t="shared" si="26"/>
        <v>209.68613441995092</v>
      </c>
      <c r="W205" s="158">
        <f t="shared" si="27"/>
        <v>95.133348341994605</v>
      </c>
      <c r="X205" s="158">
        <f t="shared" si="28"/>
        <v>74.406608711896169</v>
      </c>
      <c r="Y205" s="158">
        <f t="shared" si="29"/>
        <v>63.430825545306682</v>
      </c>
      <c r="Z205" s="158">
        <f t="shared" si="30"/>
        <v>46.3241972704771</v>
      </c>
      <c r="AA205" s="158">
        <f t="shared" si="31"/>
        <v>35.733788091569103</v>
      </c>
    </row>
    <row r="206" spans="1:27" ht="19.5" thickBot="1" x14ac:dyDescent="0.35">
      <c r="A206" s="142">
        <v>110</v>
      </c>
      <c r="B206" s="143" t="s">
        <v>220</v>
      </c>
      <c r="C206" s="142">
        <v>31</v>
      </c>
      <c r="D206" s="143" t="s">
        <v>260</v>
      </c>
      <c r="E206" s="142">
        <v>455678</v>
      </c>
      <c r="F206" s="143" t="s">
        <v>272</v>
      </c>
      <c r="G206" s="144">
        <v>9.0627591209834257</v>
      </c>
      <c r="H206" s="145">
        <v>6.7308420300793248</v>
      </c>
      <c r="I206" s="146">
        <v>4.3612546104735292</v>
      </c>
      <c r="J206" s="147">
        <v>0.90389566763041918</v>
      </c>
      <c r="K206" s="148">
        <v>234</v>
      </c>
      <c r="M206" s="149">
        <f t="shared" si="24"/>
        <v>0.64795081967213108</v>
      </c>
      <c r="N206" s="138">
        <f t="shared" si="25"/>
        <v>4.3612546104735292</v>
      </c>
      <c r="O206" s="149"/>
      <c r="V206" s="158">
        <f t="shared" si="26"/>
        <v>651.96232769735548</v>
      </c>
      <c r="W206" s="158">
        <f t="shared" si="27"/>
        <v>262.14757190511472</v>
      </c>
      <c r="X206" s="158">
        <f t="shared" si="28"/>
        <v>191.61599232591709</v>
      </c>
      <c r="Y206" s="158">
        <f t="shared" si="29"/>
        <v>154.26620467604704</v>
      </c>
      <c r="Z206" s="158">
        <f t="shared" si="30"/>
        <v>96.053599363738854</v>
      </c>
      <c r="AA206" s="158">
        <f t="shared" si="31"/>
        <v>60.015211218325256</v>
      </c>
    </row>
    <row r="207" spans="1:27" ht="19.5" thickBot="1" x14ac:dyDescent="0.35">
      <c r="A207" s="142">
        <v>110</v>
      </c>
      <c r="B207" s="143" t="s">
        <v>220</v>
      </c>
      <c r="C207" s="142">
        <v>31</v>
      </c>
      <c r="D207" s="143" t="s">
        <v>260</v>
      </c>
      <c r="E207" s="142">
        <v>555679</v>
      </c>
      <c r="F207" s="143" t="s">
        <v>273</v>
      </c>
      <c r="G207" s="144">
        <v>3.757448525190461</v>
      </c>
      <c r="H207" s="145">
        <v>13.839178275200503</v>
      </c>
      <c r="I207" s="146">
        <v>9.7672662057665107</v>
      </c>
      <c r="J207" s="147">
        <v>0.78476913603554976</v>
      </c>
      <c r="K207" s="148">
        <v>113</v>
      </c>
      <c r="M207" s="149">
        <f t="shared" si="24"/>
        <v>0.70576923076923093</v>
      </c>
      <c r="N207" s="138">
        <f t="shared" si="25"/>
        <v>9.7672662057665107</v>
      </c>
      <c r="O207" s="149"/>
      <c r="V207" s="158">
        <f t="shared" si="26"/>
        <v>215.45572424263159</v>
      </c>
      <c r="W207" s="158">
        <f t="shared" si="27"/>
        <v>67.077489402514033</v>
      </c>
      <c r="X207" s="158">
        <f t="shared" si="28"/>
        <v>40.230503435609478</v>
      </c>
      <c r="Y207" s="158">
        <f t="shared" si="29"/>
        <v>26.013762071168646</v>
      </c>
      <c r="Z207" s="158">
        <f t="shared" si="30"/>
        <v>3.8558434871727045</v>
      </c>
      <c r="AA207" s="158">
        <f t="shared" si="31"/>
        <v>-9.861729642227866</v>
      </c>
    </row>
    <row r="208" spans="1:27" ht="19.5" thickBot="1" x14ac:dyDescent="0.35">
      <c r="A208" s="142">
        <v>110</v>
      </c>
      <c r="B208" s="143" t="s">
        <v>220</v>
      </c>
      <c r="C208" s="142">
        <v>31</v>
      </c>
      <c r="D208" s="143" t="s">
        <v>260</v>
      </c>
      <c r="E208" s="142">
        <v>554700</v>
      </c>
      <c r="F208" s="143" t="s">
        <v>274</v>
      </c>
      <c r="G208" s="144">
        <v>2.6247581669761875</v>
      </c>
      <c r="H208" s="145">
        <v>20.573323927289604</v>
      </c>
      <c r="I208" s="146">
        <v>13.372660552738243</v>
      </c>
      <c r="J208" s="147">
        <v>0.70532089290553956</v>
      </c>
      <c r="K208" s="148">
        <v>55</v>
      </c>
      <c r="M208" s="149">
        <f t="shared" si="24"/>
        <v>0.65</v>
      </c>
      <c r="N208" s="138">
        <f t="shared" si="25"/>
        <v>13.372660552738243</v>
      </c>
      <c r="O208" s="149"/>
      <c r="V208" s="158">
        <f t="shared" si="26"/>
        <v>146.87520679250918</v>
      </c>
      <c r="W208" s="158">
        <f t="shared" si="27"/>
        <v>34.332898050665918</v>
      </c>
      <c r="X208" s="158">
        <f t="shared" si="28"/>
        <v>13.969926441447161</v>
      </c>
      <c r="Y208" s="158">
        <f t="shared" si="29"/>
        <v>3.1867755456040481</v>
      </c>
      <c r="Z208" s="158">
        <f t="shared" si="30"/>
        <v>-13.619620062510204</v>
      </c>
      <c r="AA208" s="158">
        <f t="shared" si="31"/>
        <v>-24.024160539631492</v>
      </c>
    </row>
    <row r="209" spans="1:27" ht="19.5" thickBot="1" x14ac:dyDescent="0.35">
      <c r="A209" s="142">
        <v>160</v>
      </c>
      <c r="B209" s="143" t="s">
        <v>275</v>
      </c>
      <c r="C209" s="142">
        <v>45</v>
      </c>
      <c r="D209" s="143" t="s">
        <v>276</v>
      </c>
      <c r="E209" s="142">
        <v>557105</v>
      </c>
      <c r="F209" s="143" t="s">
        <v>277</v>
      </c>
      <c r="G209" s="144">
        <v>3.8480691393992146</v>
      </c>
      <c r="H209" s="145">
        <v>16.111976618403443</v>
      </c>
      <c r="I209" s="146">
        <v>11.109467748979792</v>
      </c>
      <c r="J209" s="147">
        <v>0.75519246722420319</v>
      </c>
      <c r="K209" s="148">
        <v>86</v>
      </c>
      <c r="M209" s="149">
        <f t="shared" si="24"/>
        <v>0.68951612903225801</v>
      </c>
      <c r="N209" s="138">
        <f t="shared" si="25"/>
        <v>11.109467748979792</v>
      </c>
      <c r="O209" s="149"/>
      <c r="V209" s="158">
        <f t="shared" si="26"/>
        <v>217.34111448975122</v>
      </c>
      <c r="W209" s="158">
        <f t="shared" si="27"/>
        <v>61.802467015961241</v>
      </c>
      <c r="X209" s="158">
        <f t="shared" si="28"/>
        <v>33.659903583125832</v>
      </c>
      <c r="Y209" s="158">
        <f t="shared" si="29"/>
        <v>18.757093034850278</v>
      </c>
      <c r="Z209" s="158">
        <f t="shared" si="30"/>
        <v>-4.4701187668179925</v>
      </c>
      <c r="AA209" s="158">
        <f t="shared" si="31"/>
        <v>-18.849672300857591</v>
      </c>
    </row>
    <row r="210" spans="1:27" ht="19.5" thickBot="1" x14ac:dyDescent="0.35">
      <c r="A210" s="142">
        <v>160</v>
      </c>
      <c r="B210" s="143" t="s">
        <v>275</v>
      </c>
      <c r="C210" s="142">
        <v>45</v>
      </c>
      <c r="D210" s="143" t="s">
        <v>276</v>
      </c>
      <c r="E210" s="142">
        <v>557178</v>
      </c>
      <c r="F210" s="143" t="s">
        <v>278</v>
      </c>
      <c r="G210" s="144">
        <v>2.9895671015622725</v>
      </c>
      <c r="H210" s="145">
        <v>2.3414761275443445</v>
      </c>
      <c r="I210" s="146">
        <v>2.2244023211671275</v>
      </c>
      <c r="J210" s="147">
        <v>0.95098321031665201</v>
      </c>
      <c r="K210" s="148">
        <v>268</v>
      </c>
      <c r="M210" s="149">
        <f t="shared" si="24"/>
        <v>0.95000000000000007</v>
      </c>
      <c r="N210" s="138">
        <f t="shared" si="25"/>
        <v>2.2244023211671275</v>
      </c>
      <c r="O210" s="149"/>
      <c r="V210" s="158">
        <f t="shared" si="26"/>
        <v>154.32751148823669</v>
      </c>
      <c r="W210" s="158">
        <f t="shared" si="27"/>
        <v>66.622465307101209</v>
      </c>
      <c r="X210" s="158">
        <f t="shared" si="28"/>
        <v>50.753452263585494</v>
      </c>
      <c r="Y210" s="158">
        <f t="shared" si="29"/>
        <v>42.35006372579155</v>
      </c>
      <c r="Z210" s="158">
        <f t="shared" si="30"/>
        <v>29.252716431013177</v>
      </c>
      <c r="AA210" s="158">
        <f t="shared" si="31"/>
        <v>21.144381767889833</v>
      </c>
    </row>
    <row r="211" spans="1:27" ht="19.5" thickBot="1" x14ac:dyDescent="0.35">
      <c r="A211" s="142">
        <v>160</v>
      </c>
      <c r="B211" s="143" t="s">
        <v>275</v>
      </c>
      <c r="C211" s="142">
        <v>45</v>
      </c>
      <c r="D211" s="143" t="s">
        <v>276</v>
      </c>
      <c r="E211" s="142">
        <v>557224</v>
      </c>
      <c r="F211" s="143" t="s">
        <v>279</v>
      </c>
      <c r="G211" s="144">
        <v>3.3355971104975688</v>
      </c>
      <c r="H211" s="145">
        <v>4.1971495765900908</v>
      </c>
      <c r="I211" s="146">
        <v>3.0429334430278159</v>
      </c>
      <c r="J211" s="147">
        <v>0.93294610998290106</v>
      </c>
      <c r="K211" s="148">
        <v>258</v>
      </c>
      <c r="M211" s="149">
        <f t="shared" si="24"/>
        <v>0.72499999999999998</v>
      </c>
      <c r="N211" s="138">
        <f t="shared" si="25"/>
        <v>3.0429334430278159</v>
      </c>
      <c r="O211" s="149"/>
      <c r="V211" s="158">
        <f t="shared" si="26"/>
        <v>221.34919351011311</v>
      </c>
      <c r="W211" s="158">
        <f t="shared" si="27"/>
        <v>93.123379862828159</v>
      </c>
      <c r="X211" s="158">
        <f t="shared" si="28"/>
        <v>69.922695319755107</v>
      </c>
      <c r="Y211" s="158">
        <f t="shared" si="29"/>
        <v>57.63684200149229</v>
      </c>
      <c r="Z211" s="158">
        <f t="shared" si="30"/>
        <v>38.488365526996674</v>
      </c>
      <c r="AA211" s="158">
        <f t="shared" si="31"/>
        <v>26.633884459211746</v>
      </c>
    </row>
    <row r="212" spans="1:27" ht="19.5" thickBot="1" x14ac:dyDescent="0.35">
      <c r="A212" s="142">
        <v>160</v>
      </c>
      <c r="B212" s="143" t="s">
        <v>275</v>
      </c>
      <c r="C212" s="142">
        <v>45</v>
      </c>
      <c r="D212" s="143" t="s">
        <v>276</v>
      </c>
      <c r="E212" s="142">
        <v>557432</v>
      </c>
      <c r="F212" s="143" t="s">
        <v>280</v>
      </c>
      <c r="G212" s="144">
        <v>3.7485562538819845</v>
      </c>
      <c r="H212" s="145">
        <v>7.7363118053698026</v>
      </c>
      <c r="I212" s="146">
        <v>5.0286026734903722</v>
      </c>
      <c r="J212" s="147">
        <v>0.88919002767526811</v>
      </c>
      <c r="K212" s="148">
        <v>219</v>
      </c>
      <c r="M212" s="149">
        <f t="shared" si="24"/>
        <v>0.65</v>
      </c>
      <c r="N212" s="138">
        <f t="shared" si="25"/>
        <v>5.0286026734903722</v>
      </c>
      <c r="O212" s="149"/>
      <c r="V212" s="158">
        <f t="shared" si="26"/>
        <v>264.44238338838545</v>
      </c>
      <c r="W212" s="158">
        <f t="shared" si="27"/>
        <v>103.71474738427925</v>
      </c>
      <c r="X212" s="158">
        <f t="shared" si="28"/>
        <v>74.63330836496759</v>
      </c>
      <c r="Y212" s="158">
        <f t="shared" si="29"/>
        <v>59.23331904948239</v>
      </c>
      <c r="Z212" s="158">
        <f t="shared" si="30"/>
        <v>35.231214720537963</v>
      </c>
      <c r="AA212" s="158">
        <f t="shared" si="31"/>
        <v>20.371939010877849</v>
      </c>
    </row>
    <row r="213" spans="1:27" ht="19.5" thickBot="1" x14ac:dyDescent="0.35">
      <c r="A213" s="142">
        <v>160</v>
      </c>
      <c r="B213" s="143" t="s">
        <v>275</v>
      </c>
      <c r="C213" s="142">
        <v>45</v>
      </c>
      <c r="D213" s="143" t="s">
        <v>276</v>
      </c>
      <c r="E213" s="142">
        <v>557433</v>
      </c>
      <c r="F213" s="143" t="s">
        <v>281</v>
      </c>
      <c r="G213" s="144">
        <v>3.1089604484710822</v>
      </c>
      <c r="H213" s="145">
        <v>1.2866036948032296</v>
      </c>
      <c r="I213" s="146">
        <v>1.133819506045346</v>
      </c>
      <c r="J213" s="147">
        <v>0.97501522465704771</v>
      </c>
      <c r="K213" s="148">
        <v>276</v>
      </c>
      <c r="M213" s="149">
        <f t="shared" si="24"/>
        <v>0.88124999999999998</v>
      </c>
      <c r="N213" s="138">
        <f t="shared" si="25"/>
        <v>1.133819506045346</v>
      </c>
      <c r="O213" s="149"/>
      <c r="V213" s="158">
        <f t="shared" si="26"/>
        <v>177.38351952221637</v>
      </c>
      <c r="W213" s="158">
        <f t="shared" si="27"/>
        <v>79.060332271037254</v>
      </c>
      <c r="X213" s="158">
        <f t="shared" si="28"/>
        <v>61.270113704290743</v>
      </c>
      <c r="Y213" s="158">
        <f t="shared" si="29"/>
        <v>51.849356510462989</v>
      </c>
      <c r="Z213" s="158">
        <f t="shared" si="30"/>
        <v>37.166359503670414</v>
      </c>
      <c r="AA213" s="158">
        <f t="shared" si="31"/>
        <v>28.076377318027589</v>
      </c>
    </row>
    <row r="214" spans="1:27" ht="19.5" thickBot="1" x14ac:dyDescent="0.35">
      <c r="A214" s="142">
        <v>160</v>
      </c>
      <c r="B214" s="143" t="s">
        <v>275</v>
      </c>
      <c r="C214" s="142">
        <v>45</v>
      </c>
      <c r="D214" s="143" t="s">
        <v>276</v>
      </c>
      <c r="E214" s="142">
        <v>557434</v>
      </c>
      <c r="F214" s="143" t="s">
        <v>282</v>
      </c>
      <c r="G214" s="144">
        <v>3.7472367864044478</v>
      </c>
      <c r="H214" s="145">
        <v>17.0792516320831</v>
      </c>
      <c r="I214" s="146">
        <v>12.002177221139648</v>
      </c>
      <c r="J214" s="147">
        <v>0.73552077742744348</v>
      </c>
      <c r="K214" s="148">
        <v>72</v>
      </c>
      <c r="M214" s="149">
        <f t="shared" si="24"/>
        <v>0.70273437500000013</v>
      </c>
      <c r="N214" s="138">
        <f t="shared" si="25"/>
        <v>12.002177221139648</v>
      </c>
      <c r="O214" s="149"/>
      <c r="V214" s="158">
        <f t="shared" si="26"/>
        <v>202.25566173488872</v>
      </c>
      <c r="W214" s="158">
        <f t="shared" si="27"/>
        <v>53.641628733499047</v>
      </c>
      <c r="X214" s="158">
        <f t="shared" si="28"/>
        <v>26.751978356052621</v>
      </c>
      <c r="Y214" s="158">
        <f t="shared" si="29"/>
        <v>12.512644180229257</v>
      </c>
      <c r="Z214" s="158">
        <f t="shared" si="30"/>
        <v>-9.6804870915665671</v>
      </c>
      <c r="AA214" s="158">
        <f t="shared" si="31"/>
        <v>-23.419859769428633</v>
      </c>
    </row>
    <row r="215" spans="1:27" ht="19.5" thickBot="1" x14ac:dyDescent="0.35">
      <c r="A215" s="142">
        <v>160</v>
      </c>
      <c r="B215" s="143" t="s">
        <v>275</v>
      </c>
      <c r="C215" s="142">
        <v>45</v>
      </c>
      <c r="D215" s="143" t="s">
        <v>276</v>
      </c>
      <c r="E215" s="142">
        <v>557436</v>
      </c>
      <c r="F215" s="143" t="s">
        <v>283</v>
      </c>
      <c r="G215" s="144">
        <v>4.8968438782934056</v>
      </c>
      <c r="H215" s="145">
        <v>11.435937389843131</v>
      </c>
      <c r="I215" s="146">
        <v>8.883272793896003</v>
      </c>
      <c r="J215" s="147">
        <v>0.80424875927582162</v>
      </c>
      <c r="K215" s="148">
        <v>126</v>
      </c>
      <c r="M215" s="149">
        <f t="shared" si="24"/>
        <v>0.77678571428571419</v>
      </c>
      <c r="N215" s="138">
        <f t="shared" si="25"/>
        <v>8.883272793896003</v>
      </c>
      <c r="O215" s="149"/>
      <c r="V215" s="158">
        <f t="shared" si="26"/>
        <v>261.45155611802471</v>
      </c>
      <c r="W215" s="158">
        <f t="shared" si="27"/>
        <v>85.758373814816125</v>
      </c>
      <c r="X215" s="158">
        <f t="shared" si="28"/>
        <v>53.969126524891223</v>
      </c>
      <c r="Y215" s="158">
        <f t="shared" si="29"/>
        <v>37.135225414046275</v>
      </c>
      <c r="Z215" s="158">
        <f t="shared" si="30"/>
        <v>10.898255865025266</v>
      </c>
      <c r="AA215" s="158">
        <f t="shared" si="31"/>
        <v>-5.3445851364080985</v>
      </c>
    </row>
    <row r="216" spans="1:27" ht="19.5" thickBot="1" x14ac:dyDescent="0.35">
      <c r="A216" s="142">
        <v>160</v>
      </c>
      <c r="B216" s="143" t="s">
        <v>275</v>
      </c>
      <c r="C216" s="142">
        <v>45</v>
      </c>
      <c r="D216" s="143" t="s">
        <v>276</v>
      </c>
      <c r="E216" s="142">
        <v>557437</v>
      </c>
      <c r="F216" s="143" t="s">
        <v>540</v>
      </c>
      <c r="G216" s="144">
        <v>3.1521611030053944</v>
      </c>
      <c r="H216" s="145">
        <v>8.2483093821602509</v>
      </c>
      <c r="I216" s="146">
        <v>5.4010564319722407</v>
      </c>
      <c r="J216" s="147">
        <v>0.88098266007249582</v>
      </c>
      <c r="K216" s="148">
        <v>216</v>
      </c>
      <c r="M216" s="149">
        <f t="shared" si="24"/>
        <v>0.6548076923076922</v>
      </c>
      <c r="N216" s="138">
        <f t="shared" si="25"/>
        <v>5.4010564319722407</v>
      </c>
      <c r="O216" s="149"/>
      <c r="V216" s="158">
        <f t="shared" si="26"/>
        <v>218.69950340312067</v>
      </c>
      <c r="W216" s="158">
        <f t="shared" si="27"/>
        <v>84.535961781323408</v>
      </c>
      <c r="X216" s="158">
        <f t="shared" si="28"/>
        <v>60.260927622359603</v>
      </c>
      <c r="Y216" s="158">
        <f t="shared" si="29"/>
        <v>47.406155668577171</v>
      </c>
      <c r="Z216" s="158">
        <f t="shared" si="30"/>
        <v>27.370974394183339</v>
      </c>
      <c r="AA216" s="158">
        <f t="shared" si="31"/>
        <v>14.96755016232432</v>
      </c>
    </row>
    <row r="217" spans="1:27" ht="19.5" thickBot="1" x14ac:dyDescent="0.35">
      <c r="A217" s="142">
        <v>160</v>
      </c>
      <c r="B217" s="143" t="s">
        <v>275</v>
      </c>
      <c r="C217" s="142">
        <v>45</v>
      </c>
      <c r="D217" s="143" t="s">
        <v>276</v>
      </c>
      <c r="E217" s="142">
        <v>557440</v>
      </c>
      <c r="F217" s="143" t="s">
        <v>284</v>
      </c>
      <c r="G217" s="144">
        <v>2.875057239081289</v>
      </c>
      <c r="H217" s="145">
        <v>3.1303724592543793</v>
      </c>
      <c r="I217" s="146">
        <v>2.4782115302430503</v>
      </c>
      <c r="J217" s="147">
        <v>0.94539028654446144</v>
      </c>
      <c r="K217" s="148">
        <v>265</v>
      </c>
      <c r="M217" s="149">
        <f t="shared" si="24"/>
        <v>0.79166666666666663</v>
      </c>
      <c r="N217" s="138">
        <f t="shared" si="25"/>
        <v>2.4782115302430503</v>
      </c>
      <c r="O217" s="149"/>
      <c r="V217" s="158">
        <f t="shared" si="26"/>
        <v>177.05209718920651</v>
      </c>
      <c r="W217" s="158">
        <f t="shared" si="27"/>
        <v>75.837298112004362</v>
      </c>
      <c r="X217" s="158">
        <f t="shared" si="28"/>
        <v>57.523882445638584</v>
      </c>
      <c r="Y217" s="158">
        <f t="shared" si="29"/>
        <v>47.82606778781539</v>
      </c>
      <c r="Z217" s="158">
        <f t="shared" si="30"/>
        <v>32.711254757017805</v>
      </c>
      <c r="AA217" s="158">
        <f t="shared" si="31"/>
        <v>23.353942954412961</v>
      </c>
    </row>
    <row r="218" spans="1:27" ht="19.5" thickBot="1" x14ac:dyDescent="0.35">
      <c r="A218" s="142">
        <v>160</v>
      </c>
      <c r="B218" s="143" t="s">
        <v>275</v>
      </c>
      <c r="C218" s="142">
        <v>45</v>
      </c>
      <c r="D218" s="143" t="s">
        <v>276</v>
      </c>
      <c r="E218" s="142">
        <v>557441</v>
      </c>
      <c r="F218" s="143" t="s">
        <v>285</v>
      </c>
      <c r="G218" s="144">
        <v>2.5461804329391748</v>
      </c>
      <c r="H218" s="145">
        <v>13.353334885521924</v>
      </c>
      <c r="I218" s="146">
        <v>8.6796676755892506</v>
      </c>
      <c r="J218" s="147">
        <v>0.80873538886055385</v>
      </c>
      <c r="K218" s="148">
        <v>129</v>
      </c>
      <c r="M218" s="149">
        <f t="shared" si="24"/>
        <v>0.65</v>
      </c>
      <c r="N218" s="138">
        <f t="shared" si="25"/>
        <v>8.6796676755892506</v>
      </c>
      <c r="O218" s="149"/>
      <c r="V218" s="158">
        <f t="shared" si="26"/>
        <v>163.3684056002979</v>
      </c>
      <c r="W218" s="158">
        <f t="shared" si="27"/>
        <v>54.19529091049786</v>
      </c>
      <c r="X218" s="158">
        <f t="shared" si="28"/>
        <v>34.441928288287521</v>
      </c>
      <c r="Y218" s="158">
        <f t="shared" si="29"/>
        <v>23.981594013737432</v>
      </c>
      <c r="Z218" s="158">
        <f t="shared" si="30"/>
        <v>7.6783337042692281</v>
      </c>
      <c r="AA218" s="158">
        <f t="shared" si="31"/>
        <v>-2.4147246619761358</v>
      </c>
    </row>
    <row r="219" spans="1:27" ht="19.5" thickBot="1" x14ac:dyDescent="0.35">
      <c r="A219" s="142">
        <v>160</v>
      </c>
      <c r="B219" s="143" t="s">
        <v>275</v>
      </c>
      <c r="C219" s="142">
        <v>45</v>
      </c>
      <c r="D219" s="143" t="s">
        <v>276</v>
      </c>
      <c r="E219" s="142">
        <v>557439</v>
      </c>
      <c r="F219" s="143" t="s">
        <v>286</v>
      </c>
      <c r="G219" s="144">
        <v>3.7911894120016649</v>
      </c>
      <c r="H219" s="145">
        <v>2.3739251780744444</v>
      </c>
      <c r="I219" s="146">
        <v>2.6772600619395122</v>
      </c>
      <c r="J219" s="147">
        <v>0.94100406561576477</v>
      </c>
      <c r="K219" s="148">
        <v>264</v>
      </c>
      <c r="M219" s="149">
        <f t="shared" si="24"/>
        <v>1.1277777777777778</v>
      </c>
      <c r="N219" s="138">
        <f t="shared" si="25"/>
        <v>2.6772600619395122</v>
      </c>
      <c r="O219" s="149"/>
      <c r="V219" s="158">
        <f t="shared" si="26"/>
        <v>163.12827853264</v>
      </c>
      <c r="W219" s="158">
        <f t="shared" si="27"/>
        <v>69.438582238196489</v>
      </c>
      <c r="X219" s="158">
        <f t="shared" si="28"/>
        <v>52.48672966783279</v>
      </c>
      <c r="Y219" s="158">
        <f t="shared" si="29"/>
        <v>43.509926687487678</v>
      </c>
      <c r="Z219" s="158">
        <f t="shared" si="30"/>
        <v>29.518867521104482</v>
      </c>
      <c r="AA219" s="158">
        <f t="shared" si="31"/>
        <v>20.857251740493542</v>
      </c>
    </row>
    <row r="220" spans="1:27" ht="19.5" thickBot="1" x14ac:dyDescent="0.35">
      <c r="A220" s="142">
        <v>160</v>
      </c>
      <c r="B220" s="143" t="s">
        <v>275</v>
      </c>
      <c r="C220" s="142">
        <v>45</v>
      </c>
      <c r="D220" s="143" t="s">
        <v>276</v>
      </c>
      <c r="E220" s="142">
        <v>457443</v>
      </c>
      <c r="F220" s="143" t="s">
        <v>287</v>
      </c>
      <c r="G220" s="144">
        <v>4.0983728111111111</v>
      </c>
      <c r="H220" s="145">
        <v>14.151958026550446</v>
      </c>
      <c r="I220" s="146">
        <v>9.7111711975294419</v>
      </c>
      <c r="J220" s="147">
        <v>0.78600524210992195</v>
      </c>
      <c r="K220" s="148">
        <v>115</v>
      </c>
      <c r="M220" s="149">
        <f t="shared" si="24"/>
        <v>0.68620689655172395</v>
      </c>
      <c r="N220" s="138">
        <f t="shared" si="25"/>
        <v>9.7111711975294419</v>
      </c>
      <c r="O220" s="149"/>
      <c r="V220" s="158">
        <f t="shared" si="26"/>
        <v>242.08485977892639</v>
      </c>
      <c r="W220" s="158">
        <f t="shared" si="27"/>
        <v>75.630082353181095</v>
      </c>
      <c r="X220" s="158">
        <f t="shared" si="28"/>
        <v>45.512396437261579</v>
      </c>
      <c r="Y220" s="158">
        <f t="shared" si="29"/>
        <v>29.563665667635508</v>
      </c>
      <c r="Z220" s="158">
        <f t="shared" si="30"/>
        <v>4.7063042757097673</v>
      </c>
      <c r="AA220" s="158">
        <f t="shared" si="31"/>
        <v>-10.682445863663078</v>
      </c>
    </row>
    <row r="221" spans="1:27" ht="19.5" thickBot="1" x14ac:dyDescent="0.35">
      <c r="A221" s="142">
        <v>160</v>
      </c>
      <c r="B221" s="143" t="s">
        <v>275</v>
      </c>
      <c r="C221" s="142">
        <v>45</v>
      </c>
      <c r="D221" s="143" t="s">
        <v>276</v>
      </c>
      <c r="E221" s="142">
        <v>557444</v>
      </c>
      <c r="F221" s="143" t="s">
        <v>541</v>
      </c>
      <c r="G221" s="144">
        <v>6.0225891789421091</v>
      </c>
      <c r="H221" s="145">
        <v>21.91748367322413</v>
      </c>
      <c r="I221" s="146">
        <v>14.304478927638327</v>
      </c>
      <c r="J221" s="147">
        <v>0.68478740178708419</v>
      </c>
      <c r="K221" s="148">
        <v>46</v>
      </c>
      <c r="M221" s="149">
        <f t="shared" si="24"/>
        <v>0.65265151515151532</v>
      </c>
      <c r="N221" s="138">
        <f t="shared" si="25"/>
        <v>14.304478927638327</v>
      </c>
      <c r="O221" s="149"/>
      <c r="V221" s="158">
        <f t="shared" si="26"/>
        <v>325.86930487683082</v>
      </c>
      <c r="W221" s="158">
        <f t="shared" si="27"/>
        <v>68.686593820101166</v>
      </c>
      <c r="X221" s="158">
        <f t="shared" si="28"/>
        <v>22.152945255603761</v>
      </c>
      <c r="Y221" s="158">
        <f t="shared" si="29"/>
        <v>-2.4888095842420341</v>
      </c>
      <c r="Z221" s="158">
        <f t="shared" si="30"/>
        <v>-40.894938211845897</v>
      </c>
      <c r="AA221" s="158">
        <f t="shared" si="31"/>
        <v>-64.671489067432233</v>
      </c>
    </row>
    <row r="222" spans="1:27" ht="19.5" thickBot="1" x14ac:dyDescent="0.35">
      <c r="A222" s="142">
        <v>160</v>
      </c>
      <c r="B222" s="143" t="s">
        <v>275</v>
      </c>
      <c r="C222" s="142">
        <v>45</v>
      </c>
      <c r="D222" s="143" t="s">
        <v>276</v>
      </c>
      <c r="E222" s="142">
        <v>557445</v>
      </c>
      <c r="F222" s="143" t="s">
        <v>288</v>
      </c>
      <c r="G222" s="144">
        <v>3.0671238161600978</v>
      </c>
      <c r="H222" s="145">
        <v>11.41134238389451</v>
      </c>
      <c r="I222" s="146">
        <v>8.2487703517866038</v>
      </c>
      <c r="J222" s="147">
        <v>0.81823061519392215</v>
      </c>
      <c r="K222" s="148">
        <v>146</v>
      </c>
      <c r="M222" s="149">
        <f t="shared" si="24"/>
        <v>0.72285714285714286</v>
      </c>
      <c r="N222" s="138">
        <f t="shared" si="25"/>
        <v>8.2487703517866038</v>
      </c>
      <c r="O222" s="149"/>
      <c r="V222" s="158">
        <f t="shared" si="26"/>
        <v>179.03599739319563</v>
      </c>
      <c r="W222" s="158">
        <f t="shared" si="27"/>
        <v>60.781215175181138</v>
      </c>
      <c r="X222" s="158">
        <f t="shared" si="28"/>
        <v>39.38465063087768</v>
      </c>
      <c r="Y222" s="158">
        <f t="shared" si="29"/>
        <v>28.054163678304526</v>
      </c>
      <c r="Z222" s="158">
        <f t="shared" si="30"/>
        <v>10.394701430499961</v>
      </c>
      <c r="AA222" s="158">
        <f t="shared" si="31"/>
        <v>-0.53795742424981052</v>
      </c>
    </row>
    <row r="223" spans="1:27" ht="19.5" thickBot="1" x14ac:dyDescent="0.35">
      <c r="A223" s="142">
        <v>160</v>
      </c>
      <c r="B223" s="143" t="s">
        <v>275</v>
      </c>
      <c r="C223" s="142">
        <v>45</v>
      </c>
      <c r="D223" s="143" t="s">
        <v>276</v>
      </c>
      <c r="E223" s="142">
        <v>457446</v>
      </c>
      <c r="F223" s="143" t="s">
        <v>289</v>
      </c>
      <c r="G223" s="144">
        <v>7.3002462539154163</v>
      </c>
      <c r="H223" s="145">
        <v>7.3970107475535674</v>
      </c>
      <c r="I223" s="146">
        <v>5.4278990902187054</v>
      </c>
      <c r="J223" s="147">
        <v>0.88039115694318859</v>
      </c>
      <c r="K223" s="148">
        <v>213</v>
      </c>
      <c r="M223" s="149">
        <f t="shared" si="24"/>
        <v>0.73379629629629628</v>
      </c>
      <c r="N223" s="138">
        <f t="shared" si="25"/>
        <v>5.4278990902187054</v>
      </c>
      <c r="O223" s="149"/>
      <c r="V223" s="158">
        <f t="shared" si="26"/>
        <v>451.67231311453082</v>
      </c>
      <c r="W223" s="158">
        <f t="shared" si="27"/>
        <v>174.40295574232232</v>
      </c>
      <c r="X223" s="158">
        <f t="shared" si="28"/>
        <v>124.23490680680752</v>
      </c>
      <c r="Y223" s="158">
        <f t="shared" si="29"/>
        <v>97.668566087813957</v>
      </c>
      <c r="Z223" s="158">
        <f t="shared" si="30"/>
        <v>56.262817777690692</v>
      </c>
      <c r="AA223" s="158">
        <f t="shared" si="31"/>
        <v>30.629255750257713</v>
      </c>
    </row>
    <row r="224" spans="1:27" ht="19.5" thickBot="1" x14ac:dyDescent="0.35">
      <c r="A224" s="142">
        <v>160</v>
      </c>
      <c r="B224" s="143" t="s">
        <v>275</v>
      </c>
      <c r="C224" s="142">
        <v>45</v>
      </c>
      <c r="D224" s="143" t="s">
        <v>276</v>
      </c>
      <c r="E224" s="142">
        <v>557447</v>
      </c>
      <c r="F224" s="143" t="s">
        <v>290</v>
      </c>
      <c r="G224" s="144">
        <v>2.9612506945259045</v>
      </c>
      <c r="H224" s="145">
        <v>5.0654272627875221</v>
      </c>
      <c r="I224" s="146">
        <v>3.52891432640864</v>
      </c>
      <c r="J224" s="147">
        <v>0.92223706579421005</v>
      </c>
      <c r="K224" s="148">
        <v>247</v>
      </c>
      <c r="M224" s="149">
        <f t="shared" si="24"/>
        <v>0.69666666666666655</v>
      </c>
      <c r="N224" s="138">
        <f t="shared" si="25"/>
        <v>3.52891432640864</v>
      </c>
      <c r="O224" s="149"/>
      <c r="V224" s="158">
        <f t="shared" si="26"/>
        <v>202.15222259396324</v>
      </c>
      <c r="W224" s="158">
        <f t="shared" si="27"/>
        <v>83.687231710291016</v>
      </c>
      <c r="X224" s="158">
        <f t="shared" si="28"/>
        <v>62.252632820161061</v>
      </c>
      <c r="Y224" s="158">
        <f t="shared" si="29"/>
        <v>50.902004893169099</v>
      </c>
      <c r="Z224" s="158">
        <f t="shared" si="30"/>
        <v>33.21115133986536</v>
      </c>
      <c r="AA224" s="158">
        <f t="shared" si="31"/>
        <v>22.259058686440866</v>
      </c>
    </row>
    <row r="225" spans="1:27" ht="19.5" thickBot="1" x14ac:dyDescent="0.35">
      <c r="A225" s="142">
        <v>160</v>
      </c>
      <c r="B225" s="143" t="s">
        <v>275</v>
      </c>
      <c r="C225" s="142">
        <v>45</v>
      </c>
      <c r="D225" s="143" t="s">
        <v>276</v>
      </c>
      <c r="E225" s="142">
        <v>457453</v>
      </c>
      <c r="F225" s="143" t="s">
        <v>542</v>
      </c>
      <c r="G225" s="144">
        <v>7.7095109330981</v>
      </c>
      <c r="H225" s="145">
        <v>4.2804271615111142</v>
      </c>
      <c r="I225" s="146">
        <v>3.2200486146822245</v>
      </c>
      <c r="J225" s="147">
        <v>0.92904321119696587</v>
      </c>
      <c r="K225" s="148">
        <v>254</v>
      </c>
      <c r="M225" s="149">
        <f t="shared" si="24"/>
        <v>0.7522727272727272</v>
      </c>
      <c r="N225" s="138">
        <f t="shared" si="25"/>
        <v>3.2200486146822245</v>
      </c>
      <c r="O225" s="149"/>
      <c r="V225" s="158">
        <f t="shared" si="26"/>
        <v>490.99065794246485</v>
      </c>
      <c r="W225" s="158">
        <f t="shared" si="27"/>
        <v>205.36883114071793</v>
      </c>
      <c r="X225" s="158">
        <f t="shared" si="28"/>
        <v>153.68951857677777</v>
      </c>
      <c r="Y225" s="158">
        <f t="shared" si="29"/>
        <v>126.32289270974951</v>
      </c>
      <c r="Z225" s="158">
        <f t="shared" si="30"/>
        <v>83.66983654619041</v>
      </c>
      <c r="AA225" s="158">
        <f t="shared" si="31"/>
        <v>57.264088420612794</v>
      </c>
    </row>
    <row r="226" spans="1:27" ht="19.5" thickBot="1" x14ac:dyDescent="0.35">
      <c r="A226" s="142">
        <v>160</v>
      </c>
      <c r="B226" s="143" t="s">
        <v>275</v>
      </c>
      <c r="C226" s="142">
        <v>45</v>
      </c>
      <c r="D226" s="143" t="s">
        <v>276</v>
      </c>
      <c r="E226" s="142">
        <v>557459</v>
      </c>
      <c r="F226" s="143" t="s">
        <v>293</v>
      </c>
      <c r="G226" s="144">
        <v>2.8369629421676046</v>
      </c>
      <c r="H226" s="145">
        <v>6.3448132270092161</v>
      </c>
      <c r="I226" s="146">
        <v>3.8773858609500764</v>
      </c>
      <c r="J226" s="147">
        <v>0.91455816897023579</v>
      </c>
      <c r="K226" s="148">
        <v>241</v>
      </c>
      <c r="M226" s="149">
        <f t="shared" si="24"/>
        <v>0.61111111111111105</v>
      </c>
      <c r="N226" s="138">
        <f t="shared" si="25"/>
        <v>3.8773858609500764</v>
      </c>
      <c r="O226" s="149"/>
      <c r="V226" s="158">
        <f t="shared" si="26"/>
        <v>218.94277560028985</v>
      </c>
      <c r="W226" s="158">
        <f t="shared" si="27"/>
        <v>89.560923445449319</v>
      </c>
      <c r="X226" s="158">
        <f t="shared" si="28"/>
        <v>66.151069750155344</v>
      </c>
      <c r="Y226" s="158">
        <f t="shared" si="29"/>
        <v>53.754451531050016</v>
      </c>
      <c r="Z226" s="158">
        <f t="shared" si="30"/>
        <v>34.433339176649369</v>
      </c>
      <c r="AA226" s="158">
        <f t="shared" si="31"/>
        <v>22.471982307404168</v>
      </c>
    </row>
    <row r="227" spans="1:27" ht="19.5" thickBot="1" x14ac:dyDescent="0.35">
      <c r="A227" s="142">
        <v>160</v>
      </c>
      <c r="B227" s="143" t="s">
        <v>275</v>
      </c>
      <c r="C227" s="142">
        <v>45</v>
      </c>
      <c r="D227" s="143" t="s">
        <v>276</v>
      </c>
      <c r="E227" s="142">
        <v>557559</v>
      </c>
      <c r="F227" s="143" t="s">
        <v>294</v>
      </c>
      <c r="G227" s="144">
        <v>2.9777762320543215</v>
      </c>
      <c r="H227" s="145">
        <v>10.746274234959454</v>
      </c>
      <c r="I227" s="146">
        <v>7.6903024993928586</v>
      </c>
      <c r="J227" s="147">
        <v>0.83053697767394885</v>
      </c>
      <c r="K227" s="148">
        <v>163</v>
      </c>
      <c r="M227" s="149">
        <f t="shared" si="24"/>
        <v>0.71562499999999996</v>
      </c>
      <c r="N227" s="138">
        <f t="shared" si="25"/>
        <v>7.6903024993928586</v>
      </c>
      <c r="O227" s="149"/>
      <c r="V227" s="158">
        <f t="shared" si="26"/>
        <v>178.2179039895847</v>
      </c>
      <c r="W227" s="158">
        <f t="shared" si="27"/>
        <v>62.24769594043476</v>
      </c>
      <c r="X227" s="158">
        <f t="shared" si="28"/>
        <v>41.264493441568419</v>
      </c>
      <c r="Y227" s="158">
        <f t="shared" si="29"/>
        <v>30.152901127562881</v>
      </c>
      <c r="Z227" s="158">
        <f t="shared" si="30"/>
        <v>12.834603528922312</v>
      </c>
      <c r="AA227" s="158">
        <f t="shared" si="31"/>
        <v>2.1131536379717644</v>
      </c>
    </row>
    <row r="228" spans="1:27" ht="19.5" thickBot="1" x14ac:dyDescent="0.35">
      <c r="A228" s="142">
        <v>160</v>
      </c>
      <c r="B228" s="143" t="s">
        <v>275</v>
      </c>
      <c r="C228" s="142">
        <v>45</v>
      </c>
      <c r="D228" s="143" t="s">
        <v>276</v>
      </c>
      <c r="E228" s="142">
        <v>457574</v>
      </c>
      <c r="F228" s="143" t="s">
        <v>295</v>
      </c>
      <c r="G228" s="144">
        <v>3.3124110479673949</v>
      </c>
      <c r="H228" s="145">
        <v>20.830748056567643</v>
      </c>
      <c r="I228" s="146">
        <v>14.385291955006494</v>
      </c>
      <c r="J228" s="147">
        <v>0.68300661099735804</v>
      </c>
      <c r="K228" s="148">
        <v>44</v>
      </c>
      <c r="M228" s="149">
        <f t="shared" si="24"/>
        <v>0.69057971014492747</v>
      </c>
      <c r="N228" s="138">
        <f t="shared" si="25"/>
        <v>14.385291955006494</v>
      </c>
      <c r="O228" s="149"/>
      <c r="V228" s="158">
        <f t="shared" si="26"/>
        <v>168.9433575308903</v>
      </c>
      <c r="W228" s="158">
        <f t="shared" si="27"/>
        <v>35.262171069872991</v>
      </c>
      <c r="X228" s="158">
        <f t="shared" si="28"/>
        <v>11.074412394719035</v>
      </c>
      <c r="Y228" s="158">
        <f t="shared" si="29"/>
        <v>-1.7341430868563816</v>
      </c>
      <c r="Z228" s="158">
        <f t="shared" si="30"/>
        <v>-21.69729232506479</v>
      </c>
      <c r="AA228" s="158">
        <f t="shared" si="31"/>
        <v>-34.05612280502028</v>
      </c>
    </row>
    <row r="229" spans="1:27" ht="19.5" thickBot="1" x14ac:dyDescent="0.35">
      <c r="A229" s="142">
        <v>160</v>
      </c>
      <c r="B229" s="143" t="s">
        <v>275</v>
      </c>
      <c r="C229" s="142">
        <v>45</v>
      </c>
      <c r="D229" s="143" t="s">
        <v>276</v>
      </c>
      <c r="E229" s="142">
        <v>557612</v>
      </c>
      <c r="F229" s="143" t="s">
        <v>296</v>
      </c>
      <c r="G229" s="144">
        <v>3.8271842644328</v>
      </c>
      <c r="H229" s="145">
        <v>-0.26128869970889756</v>
      </c>
      <c r="I229" s="146">
        <v>1.306443498544488E-2</v>
      </c>
      <c r="J229" s="147">
        <v>0.99971211293212581</v>
      </c>
      <c r="K229" s="148">
        <v>286</v>
      </c>
      <c r="M229" s="149">
        <f t="shared" si="24"/>
        <v>-5.000000000000001E-2</v>
      </c>
      <c r="N229" s="138">
        <f t="shared" si="25"/>
        <v>1.306443498544488E-2</v>
      </c>
      <c r="O229" s="149"/>
      <c r="V229" s="158">
        <f t="shared" si="26"/>
        <v>-3946.1185261188043</v>
      </c>
      <c r="W229" s="158">
        <f t="shared" si="27"/>
        <v>-1812.8317110721355</v>
      </c>
      <c r="X229" s="158">
        <f t="shared" si="28"/>
        <v>-1426.8430163781106</v>
      </c>
      <c r="Y229" s="158">
        <f t="shared" si="29"/>
        <v>-1222.443854072601</v>
      </c>
      <c r="Z229" s="158">
        <f t="shared" si="30"/>
        <v>-903.87155392999432</v>
      </c>
      <c r="AA229" s="158">
        <f t="shared" si="31"/>
        <v>-706.64911141393986</v>
      </c>
    </row>
    <row r="230" spans="1:27" ht="19.5" thickBot="1" x14ac:dyDescent="0.35">
      <c r="A230" s="142">
        <v>160</v>
      </c>
      <c r="B230" s="143" t="s">
        <v>275</v>
      </c>
      <c r="C230" s="142">
        <v>45</v>
      </c>
      <c r="D230" s="143" t="s">
        <v>276</v>
      </c>
      <c r="E230" s="142">
        <v>557712</v>
      </c>
      <c r="F230" s="143" t="s">
        <v>543</v>
      </c>
      <c r="G230" s="144">
        <v>5.7046753832273573</v>
      </c>
      <c r="H230" s="145">
        <v>9.1153302347208349</v>
      </c>
      <c r="I230" s="146">
        <v>6.1703773896571814</v>
      </c>
      <c r="J230" s="147">
        <v>0.86402995182228659</v>
      </c>
      <c r="K230" s="148">
        <v>199</v>
      </c>
      <c r="M230" s="149">
        <f t="shared" si="24"/>
        <v>0.67692307692307696</v>
      </c>
      <c r="N230" s="138">
        <f t="shared" si="25"/>
        <v>6.1703773896571814</v>
      </c>
      <c r="O230" s="149"/>
      <c r="V230" s="158">
        <f t="shared" si="26"/>
        <v>375.49678049847051</v>
      </c>
      <c r="W230" s="158">
        <f t="shared" si="27"/>
        <v>140.62464427315513</v>
      </c>
      <c r="X230" s="158">
        <f t="shared" si="28"/>
        <v>98.127785134397755</v>
      </c>
      <c r="Y230" s="158">
        <f t="shared" si="29"/>
        <v>75.623700097754536</v>
      </c>
      <c r="Z230" s="158">
        <f t="shared" si="30"/>
        <v>40.54929934256613</v>
      </c>
      <c r="AA230" s="158">
        <f t="shared" si="31"/>
        <v>18.835361929838623</v>
      </c>
    </row>
    <row r="231" spans="1:27" ht="19.5" thickBot="1" x14ac:dyDescent="0.35">
      <c r="A231" s="142">
        <v>160</v>
      </c>
      <c r="B231" s="143" t="s">
        <v>275</v>
      </c>
      <c r="C231" s="142">
        <v>42</v>
      </c>
      <c r="D231" s="143" t="s">
        <v>299</v>
      </c>
      <c r="E231" s="142">
        <v>457163</v>
      </c>
      <c r="F231" s="143" t="s">
        <v>300</v>
      </c>
      <c r="G231" s="144">
        <v>2.456290679625579</v>
      </c>
      <c r="H231" s="145">
        <v>15.470481696324505</v>
      </c>
      <c r="I231" s="146">
        <v>10.625778217738674</v>
      </c>
      <c r="J231" s="147">
        <v>0.76585101932121935</v>
      </c>
      <c r="K231" s="148">
        <v>97</v>
      </c>
      <c r="M231" s="149">
        <f t="shared" si="24"/>
        <v>0.68684210526315792</v>
      </c>
      <c r="N231" s="138">
        <f t="shared" si="25"/>
        <v>10.625778217738674</v>
      </c>
      <c r="O231" s="149"/>
      <c r="V231" s="158">
        <f t="shared" si="26"/>
        <v>141.23845158248855</v>
      </c>
      <c r="W231" s="158">
        <f t="shared" si="27"/>
        <v>41.56884804696724</v>
      </c>
      <c r="X231" s="158">
        <f t="shared" si="28"/>
        <v>23.535014106778004</v>
      </c>
      <c r="Y231" s="158">
        <f t="shared" si="29"/>
        <v>13.985251118374055</v>
      </c>
      <c r="Z231" s="158">
        <f t="shared" si="30"/>
        <v>-0.89881164742804831</v>
      </c>
      <c r="AA231" s="158">
        <f t="shared" si="31"/>
        <v>-10.113270066818904</v>
      </c>
    </row>
    <row r="232" spans="1:27" ht="19.5" thickBot="1" x14ac:dyDescent="0.35">
      <c r="A232" s="142">
        <v>160</v>
      </c>
      <c r="B232" s="143" t="s">
        <v>275</v>
      </c>
      <c r="C232" s="142">
        <v>42</v>
      </c>
      <c r="D232" s="143" t="s">
        <v>299</v>
      </c>
      <c r="E232" s="142">
        <v>457165</v>
      </c>
      <c r="F232" s="143" t="s">
        <v>301</v>
      </c>
      <c r="G232" s="144">
        <v>3.326340992863813</v>
      </c>
      <c r="H232" s="145">
        <v>24.050450681883941</v>
      </c>
      <c r="I232" s="146">
        <v>16.993146559918621</v>
      </c>
      <c r="J232" s="147">
        <v>0.62554009090010443</v>
      </c>
      <c r="K232" s="148">
        <v>26</v>
      </c>
      <c r="M232" s="149">
        <f t="shared" si="24"/>
        <v>0.70656249999999998</v>
      </c>
      <c r="N232" s="138">
        <f t="shared" si="25"/>
        <v>16.993146559918621</v>
      </c>
      <c r="O232" s="149"/>
      <c r="V232" s="158">
        <f t="shared" si="26"/>
        <v>151.86480477339421</v>
      </c>
      <c r="W232" s="158">
        <f t="shared" si="27"/>
        <v>20.658088926096958</v>
      </c>
      <c r="X232" s="158">
        <f t="shared" si="28"/>
        <v>-3.0819485727426752</v>
      </c>
      <c r="Y232" s="158">
        <f t="shared" si="29"/>
        <v>-15.653414640449045</v>
      </c>
      <c r="Z232" s="158">
        <f t="shared" si="30"/>
        <v>-35.24704122962217</v>
      </c>
      <c r="AA232" s="158">
        <f t="shared" si="31"/>
        <v>-47.377106812644939</v>
      </c>
    </row>
    <row r="233" spans="1:27" ht="19.5" thickBot="1" x14ac:dyDescent="0.35">
      <c r="A233" s="142">
        <v>160</v>
      </c>
      <c r="B233" s="143" t="s">
        <v>275</v>
      </c>
      <c r="C233" s="142">
        <v>42</v>
      </c>
      <c r="D233" s="143" t="s">
        <v>299</v>
      </c>
      <c r="E233" s="142">
        <v>557210</v>
      </c>
      <c r="F233" s="143" t="s">
        <v>302</v>
      </c>
      <c r="G233" s="144">
        <v>2.2747145523264414</v>
      </c>
      <c r="H233" s="145">
        <v>1.3188467963735406</v>
      </c>
      <c r="I233" s="146">
        <v>0.70338495806588841</v>
      </c>
      <c r="J233" s="147">
        <v>0.98450025329147473</v>
      </c>
      <c r="K233" s="148">
        <v>279</v>
      </c>
      <c r="M233" s="149">
        <f t="shared" si="24"/>
        <v>0.53333333333333344</v>
      </c>
      <c r="N233" s="138">
        <f t="shared" si="25"/>
        <v>0.70338495806588841</v>
      </c>
      <c r="O233" s="149"/>
      <c r="V233" s="158">
        <f t="shared" si="26"/>
        <v>216.53585226961374</v>
      </c>
      <c r="W233" s="158">
        <f t="shared" si="27"/>
        <v>97.667002797259968</v>
      </c>
      <c r="X233" s="158">
        <f t="shared" si="28"/>
        <v>76.159331290552331</v>
      </c>
      <c r="Y233" s="158">
        <f t="shared" si="29"/>
        <v>64.770007977345003</v>
      </c>
      <c r="Z233" s="158">
        <f t="shared" si="30"/>
        <v>47.018844596679472</v>
      </c>
      <c r="AA233" s="158">
        <f t="shared" si="31"/>
        <v>36.029415202255578</v>
      </c>
    </row>
    <row r="234" spans="1:27" ht="19.5" thickBot="1" x14ac:dyDescent="0.35">
      <c r="A234" s="142">
        <v>160</v>
      </c>
      <c r="B234" s="143" t="s">
        <v>275</v>
      </c>
      <c r="C234" s="142">
        <v>42</v>
      </c>
      <c r="D234" s="143" t="s">
        <v>299</v>
      </c>
      <c r="E234" s="142">
        <v>557250</v>
      </c>
      <c r="F234" s="143" t="s">
        <v>303</v>
      </c>
      <c r="G234" s="144">
        <v>2.9376340331368493</v>
      </c>
      <c r="H234" s="145">
        <v>11.233529986293803</v>
      </c>
      <c r="I234" s="146">
        <v>7.4209379909456032</v>
      </c>
      <c r="J234" s="147">
        <v>0.83647267704500039</v>
      </c>
      <c r="K234" s="148">
        <v>168</v>
      </c>
      <c r="M234" s="149">
        <f t="shared" si="24"/>
        <v>0.66060606060606064</v>
      </c>
      <c r="N234" s="138">
        <f t="shared" si="25"/>
        <v>7.4209379909456032</v>
      </c>
      <c r="O234" s="149"/>
      <c r="V234" s="158">
        <f t="shared" si="26"/>
        <v>191.81947592830997</v>
      </c>
      <c r="W234" s="158">
        <f t="shared" si="27"/>
        <v>67.884177070115641</v>
      </c>
      <c r="X234" s="158">
        <f t="shared" si="28"/>
        <v>45.459801737471139</v>
      </c>
      <c r="Y234" s="158">
        <f t="shared" si="29"/>
        <v>33.585040646734384</v>
      </c>
      <c r="Z234" s="158">
        <f t="shared" si="30"/>
        <v>15.077284002088087</v>
      </c>
      <c r="AA234" s="158">
        <f t="shared" si="31"/>
        <v>3.6194611803426957</v>
      </c>
    </row>
    <row r="235" spans="1:27" ht="19.5" thickBot="1" x14ac:dyDescent="0.35">
      <c r="A235" s="142">
        <v>160</v>
      </c>
      <c r="B235" s="143" t="s">
        <v>275</v>
      </c>
      <c r="C235" s="142">
        <v>42</v>
      </c>
      <c r="D235" s="143" t="s">
        <v>299</v>
      </c>
      <c r="E235" s="142">
        <v>457258</v>
      </c>
      <c r="F235" s="143" t="s">
        <v>304</v>
      </c>
      <c r="G235" s="144">
        <v>3.2454949073058987</v>
      </c>
      <c r="H235" s="145">
        <v>4.0055524261448818</v>
      </c>
      <c r="I235" s="146">
        <v>2.9271344652597211</v>
      </c>
      <c r="J235" s="147">
        <v>0.93549784897579469</v>
      </c>
      <c r="K235" s="148">
        <v>261</v>
      </c>
      <c r="M235" s="149">
        <f t="shared" si="24"/>
        <v>0.73076923076923073</v>
      </c>
      <c r="N235" s="138">
        <f t="shared" si="25"/>
        <v>2.9271344652597211</v>
      </c>
      <c r="O235" s="149"/>
      <c r="V235" s="158">
        <f t="shared" si="26"/>
        <v>214.25416622084933</v>
      </c>
      <c r="W235" s="158">
        <f t="shared" si="27"/>
        <v>90.476993013965441</v>
      </c>
      <c r="X235" s="158">
        <f t="shared" si="28"/>
        <v>68.081228327257762</v>
      </c>
      <c r="Y235" s="158">
        <f t="shared" si="29"/>
        <v>56.221617918763499</v>
      </c>
      <c r="Z235" s="158">
        <f t="shared" si="30"/>
        <v>37.737474813606703</v>
      </c>
      <c r="AA235" s="158">
        <f t="shared" si="31"/>
        <v>26.294270713992777</v>
      </c>
    </row>
    <row r="236" spans="1:27" ht="19.5" thickBot="1" x14ac:dyDescent="0.35">
      <c r="A236" s="142">
        <v>160</v>
      </c>
      <c r="B236" s="143" t="s">
        <v>275</v>
      </c>
      <c r="C236" s="142">
        <v>42</v>
      </c>
      <c r="D236" s="143" t="s">
        <v>299</v>
      </c>
      <c r="E236" s="142">
        <v>557305</v>
      </c>
      <c r="F236" s="143" t="s">
        <v>305</v>
      </c>
      <c r="G236" s="144">
        <v>2.8560806017217275</v>
      </c>
      <c r="H236" s="145">
        <v>15.405727686212895</v>
      </c>
      <c r="I236" s="146">
        <v>9.7686318737577214</v>
      </c>
      <c r="J236" s="147">
        <v>0.78473904226156588</v>
      </c>
      <c r="K236" s="148">
        <v>112</v>
      </c>
      <c r="M236" s="149">
        <f t="shared" si="24"/>
        <v>0.63409090909090904</v>
      </c>
      <c r="N236" s="138">
        <f t="shared" si="25"/>
        <v>9.7686318737577214</v>
      </c>
      <c r="O236" s="149"/>
      <c r="V236" s="158">
        <f t="shared" si="26"/>
        <v>182.27621267371458</v>
      </c>
      <c r="W236" s="158">
        <f t="shared" si="27"/>
        <v>56.742950752403516</v>
      </c>
      <c r="X236" s="158">
        <f t="shared" si="28"/>
        <v>34.029446141618216</v>
      </c>
      <c r="Y236" s="158">
        <f t="shared" si="29"/>
        <v>22.001577503789143</v>
      </c>
      <c r="Z236" s="158">
        <f t="shared" si="30"/>
        <v>3.2551906079410675</v>
      </c>
      <c r="AA236" s="158">
        <f t="shared" si="31"/>
        <v>-8.3503639562664436</v>
      </c>
    </row>
    <row r="237" spans="1:27" ht="19.5" thickBot="1" x14ac:dyDescent="0.35">
      <c r="A237" s="142">
        <v>160</v>
      </c>
      <c r="B237" s="143" t="s">
        <v>275</v>
      </c>
      <c r="C237" s="142">
        <v>42</v>
      </c>
      <c r="D237" s="143" t="s">
        <v>299</v>
      </c>
      <c r="E237" s="142">
        <v>457308</v>
      </c>
      <c r="F237" s="143" t="s">
        <v>306</v>
      </c>
      <c r="G237" s="144">
        <v>9.2014397202331395</v>
      </c>
      <c r="H237" s="145">
        <v>20.54026388766162</v>
      </c>
      <c r="I237" s="146">
        <v>13.957054972343618</v>
      </c>
      <c r="J237" s="147">
        <v>0.69244321422064714</v>
      </c>
      <c r="K237" s="148">
        <v>51</v>
      </c>
      <c r="M237" s="149">
        <f t="shared" si="24"/>
        <v>0.6794973544973546</v>
      </c>
      <c r="N237" s="138">
        <f t="shared" si="25"/>
        <v>13.957054972343618</v>
      </c>
      <c r="O237" s="149"/>
      <c r="V237" s="158">
        <f t="shared" si="26"/>
        <v>483.54620829713974</v>
      </c>
      <c r="W237" s="158">
        <f t="shared" si="27"/>
        <v>106.14099389989507</v>
      </c>
      <c r="X237" s="158">
        <f t="shared" si="28"/>
        <v>37.854748914724496</v>
      </c>
      <c r="Y237" s="158">
        <f t="shared" si="29"/>
        <v>1.6939715038162064</v>
      </c>
      <c r="Z237" s="158">
        <f t="shared" si="30"/>
        <v>-54.665467080963865</v>
      </c>
      <c r="AA237" s="158">
        <f t="shared" si="31"/>
        <v>-89.556592679605629</v>
      </c>
    </row>
    <row r="238" spans="1:27" ht="19.5" thickBot="1" x14ac:dyDescent="0.35">
      <c r="A238" s="142">
        <v>160</v>
      </c>
      <c r="B238" s="143" t="s">
        <v>275</v>
      </c>
      <c r="C238" s="142">
        <v>42</v>
      </c>
      <c r="D238" s="143" t="s">
        <v>299</v>
      </c>
      <c r="E238" s="142">
        <v>457345</v>
      </c>
      <c r="F238" s="143" t="s">
        <v>307</v>
      </c>
      <c r="G238" s="144">
        <v>2.4944492773355069</v>
      </c>
      <c r="H238" s="145">
        <v>4.8106811026512544</v>
      </c>
      <c r="I238" s="146">
        <v>3.4075657810446383</v>
      </c>
      <c r="J238" s="147">
        <v>0.92491109470970156</v>
      </c>
      <c r="K238" s="148">
        <v>252</v>
      </c>
      <c r="M238" s="149">
        <f t="shared" si="24"/>
        <v>0.70833333333333326</v>
      </c>
      <c r="N238" s="138">
        <f t="shared" si="25"/>
        <v>3.4075657810446383</v>
      </c>
      <c r="O238" s="149"/>
      <c r="V238" s="158">
        <f t="shared" si="26"/>
        <v>167.96654539053719</v>
      </c>
      <c r="W238" s="158">
        <f t="shared" si="27"/>
        <v>69.8195794049591</v>
      </c>
      <c r="X238" s="158">
        <f t="shared" si="28"/>
        <v>52.061245634859191</v>
      </c>
      <c r="Y238" s="158">
        <f t="shared" si="29"/>
        <v>42.657372940019215</v>
      </c>
      <c r="Z238" s="158">
        <f t="shared" si="30"/>
        <v>28.000691763578452</v>
      </c>
      <c r="AA238" s="158">
        <f t="shared" si="31"/>
        <v>18.927001240256878</v>
      </c>
    </row>
    <row r="239" spans="1:27" ht="19.5" thickBot="1" x14ac:dyDescent="0.35">
      <c r="A239" s="142">
        <v>160</v>
      </c>
      <c r="B239" s="143" t="s">
        <v>275</v>
      </c>
      <c r="C239" s="142">
        <v>42</v>
      </c>
      <c r="D239" s="143" t="s">
        <v>299</v>
      </c>
      <c r="E239" s="142">
        <v>557353</v>
      </c>
      <c r="F239" s="143" t="s">
        <v>308</v>
      </c>
      <c r="G239" s="144">
        <v>2.600180563864698</v>
      </c>
      <c r="H239" s="145">
        <v>9.9993055718237134</v>
      </c>
      <c r="I239" s="146">
        <v>7.0379727678605368</v>
      </c>
      <c r="J239" s="147">
        <v>0.84491167462082906</v>
      </c>
      <c r="K239" s="148">
        <v>175</v>
      </c>
      <c r="M239" s="149">
        <f t="shared" si="24"/>
        <v>0.7038461538461539</v>
      </c>
      <c r="N239" s="138">
        <f t="shared" si="25"/>
        <v>7.0379727678605368</v>
      </c>
      <c r="O239" s="149"/>
      <c r="V239" s="158">
        <f t="shared" si="26"/>
        <v>160.96182234479318</v>
      </c>
      <c r="W239" s="158">
        <f t="shared" si="27"/>
        <v>58.002506741635322</v>
      </c>
      <c r="X239" s="158">
        <f t="shared" si="28"/>
        <v>39.373444978375112</v>
      </c>
      <c r="Y239" s="158">
        <f t="shared" si="29"/>
        <v>29.508480871158397</v>
      </c>
      <c r="Z239" s="158">
        <f t="shared" si="30"/>
        <v>14.133152171117182</v>
      </c>
      <c r="AA239" s="158">
        <f t="shared" si="31"/>
        <v>4.6145597531577192</v>
      </c>
    </row>
    <row r="240" spans="1:27" ht="19.5" thickBot="1" x14ac:dyDescent="0.35">
      <c r="A240" s="142">
        <v>160</v>
      </c>
      <c r="B240" s="143" t="s">
        <v>275</v>
      </c>
      <c r="C240" s="142">
        <v>42</v>
      </c>
      <c r="D240" s="143" t="s">
        <v>299</v>
      </c>
      <c r="E240" s="142">
        <v>457435</v>
      </c>
      <c r="F240" s="143" t="s">
        <v>309</v>
      </c>
      <c r="G240" s="144">
        <v>3.3634437715401972</v>
      </c>
      <c r="H240" s="145">
        <v>8.9194296196788567</v>
      </c>
      <c r="I240" s="146">
        <v>6.1098092894800171</v>
      </c>
      <c r="J240" s="147">
        <v>0.86536462666939173</v>
      </c>
      <c r="K240" s="148">
        <v>201</v>
      </c>
      <c r="M240" s="149">
        <f t="shared" si="24"/>
        <v>0.68500000000000005</v>
      </c>
      <c r="N240" s="138">
        <f t="shared" si="25"/>
        <v>6.1098092894800171</v>
      </c>
      <c r="O240" s="149"/>
      <c r="V240" s="158">
        <f t="shared" si="26"/>
        <v>219.11824573644861</v>
      </c>
      <c r="W240" s="158">
        <f t="shared" si="27"/>
        <v>82.271812828282108</v>
      </c>
      <c r="X240" s="158">
        <f t="shared" si="28"/>
        <v>57.511346659741555</v>
      </c>
      <c r="Y240" s="158">
        <f t="shared" si="29"/>
        <v>44.399515632784947</v>
      </c>
      <c r="Z240" s="158">
        <f t="shared" si="30"/>
        <v>23.963687412043903</v>
      </c>
      <c r="AA240" s="158">
        <f t="shared" si="31"/>
        <v>11.312229784595184</v>
      </c>
    </row>
    <row r="241" spans="1:27" ht="19.5" thickBot="1" x14ac:dyDescent="0.35">
      <c r="A241" s="142">
        <v>160</v>
      </c>
      <c r="B241" s="143" t="s">
        <v>275</v>
      </c>
      <c r="C241" s="142">
        <v>42</v>
      </c>
      <c r="D241" s="143" t="s">
        <v>299</v>
      </c>
      <c r="E241" s="142">
        <v>557458</v>
      </c>
      <c r="F241" s="143" t="s">
        <v>310</v>
      </c>
      <c r="G241" s="144">
        <v>2.3177117404141168</v>
      </c>
      <c r="H241" s="145">
        <v>25.024682314305771</v>
      </c>
      <c r="I241" s="146">
        <v>16.41705451826439</v>
      </c>
      <c r="J241" s="147">
        <v>0.63823481890650191</v>
      </c>
      <c r="K241" s="148">
        <v>30</v>
      </c>
      <c r="M241" s="149">
        <f t="shared" si="24"/>
        <v>0.65603448275862075</v>
      </c>
      <c r="N241" s="138">
        <f t="shared" si="25"/>
        <v>16.41705451826439</v>
      </c>
      <c r="O241" s="149"/>
      <c r="V241" s="158">
        <f t="shared" si="26"/>
        <v>116.2784007391358</v>
      </c>
      <c r="W241" s="158">
        <f t="shared" si="27"/>
        <v>17.815498125898678</v>
      </c>
      <c r="X241" s="158">
        <f t="shared" si="28"/>
        <v>0</v>
      </c>
      <c r="Y241" s="158">
        <f t="shared" si="29"/>
        <v>-9.4341439089962975</v>
      </c>
      <c r="Z241" s="158">
        <f t="shared" si="30"/>
        <v>-24.138005172738371</v>
      </c>
      <c r="AA241" s="158">
        <f t="shared" si="31"/>
        <v>-33.240904048611377</v>
      </c>
    </row>
    <row r="242" spans="1:27" ht="19.5" thickBot="1" x14ac:dyDescent="0.35">
      <c r="A242" s="142">
        <v>160</v>
      </c>
      <c r="B242" s="143" t="s">
        <v>275</v>
      </c>
      <c r="C242" s="142">
        <v>42</v>
      </c>
      <c r="D242" s="143" t="s">
        <v>299</v>
      </c>
      <c r="E242" s="142">
        <v>557503</v>
      </c>
      <c r="F242" s="143" t="s">
        <v>311</v>
      </c>
      <c r="G242" s="144">
        <v>2.7902735090423261</v>
      </c>
      <c r="H242" s="145">
        <v>13.618736613760243</v>
      </c>
      <c r="I242" s="146">
        <v>9.2284859948506917</v>
      </c>
      <c r="J242" s="147">
        <v>0.79664166288588756</v>
      </c>
      <c r="K242" s="148">
        <v>121</v>
      </c>
      <c r="M242" s="149">
        <f t="shared" si="24"/>
        <v>0.67763157894736847</v>
      </c>
      <c r="N242" s="138">
        <f t="shared" si="25"/>
        <v>9.2284859948506917</v>
      </c>
      <c r="O242" s="149"/>
      <c r="V242" s="158">
        <f t="shared" si="26"/>
        <v>169.16166767972857</v>
      </c>
      <c r="W242" s="158">
        <f t="shared" si="27"/>
        <v>54.401012160575242</v>
      </c>
      <c r="X242" s="158">
        <f t="shared" si="28"/>
        <v>33.636661434908937</v>
      </c>
      <c r="Y242" s="158">
        <f t="shared" si="29"/>
        <v>22.640961424813035</v>
      </c>
      <c r="Z242" s="158">
        <f t="shared" si="30"/>
        <v>5.5032911702813205</v>
      </c>
      <c r="AA242" s="158">
        <f t="shared" si="31"/>
        <v>-5.1063355459161492</v>
      </c>
    </row>
    <row r="243" spans="1:27" ht="19.5" thickBot="1" x14ac:dyDescent="0.35">
      <c r="A243" s="142">
        <v>160</v>
      </c>
      <c r="B243" s="143" t="s">
        <v>275</v>
      </c>
      <c r="C243" s="142">
        <v>42</v>
      </c>
      <c r="D243" s="143" t="s">
        <v>299</v>
      </c>
      <c r="E243" s="142">
        <v>557523</v>
      </c>
      <c r="F243" s="143" t="s">
        <v>312</v>
      </c>
      <c r="G243" s="144">
        <v>3.5784199740302469</v>
      </c>
      <c r="H243" s="145">
        <v>4.1917941742053362</v>
      </c>
      <c r="I243" s="146">
        <v>2.9202832746963843</v>
      </c>
      <c r="J243" s="147">
        <v>0.93564882138025929</v>
      </c>
      <c r="K243" s="148">
        <v>262</v>
      </c>
      <c r="M243" s="149">
        <f t="shared" si="24"/>
        <v>0.69666666666666666</v>
      </c>
      <c r="N243" s="138">
        <f t="shared" si="25"/>
        <v>2.9202832746963843</v>
      </c>
      <c r="O243" s="149"/>
      <c r="V243" s="158">
        <f t="shared" si="26"/>
        <v>247.83632246407521</v>
      </c>
      <c r="W243" s="158">
        <f t="shared" si="27"/>
        <v>104.68144186410196</v>
      </c>
      <c r="X243" s="158">
        <f t="shared" si="28"/>
        <v>78.77954948276556</v>
      </c>
      <c r="Y243" s="158">
        <f t="shared" si="29"/>
        <v>65.06327960841223</v>
      </c>
      <c r="Z243" s="158">
        <f t="shared" si="30"/>
        <v>43.685385521359521</v>
      </c>
      <c r="AA243" s="158">
        <f t="shared" si="31"/>
        <v>30.450711678684872</v>
      </c>
    </row>
    <row r="244" spans="1:27" ht="19.5" thickBot="1" x14ac:dyDescent="0.35">
      <c r="A244" s="142">
        <v>160</v>
      </c>
      <c r="B244" s="143" t="s">
        <v>275</v>
      </c>
      <c r="C244" s="142">
        <v>42</v>
      </c>
      <c r="D244" s="143" t="s">
        <v>299</v>
      </c>
      <c r="E244" s="142">
        <v>457543</v>
      </c>
      <c r="F244" s="143" t="s">
        <v>313</v>
      </c>
      <c r="G244" s="144">
        <v>3.0802030008650325</v>
      </c>
      <c r="H244" s="145">
        <v>1.9479235616337569</v>
      </c>
      <c r="I244" s="146">
        <v>1.3797791894905778</v>
      </c>
      <c r="J244" s="147">
        <v>0.96959527253809297</v>
      </c>
      <c r="K244" s="148">
        <v>275</v>
      </c>
      <c r="M244" s="149">
        <f t="shared" si="24"/>
        <v>0.70833333333333326</v>
      </c>
      <c r="N244" s="138">
        <f t="shared" si="25"/>
        <v>1.3797791894905778</v>
      </c>
      <c r="O244" s="149"/>
      <c r="V244" s="158">
        <f t="shared" si="26"/>
        <v>217.42924242609269</v>
      </c>
      <c r="W244" s="158">
        <f t="shared" si="27"/>
        <v>96.235124790036068</v>
      </c>
      <c r="X244" s="158">
        <f t="shared" si="28"/>
        <v>74.306728223298634</v>
      </c>
      <c r="Y244" s="158">
        <f t="shared" si="29"/>
        <v>62.69461120910173</v>
      </c>
      <c r="Z244" s="158">
        <f t="shared" si="30"/>
        <v>44.596206181352301</v>
      </c>
      <c r="AA244" s="158">
        <f t="shared" si="31"/>
        <v>33.391805661847741</v>
      </c>
    </row>
    <row r="245" spans="1:27" ht="19.5" thickBot="1" x14ac:dyDescent="0.35">
      <c r="A245" s="142">
        <v>160</v>
      </c>
      <c r="B245" s="143" t="s">
        <v>275</v>
      </c>
      <c r="C245" s="142">
        <v>42</v>
      </c>
      <c r="D245" s="143" t="s">
        <v>299</v>
      </c>
      <c r="E245" s="142">
        <v>457583</v>
      </c>
      <c r="F245" s="143" t="s">
        <v>314</v>
      </c>
      <c r="G245" s="144">
        <v>6.0121721622273636</v>
      </c>
      <c r="H245" s="145">
        <v>9.4807664288314211</v>
      </c>
      <c r="I245" s="146">
        <v>6.9151379698011635</v>
      </c>
      <c r="J245" s="147">
        <v>0.84761845450726336</v>
      </c>
      <c r="K245" s="148">
        <v>176</v>
      </c>
      <c r="M245" s="149">
        <f t="shared" si="24"/>
        <v>0.72938596491228069</v>
      </c>
      <c r="N245" s="138">
        <f t="shared" si="25"/>
        <v>6.9151379698011635</v>
      </c>
      <c r="O245" s="149"/>
      <c r="V245" s="158">
        <f t="shared" si="26"/>
        <v>360.29664095870805</v>
      </c>
      <c r="W245" s="158">
        <f t="shared" si="27"/>
        <v>130.56866441433465</v>
      </c>
      <c r="X245" s="158">
        <f t="shared" si="28"/>
        <v>89.002569702816729</v>
      </c>
      <c r="Y245" s="158">
        <f t="shared" si="29"/>
        <v>66.991368193195797</v>
      </c>
      <c r="Z245" s="158">
        <f t="shared" si="30"/>
        <v>32.685165492905462</v>
      </c>
      <c r="AA245" s="158">
        <f t="shared" si="31"/>
        <v>11.446805827066996</v>
      </c>
    </row>
    <row r="246" spans="1:27" ht="19.5" thickBot="1" x14ac:dyDescent="0.35">
      <c r="A246" s="142">
        <v>160</v>
      </c>
      <c r="B246" s="143" t="s">
        <v>275</v>
      </c>
      <c r="C246" s="142">
        <v>42</v>
      </c>
      <c r="D246" s="143" t="s">
        <v>299</v>
      </c>
      <c r="E246" s="142">
        <v>457614</v>
      </c>
      <c r="F246" s="143" t="s">
        <v>315</v>
      </c>
      <c r="G246" s="144">
        <v>8.556177349674952</v>
      </c>
      <c r="H246" s="145">
        <v>4.7918595331076892</v>
      </c>
      <c r="I246" s="146">
        <v>3.4536451025202979</v>
      </c>
      <c r="J246" s="147">
        <v>0.9238956936790379</v>
      </c>
      <c r="K246" s="148">
        <v>250</v>
      </c>
      <c r="M246" s="149">
        <f t="shared" si="24"/>
        <v>0.72073170731707314</v>
      </c>
      <c r="N246" s="138">
        <f t="shared" si="25"/>
        <v>3.4536451025202979</v>
      </c>
      <c r="O246" s="149"/>
      <c r="V246" s="158">
        <f t="shared" si="26"/>
        <v>565.60715621194913</v>
      </c>
      <c r="W246" s="158">
        <f t="shared" si="27"/>
        <v>234.74581145884338</v>
      </c>
      <c r="X246" s="158">
        <f t="shared" si="28"/>
        <v>174.88103486846856</v>
      </c>
      <c r="Y246" s="158">
        <f t="shared" si="29"/>
        <v>143.17982093426548</v>
      </c>
      <c r="Z246" s="158">
        <f t="shared" si="30"/>
        <v>93.770965602280029</v>
      </c>
      <c r="AA246" s="158">
        <f t="shared" si="31"/>
        <v>63.182822420545527</v>
      </c>
    </row>
    <row r="247" spans="1:27" ht="19.5" thickBot="1" x14ac:dyDescent="0.35">
      <c r="A247" s="142">
        <v>160</v>
      </c>
      <c r="B247" s="143" t="s">
        <v>275</v>
      </c>
      <c r="C247" s="142">
        <v>42</v>
      </c>
      <c r="D247" s="143" t="s">
        <v>299</v>
      </c>
      <c r="E247" s="142">
        <v>457617</v>
      </c>
      <c r="F247" s="143" t="s">
        <v>544</v>
      </c>
      <c r="G247" s="144">
        <v>7.6637250357256459</v>
      </c>
      <c r="H247" s="145">
        <v>6.0023030296055566</v>
      </c>
      <c r="I247" s="146">
        <v>4.537610605533331</v>
      </c>
      <c r="J247" s="147">
        <v>0.90000949801218744</v>
      </c>
      <c r="K247" s="148">
        <v>231</v>
      </c>
      <c r="M247" s="149">
        <f t="shared" si="24"/>
        <v>0.75597826086956521</v>
      </c>
      <c r="N247" s="138">
        <f t="shared" si="25"/>
        <v>4.537610605533331</v>
      </c>
      <c r="O247" s="149"/>
      <c r="V247" s="158">
        <f t="shared" si="26"/>
        <v>470.50419887070348</v>
      </c>
      <c r="W247" s="158">
        <f t="shared" si="27"/>
        <v>187.97034815664932</v>
      </c>
      <c r="X247" s="158">
        <f t="shared" si="28"/>
        <v>136.84976208505324</v>
      </c>
      <c r="Y247" s="158">
        <f t="shared" si="29"/>
        <v>109.77900816599374</v>
      </c>
      <c r="Z247" s="158">
        <f t="shared" si="30"/>
        <v>67.587091891409244</v>
      </c>
      <c r="AA247" s="158">
        <f t="shared" si="31"/>
        <v>41.466827265823454</v>
      </c>
    </row>
    <row r="248" spans="1:27" ht="19.5" thickBot="1" x14ac:dyDescent="0.35">
      <c r="A248" s="142">
        <v>160</v>
      </c>
      <c r="B248" s="143" t="s">
        <v>275</v>
      </c>
      <c r="C248" s="142">
        <v>42</v>
      </c>
      <c r="D248" s="143" t="s">
        <v>299</v>
      </c>
      <c r="E248" s="142">
        <v>557668</v>
      </c>
      <c r="F248" s="143" t="s">
        <v>317</v>
      </c>
      <c r="G248" s="144">
        <v>4.1744710626853223</v>
      </c>
      <c r="H248" s="145">
        <v>0.95820522886243464</v>
      </c>
      <c r="I248" s="146">
        <v>0.70667635628604564</v>
      </c>
      <c r="J248" s="147">
        <v>0.98442772424725178</v>
      </c>
      <c r="K248" s="148">
        <v>278</v>
      </c>
      <c r="M248" s="149">
        <f t="shared" si="24"/>
        <v>0.73750000000000004</v>
      </c>
      <c r="N248" s="138">
        <f t="shared" si="25"/>
        <v>0.70667635628604564</v>
      </c>
      <c r="O248" s="149"/>
      <c r="V248" s="158">
        <f t="shared" si="26"/>
        <v>287.34858956382391</v>
      </c>
      <c r="W248" s="158">
        <f t="shared" si="27"/>
        <v>129.59497772965184</v>
      </c>
      <c r="X248" s="158">
        <f t="shared" si="28"/>
        <v>101.0516471818521</v>
      </c>
      <c r="Y248" s="158">
        <f t="shared" si="29"/>
        <v>85.936611602884298</v>
      </c>
      <c r="Z248" s="158">
        <f t="shared" si="30"/>
        <v>62.37863026472246</v>
      </c>
      <c r="AA248" s="158">
        <f t="shared" si="31"/>
        <v>47.794303196172912</v>
      </c>
    </row>
    <row r="249" spans="1:27" ht="19.5" thickBot="1" x14ac:dyDescent="0.35">
      <c r="A249" s="142">
        <v>160</v>
      </c>
      <c r="B249" s="143" t="s">
        <v>275</v>
      </c>
      <c r="C249" s="142">
        <v>44</v>
      </c>
      <c r="D249" s="143" t="s">
        <v>318</v>
      </c>
      <c r="E249" s="142">
        <v>557113</v>
      </c>
      <c r="F249" s="143" t="s">
        <v>319</v>
      </c>
      <c r="G249" s="144">
        <v>2.5533062174516035</v>
      </c>
      <c r="H249" s="145">
        <v>19.582453392489622</v>
      </c>
      <c r="I249" s="146">
        <v>14.58892777740477</v>
      </c>
      <c r="J249" s="147">
        <v>0.67851930481919565</v>
      </c>
      <c r="K249" s="148">
        <v>41</v>
      </c>
      <c r="M249" s="149">
        <f t="shared" si="24"/>
        <v>0.74500000000000011</v>
      </c>
      <c r="N249" s="138">
        <f t="shared" si="25"/>
        <v>14.58892777740477</v>
      </c>
      <c r="O249" s="149"/>
      <c r="V249" s="158">
        <f t="shared" si="26"/>
        <v>119.92083445844602</v>
      </c>
      <c r="W249" s="158">
        <f t="shared" si="27"/>
        <v>24.402550573152084</v>
      </c>
      <c r="X249" s="158">
        <f t="shared" si="28"/>
        <v>7.1198404114191627</v>
      </c>
      <c r="Y249" s="158">
        <f t="shared" si="29"/>
        <v>-2.0321672198598164</v>
      </c>
      <c r="Z249" s="158">
        <f t="shared" si="30"/>
        <v>-16.296296725740099</v>
      </c>
      <c r="AA249" s="158">
        <f t="shared" si="31"/>
        <v>-25.126965494668593</v>
      </c>
    </row>
    <row r="250" spans="1:27" ht="19.5" thickBot="1" x14ac:dyDescent="0.35">
      <c r="A250" s="142">
        <v>160</v>
      </c>
      <c r="B250" s="143" t="s">
        <v>275</v>
      </c>
      <c r="C250" s="142">
        <v>44</v>
      </c>
      <c r="D250" s="143" t="s">
        <v>318</v>
      </c>
      <c r="E250" s="142">
        <v>457180</v>
      </c>
      <c r="F250" s="143" t="s">
        <v>320</v>
      </c>
      <c r="G250" s="144">
        <v>2.251466510688148</v>
      </c>
      <c r="H250" s="145">
        <v>9.3272539921464208</v>
      </c>
      <c r="I250" s="146">
        <v>6.8399862609073754</v>
      </c>
      <c r="J250" s="147">
        <v>0.84927449283906042</v>
      </c>
      <c r="K250" s="148">
        <v>179</v>
      </c>
      <c r="M250" s="149">
        <f t="shared" si="24"/>
        <v>0.73333333333333339</v>
      </c>
      <c r="N250" s="138">
        <f t="shared" si="25"/>
        <v>6.8399862609073754</v>
      </c>
      <c r="O250" s="149"/>
      <c r="V250" s="158">
        <f t="shared" si="26"/>
        <v>134.46149926291406</v>
      </c>
      <c r="W250" s="158">
        <f t="shared" si="27"/>
        <v>48.89496409965151</v>
      </c>
      <c r="X250" s="158">
        <f t="shared" si="28"/>
        <v>33.412884997955295</v>
      </c>
      <c r="Y250" s="158">
        <f t="shared" si="29"/>
        <v>25.214396175263545</v>
      </c>
      <c r="Z250" s="158">
        <f t="shared" si="30"/>
        <v>12.436401331847497</v>
      </c>
      <c r="AA250" s="158">
        <f t="shared" si="31"/>
        <v>4.525772088978754</v>
      </c>
    </row>
    <row r="251" spans="1:27" ht="19.5" thickBot="1" x14ac:dyDescent="0.35">
      <c r="A251" s="142">
        <v>160</v>
      </c>
      <c r="B251" s="143" t="s">
        <v>275</v>
      </c>
      <c r="C251" s="142">
        <v>44</v>
      </c>
      <c r="D251" s="143" t="s">
        <v>318</v>
      </c>
      <c r="E251" s="142">
        <v>557182</v>
      </c>
      <c r="F251" s="143" t="s">
        <v>321</v>
      </c>
      <c r="G251" s="144">
        <v>2.8395425426615799</v>
      </c>
      <c r="H251" s="145">
        <v>4.9303716319310444</v>
      </c>
      <c r="I251" s="146">
        <v>3.2047415607551786</v>
      </c>
      <c r="J251" s="147">
        <v>0.92938051647482589</v>
      </c>
      <c r="K251" s="148">
        <v>255</v>
      </c>
      <c r="M251" s="149">
        <f t="shared" si="24"/>
        <v>0.64999999999999991</v>
      </c>
      <c r="N251" s="138">
        <f t="shared" si="25"/>
        <v>3.2047415607551786</v>
      </c>
      <c r="O251" s="149"/>
      <c r="V251" s="158">
        <f t="shared" si="26"/>
        <v>209.36996969774171</v>
      </c>
      <c r="W251" s="158">
        <f t="shared" si="27"/>
        <v>87.618306042582091</v>
      </c>
      <c r="X251" s="158">
        <f t="shared" si="28"/>
        <v>65.589029247913018</v>
      </c>
      <c r="Y251" s="158">
        <f t="shared" si="29"/>
        <v>53.923491409827058</v>
      </c>
      <c r="Z251" s="158">
        <f t="shared" si="30"/>
        <v>35.741825792602185</v>
      </c>
      <c r="AA251" s="158">
        <f t="shared" si="31"/>
        <v>24.485880123647014</v>
      </c>
    </row>
    <row r="252" spans="1:27" ht="19.5" thickBot="1" x14ac:dyDescent="0.35">
      <c r="A252" s="142">
        <v>160</v>
      </c>
      <c r="B252" s="143" t="s">
        <v>275</v>
      </c>
      <c r="C252" s="142">
        <v>44</v>
      </c>
      <c r="D252" s="143" t="s">
        <v>318</v>
      </c>
      <c r="E252" s="142">
        <v>457192</v>
      </c>
      <c r="F252" s="143" t="s">
        <v>322</v>
      </c>
      <c r="G252" s="144">
        <v>2.5984562648251952</v>
      </c>
      <c r="H252" s="145">
        <v>8.0817215530132174</v>
      </c>
      <c r="I252" s="146">
        <v>5.5225097278923645</v>
      </c>
      <c r="J252" s="147">
        <v>0.87830632288033617</v>
      </c>
      <c r="K252" s="148">
        <v>212</v>
      </c>
      <c r="M252" s="149">
        <f t="shared" si="24"/>
        <v>0.68333333333333324</v>
      </c>
      <c r="N252" s="138">
        <f t="shared" si="25"/>
        <v>5.5225097278923645</v>
      </c>
      <c r="O252" s="149"/>
      <c r="V252" s="158">
        <f t="shared" si="26"/>
        <v>172.23230656831038</v>
      </c>
      <c r="W252" s="158">
        <f t="shared" si="27"/>
        <v>66.252606441366396</v>
      </c>
      <c r="X252" s="158">
        <f t="shared" si="28"/>
        <v>47.077047942839613</v>
      </c>
      <c r="Y252" s="158">
        <f t="shared" si="29"/>
        <v>36.922688119046974</v>
      </c>
      <c r="Z252" s="158">
        <f t="shared" si="30"/>
        <v>21.096313250121696</v>
      </c>
      <c r="AA252" s="158">
        <f t="shared" si="31"/>
        <v>11.298486174676315</v>
      </c>
    </row>
    <row r="253" spans="1:27" ht="19.5" thickBot="1" x14ac:dyDescent="0.35">
      <c r="A253" s="142">
        <v>160</v>
      </c>
      <c r="B253" s="143" t="s">
        <v>275</v>
      </c>
      <c r="C253" s="142">
        <v>44</v>
      </c>
      <c r="D253" s="143" t="s">
        <v>318</v>
      </c>
      <c r="E253" s="142">
        <v>557303</v>
      </c>
      <c r="F253" s="143" t="s">
        <v>323</v>
      </c>
      <c r="G253" s="144">
        <v>3.4220960403097598</v>
      </c>
      <c r="H253" s="145">
        <v>2.6299671002761635</v>
      </c>
      <c r="I253" s="146">
        <v>2.0163081102117255</v>
      </c>
      <c r="J253" s="147">
        <v>0.95556876126472479</v>
      </c>
      <c r="K253" s="148">
        <v>270</v>
      </c>
      <c r="M253" s="149">
        <f t="shared" si="24"/>
        <v>0.76666666666666672</v>
      </c>
      <c r="N253" s="138">
        <f t="shared" si="25"/>
        <v>2.0163081102117255</v>
      </c>
      <c r="O253" s="149"/>
      <c r="V253" s="158">
        <f t="shared" si="26"/>
        <v>219.95475726760577</v>
      </c>
      <c r="W253" s="158">
        <f t="shared" si="27"/>
        <v>95.553292613467718</v>
      </c>
      <c r="X253" s="158">
        <f t="shared" si="28"/>
        <v>73.044571038293512</v>
      </c>
      <c r="Y253" s="158">
        <f t="shared" si="29"/>
        <v>61.125144646335031</v>
      </c>
      <c r="Z253" s="158">
        <f t="shared" si="30"/>
        <v>42.54777358846772</v>
      </c>
      <c r="AA253" s="158">
        <f t="shared" si="31"/>
        <v>31.046853722178199</v>
      </c>
    </row>
    <row r="254" spans="1:27" ht="19.5" thickBot="1" x14ac:dyDescent="0.35">
      <c r="A254" s="142">
        <v>160</v>
      </c>
      <c r="B254" s="143" t="s">
        <v>275</v>
      </c>
      <c r="C254" s="142">
        <v>44</v>
      </c>
      <c r="D254" s="143" t="s">
        <v>318</v>
      </c>
      <c r="E254" s="142">
        <v>457306</v>
      </c>
      <c r="F254" s="143" t="s">
        <v>324</v>
      </c>
      <c r="G254" s="144">
        <v>2.6425147732690633</v>
      </c>
      <c r="H254" s="145">
        <v>7.9469754388622906</v>
      </c>
      <c r="I254" s="146">
        <v>6.2629735006271865</v>
      </c>
      <c r="J254" s="147">
        <v>0.86198950974320665</v>
      </c>
      <c r="K254" s="148">
        <v>195</v>
      </c>
      <c r="M254" s="149">
        <f t="shared" si="24"/>
        <v>0.78809523809523818</v>
      </c>
      <c r="N254" s="138">
        <f t="shared" si="25"/>
        <v>6.2629735006271865</v>
      </c>
      <c r="O254" s="149"/>
      <c r="V254" s="158">
        <f t="shared" si="26"/>
        <v>149.04812070087203</v>
      </c>
      <c r="W254" s="158">
        <f t="shared" si="27"/>
        <v>55.598272182184651</v>
      </c>
      <c r="X254" s="158">
        <f t="shared" si="28"/>
        <v>38.68981674400046</v>
      </c>
      <c r="Y254" s="158">
        <f t="shared" si="29"/>
        <v>29.73599458559622</v>
      </c>
      <c r="Z254" s="158">
        <f t="shared" si="30"/>
        <v>15.780752852231306</v>
      </c>
      <c r="AA254" s="158">
        <f t="shared" si="31"/>
        <v>7.1413110070860641</v>
      </c>
    </row>
    <row r="255" spans="1:27" ht="19.5" thickBot="1" x14ac:dyDescent="0.35">
      <c r="A255" s="142">
        <v>160</v>
      </c>
      <c r="B255" s="143" t="s">
        <v>275</v>
      </c>
      <c r="C255" s="142">
        <v>44</v>
      </c>
      <c r="D255" s="143" t="s">
        <v>318</v>
      </c>
      <c r="E255" s="142">
        <v>557307</v>
      </c>
      <c r="F255" s="143" t="s">
        <v>325</v>
      </c>
      <c r="G255" s="144">
        <v>3.049660826332139</v>
      </c>
      <c r="H255" s="145">
        <v>21.641750921980048</v>
      </c>
      <c r="I255" s="146">
        <v>14.06713809928703</v>
      </c>
      <c r="J255" s="147">
        <v>0.69001742935712518</v>
      </c>
      <c r="K255" s="148">
        <v>50</v>
      </c>
      <c r="M255" s="149">
        <f t="shared" si="24"/>
        <v>0.64999999999999991</v>
      </c>
      <c r="N255" s="138">
        <f t="shared" si="25"/>
        <v>14.06713809928703</v>
      </c>
      <c r="O255" s="149"/>
      <c r="V255" s="158">
        <f t="shared" si="26"/>
        <v>166.94908715176155</v>
      </c>
      <c r="W255" s="158">
        <f t="shared" si="27"/>
        <v>36.188137593359762</v>
      </c>
      <c r="X255" s="158">
        <f t="shared" si="28"/>
        <v>12.528755328863561</v>
      </c>
      <c r="Y255" s="158">
        <f t="shared" si="29"/>
        <v>0</v>
      </c>
      <c r="Z255" s="158">
        <f t="shared" si="30"/>
        <v>-19.527058516386184</v>
      </c>
      <c r="AA255" s="158">
        <f t="shared" si="31"/>
        <v>-31.61591299002264</v>
      </c>
    </row>
    <row r="256" spans="1:27" ht="19.5" thickBot="1" x14ac:dyDescent="0.35">
      <c r="A256" s="142">
        <v>160</v>
      </c>
      <c r="B256" s="143" t="s">
        <v>275</v>
      </c>
      <c r="C256" s="142">
        <v>44</v>
      </c>
      <c r="D256" s="143" t="s">
        <v>318</v>
      </c>
      <c r="E256" s="142">
        <v>557347</v>
      </c>
      <c r="F256" s="143" t="s">
        <v>326</v>
      </c>
      <c r="G256" s="144">
        <v>2.8493458840345491</v>
      </c>
      <c r="H256" s="145">
        <v>4.5624506567776066</v>
      </c>
      <c r="I256" s="146">
        <v>3.0884281368956112</v>
      </c>
      <c r="J256" s="147">
        <v>0.93194359176944408</v>
      </c>
      <c r="K256" s="148">
        <v>257</v>
      </c>
      <c r="M256" s="149">
        <f t="shared" si="24"/>
        <v>0.67692307692307707</v>
      </c>
      <c r="N256" s="138">
        <f t="shared" si="25"/>
        <v>3.0884281368956112</v>
      </c>
      <c r="O256" s="149"/>
      <c r="V256" s="158">
        <f t="shared" si="26"/>
        <v>202.293198726209</v>
      </c>
      <c r="W256" s="158">
        <f t="shared" si="27"/>
        <v>84.980308917324976</v>
      </c>
      <c r="X256" s="158">
        <f t="shared" si="28"/>
        <v>63.75416675550575</v>
      </c>
      <c r="Y256" s="158">
        <f t="shared" si="29"/>
        <v>52.513926467399031</v>
      </c>
      <c r="Z256" s="158">
        <f t="shared" si="30"/>
        <v>34.995120801328873</v>
      </c>
      <c r="AA256" s="158">
        <f t="shared" si="31"/>
        <v>24.149539933564171</v>
      </c>
    </row>
    <row r="257" spans="1:27" ht="19.5" thickBot="1" x14ac:dyDescent="0.35">
      <c r="A257" s="142">
        <v>160</v>
      </c>
      <c r="B257" s="143" t="s">
        <v>275</v>
      </c>
      <c r="C257" s="142">
        <v>44</v>
      </c>
      <c r="D257" s="143" t="s">
        <v>318</v>
      </c>
      <c r="E257" s="142">
        <v>457348</v>
      </c>
      <c r="F257" s="143" t="s">
        <v>327</v>
      </c>
      <c r="G257" s="144">
        <v>7.8533208781537667</v>
      </c>
      <c r="H257" s="145">
        <v>11.714789377309671</v>
      </c>
      <c r="I257" s="146">
        <v>8.0889347303651835</v>
      </c>
      <c r="J257" s="147">
        <v>0.82175274289742606</v>
      </c>
      <c r="K257" s="148">
        <v>153</v>
      </c>
      <c r="M257" s="149">
        <f t="shared" si="24"/>
        <v>0.69048913043478266</v>
      </c>
      <c r="N257" s="138">
        <f t="shared" si="25"/>
        <v>8.0889347303651835</v>
      </c>
      <c r="O257" s="149"/>
      <c r="V257" s="158">
        <f t="shared" si="26"/>
        <v>481.97383469832289</v>
      </c>
      <c r="W257" s="158">
        <f t="shared" si="27"/>
        <v>164.99053834172463</v>
      </c>
      <c r="X257" s="158">
        <f t="shared" si="28"/>
        <v>107.63680234265037</v>
      </c>
      <c r="Y257" s="158">
        <f t="shared" si="29"/>
        <v>77.265302465963416</v>
      </c>
      <c r="Z257" s="158">
        <f t="shared" si="30"/>
        <v>29.928911918357716</v>
      </c>
      <c r="AA257" s="158">
        <f t="shared" si="31"/>
        <v>0.62379480832157286</v>
      </c>
    </row>
    <row r="258" spans="1:27" ht="19.5" thickBot="1" x14ac:dyDescent="0.35">
      <c r="A258" s="142">
        <v>160</v>
      </c>
      <c r="B258" s="143" t="s">
        <v>275</v>
      </c>
      <c r="C258" s="142">
        <v>44</v>
      </c>
      <c r="D258" s="143" t="s">
        <v>318</v>
      </c>
      <c r="E258" s="142">
        <v>457350</v>
      </c>
      <c r="F258" s="143" t="s">
        <v>328</v>
      </c>
      <c r="G258" s="144">
        <v>8.9100383937324263</v>
      </c>
      <c r="H258" s="145">
        <v>12.906790624033031</v>
      </c>
      <c r="I258" s="146">
        <v>8.6503555421508338</v>
      </c>
      <c r="J258" s="147">
        <v>0.80938130918991547</v>
      </c>
      <c r="K258" s="148">
        <v>130</v>
      </c>
      <c r="M258" s="149">
        <f t="shared" si="24"/>
        <v>0.67021739130434788</v>
      </c>
      <c r="N258" s="138">
        <f t="shared" si="25"/>
        <v>8.6503555421508338</v>
      </c>
      <c r="O258" s="149"/>
      <c r="V258" s="158">
        <f t="shared" si="26"/>
        <v>554.88483651742058</v>
      </c>
      <c r="W258" s="158">
        <f t="shared" si="27"/>
        <v>184.37156941085883</v>
      </c>
      <c r="X258" s="158">
        <f t="shared" si="28"/>
        <v>117.33232680711558</v>
      </c>
      <c r="Y258" s="158">
        <f t="shared" si="29"/>
        <v>81.831895788887977</v>
      </c>
      <c r="Z258" s="158">
        <f t="shared" si="30"/>
        <v>26.501659412347511</v>
      </c>
      <c r="AA258" s="158">
        <f t="shared" si="31"/>
        <v>-7.7523054122374102</v>
      </c>
    </row>
    <row r="259" spans="1:27" ht="19.5" thickBot="1" x14ac:dyDescent="0.35">
      <c r="A259" s="142">
        <v>160</v>
      </c>
      <c r="B259" s="143" t="s">
        <v>275</v>
      </c>
      <c r="C259" s="142">
        <v>44</v>
      </c>
      <c r="D259" s="143" t="s">
        <v>318</v>
      </c>
      <c r="E259" s="142">
        <v>557352</v>
      </c>
      <c r="F259" s="143" t="s">
        <v>329</v>
      </c>
      <c r="G259" s="144">
        <v>3.7235578407680481</v>
      </c>
      <c r="H259" s="145">
        <v>16.919302101402341</v>
      </c>
      <c r="I259" s="146">
        <v>12.031503716552775</v>
      </c>
      <c r="J259" s="147">
        <v>0.7348745406185101</v>
      </c>
      <c r="K259" s="148">
        <v>71</v>
      </c>
      <c r="M259" s="149">
        <f t="shared" si="24"/>
        <v>0.71111111111111103</v>
      </c>
      <c r="N259" s="138">
        <f t="shared" si="25"/>
        <v>12.031503716552775</v>
      </c>
      <c r="O259" s="149"/>
      <c r="V259" s="158">
        <f t="shared" si="26"/>
        <v>198.43562573499273</v>
      </c>
      <c r="W259" s="158">
        <f t="shared" si="27"/>
        <v>52.500270014256358</v>
      </c>
      <c r="X259" s="158">
        <f t="shared" si="28"/>
        <v>26.095289180433053</v>
      </c>
      <c r="Y259" s="158">
        <f t="shared" si="29"/>
        <v>12.112610316211731</v>
      </c>
      <c r="Z259" s="158">
        <f t="shared" si="30"/>
        <v>-9.6805033036591333</v>
      </c>
      <c r="AA259" s="158">
        <f t="shared" si="31"/>
        <v>-23.172232170910977</v>
      </c>
    </row>
    <row r="260" spans="1:27" ht="19.5" thickBot="1" x14ac:dyDescent="0.35">
      <c r="A260" s="142">
        <v>160</v>
      </c>
      <c r="B260" s="143" t="s">
        <v>275</v>
      </c>
      <c r="C260" s="142">
        <v>44</v>
      </c>
      <c r="D260" s="143" t="s">
        <v>318</v>
      </c>
      <c r="E260" s="142">
        <v>457449</v>
      </c>
      <c r="F260" s="143" t="s">
        <v>330</v>
      </c>
      <c r="G260" s="144">
        <v>2.4875433198240544</v>
      </c>
      <c r="H260" s="145">
        <v>16.482125024017655</v>
      </c>
      <c r="I260" s="146">
        <v>11.366636220831687</v>
      </c>
      <c r="J260" s="147">
        <v>0.74952551894870512</v>
      </c>
      <c r="K260" s="148">
        <v>79</v>
      </c>
      <c r="M260" s="149">
        <f t="shared" si="24"/>
        <v>0.68963414634146336</v>
      </c>
      <c r="N260" s="138">
        <f t="shared" si="25"/>
        <v>11.366636220831687</v>
      </c>
      <c r="O260" s="149"/>
      <c r="V260" s="158">
        <f t="shared" si="26"/>
        <v>139.41969324812794</v>
      </c>
      <c r="W260" s="158">
        <f t="shared" si="27"/>
        <v>38.890597329174128</v>
      </c>
      <c r="X260" s="158">
        <f t="shared" si="28"/>
        <v>20.701250149583302</v>
      </c>
      <c r="Y260" s="158">
        <f t="shared" si="29"/>
        <v>11.069135588975158</v>
      </c>
      <c r="Z260" s="158">
        <f t="shared" si="30"/>
        <v>-3.9432786313120607</v>
      </c>
      <c r="AA260" s="158">
        <f t="shared" si="31"/>
        <v>-13.237197152358682</v>
      </c>
    </row>
    <row r="261" spans="1:27" ht="19.5" thickBot="1" x14ac:dyDescent="0.35">
      <c r="A261" s="142">
        <v>160</v>
      </c>
      <c r="B261" s="143" t="s">
        <v>275</v>
      </c>
      <c r="C261" s="142">
        <v>44</v>
      </c>
      <c r="D261" s="143" t="s">
        <v>318</v>
      </c>
      <c r="E261" s="142">
        <v>557508</v>
      </c>
      <c r="F261" s="143" t="s">
        <v>331</v>
      </c>
      <c r="G261" s="144">
        <v>2.6455275505029943</v>
      </c>
      <c r="H261" s="145">
        <v>31.3737046451167</v>
      </c>
      <c r="I261" s="146">
        <v>20.657505528381055</v>
      </c>
      <c r="J261" s="147">
        <v>0.54479250707850047</v>
      </c>
      <c r="K261" s="148">
        <v>11</v>
      </c>
      <c r="M261" s="149">
        <f t="shared" si="24"/>
        <v>0.65843373493975899</v>
      </c>
      <c r="N261" s="138">
        <f t="shared" si="25"/>
        <v>20.657505528381055</v>
      </c>
      <c r="O261" s="149"/>
      <c r="V261" s="158">
        <f t="shared" si="26"/>
        <v>112.88003720245052</v>
      </c>
      <c r="W261" s="158">
        <f t="shared" si="27"/>
        <v>0.90013190545989363</v>
      </c>
      <c r="X261" s="158">
        <f t="shared" si="28"/>
        <v>-19.361080591932478</v>
      </c>
      <c r="Y261" s="158">
        <f t="shared" si="29"/>
        <v>-30.0903452535408</v>
      </c>
      <c r="Z261" s="158">
        <f t="shared" si="30"/>
        <v>-46.812754893255907</v>
      </c>
      <c r="AA261" s="158">
        <f t="shared" si="31"/>
        <v>-57.165301151741929</v>
      </c>
    </row>
    <row r="262" spans="1:27" ht="19.5" thickBot="1" x14ac:dyDescent="0.35">
      <c r="A262" s="142">
        <v>160</v>
      </c>
      <c r="B262" s="143" t="s">
        <v>275</v>
      </c>
      <c r="C262" s="142">
        <v>44</v>
      </c>
      <c r="D262" s="143" t="s">
        <v>318</v>
      </c>
      <c r="E262" s="142">
        <v>557622</v>
      </c>
      <c r="F262" s="143" t="s">
        <v>332</v>
      </c>
      <c r="G262" s="144">
        <v>2.5458872462458033</v>
      </c>
      <c r="H262" s="145">
        <v>9.4269689419241551</v>
      </c>
      <c r="I262" s="146">
        <v>6.1275298122507005</v>
      </c>
      <c r="J262" s="147">
        <v>0.8649741383438474</v>
      </c>
      <c r="K262" s="148">
        <v>200</v>
      </c>
      <c r="M262" s="149">
        <f t="shared" ref="M262:M297" si="32">IF(ISERROR(I262/H262),$O$3,(I262/H262))</f>
        <v>0.64999999999999991</v>
      </c>
      <c r="N262" s="138">
        <f t="shared" ref="N262:N297" si="33">I262</f>
        <v>6.1275298122507005</v>
      </c>
      <c r="O262" s="149"/>
      <c r="V262" s="158">
        <f t="shared" ref="V262:V297" si="34">(((($O$5-N262))/M262)*G262)+((((($O$5-N262)/$T$2))*$T$3/M262)*G262)</f>
        <v>174.70878158946451</v>
      </c>
      <c r="W262" s="158">
        <f t="shared" ref="W262:W297" si="35">(((($P$5-N262))/M262)*G262)+((((($P$5-N262)/$T$2))*$T$3/M262)*G262)</f>
        <v>65.548237927266001</v>
      </c>
      <c r="X262" s="158">
        <f t="shared" ref="X262:X297" si="36">(((($Q$5-N262))/M262)*G262)+((((($Q$5-N262)/$T$2))*$T$3/M262)*G262)</f>
        <v>45.797149858341527</v>
      </c>
      <c r="Y262" s="158">
        <f t="shared" ref="Y262:Y297" si="37">(((($R$5-N262))/M262)*G262)+((((($R$5-N262)/$T$2))*$T$3/M262)*G262)</f>
        <v>35.338020066701546</v>
      </c>
      <c r="Z262" s="158">
        <f t="shared" ref="Z262:Z297" si="38">(((($S$5-N262))/M262)*G262)+((((($S$5-N262)/$T$2))*$T$3/M262)*G262)</f>
        <v>19.036637039345585</v>
      </c>
      <c r="AA262" s="158">
        <f t="shared" ref="AA262:AA297" si="39">(((($T$5-N262))/M262)*G262)+((((($T$5-N262)/$T$2))*$T$3/M262)*G262)</f>
        <v>8.944740865052573</v>
      </c>
    </row>
    <row r="263" spans="1:27" ht="19.5" thickBot="1" x14ac:dyDescent="0.35">
      <c r="A263" s="142">
        <v>160</v>
      </c>
      <c r="B263" s="143" t="s">
        <v>275</v>
      </c>
      <c r="C263" s="142">
        <v>44</v>
      </c>
      <c r="D263" s="143" t="s">
        <v>318</v>
      </c>
      <c r="E263" s="142">
        <v>557628</v>
      </c>
      <c r="F263" s="143" t="s">
        <v>333</v>
      </c>
      <c r="G263" s="144">
        <v>2.3152426595163873</v>
      </c>
      <c r="H263" s="145">
        <v>12.957605059966571</v>
      </c>
      <c r="I263" s="146">
        <v>8.4224432889782701</v>
      </c>
      <c r="J263" s="147">
        <v>0.81440356927016744</v>
      </c>
      <c r="K263" s="148">
        <v>136</v>
      </c>
      <c r="M263" s="149">
        <f t="shared" si="32"/>
        <v>0.64999999999999991</v>
      </c>
      <c r="N263" s="138">
        <f t="shared" si="33"/>
        <v>8.4224432889782701</v>
      </c>
      <c r="O263" s="149"/>
      <c r="V263" s="158">
        <f t="shared" si="34"/>
        <v>149.59209039809647</v>
      </c>
      <c r="W263" s="158">
        <f t="shared" si="35"/>
        <v>50.320943258565201</v>
      </c>
      <c r="X263" s="158">
        <f t="shared" si="36"/>
        <v>32.359204483027924</v>
      </c>
      <c r="Y263" s="158">
        <f t="shared" si="37"/>
        <v>22.847619274086721</v>
      </c>
      <c r="Z263" s="158">
        <f t="shared" si="38"/>
        <v>8.0230596044842191</v>
      </c>
      <c r="AA263" s="158">
        <f t="shared" si="39"/>
        <v>-1.1545615068151922</v>
      </c>
    </row>
    <row r="264" spans="1:27" ht="19.5" thickBot="1" x14ac:dyDescent="0.35">
      <c r="A264" s="142">
        <v>160</v>
      </c>
      <c r="B264" s="143" t="s">
        <v>275</v>
      </c>
      <c r="C264" s="142">
        <v>44</v>
      </c>
      <c r="D264" s="143" t="s">
        <v>318</v>
      </c>
      <c r="E264" s="142">
        <v>457632</v>
      </c>
      <c r="F264" s="143" t="s">
        <v>334</v>
      </c>
      <c r="G264" s="144">
        <v>8.7242769703991669</v>
      </c>
      <c r="H264" s="145">
        <v>11.691513273372514</v>
      </c>
      <c r="I264" s="146">
        <v>8.6282221730697657</v>
      </c>
      <c r="J264" s="147">
        <v>0.80986903871928473</v>
      </c>
      <c r="K264" s="148">
        <v>131</v>
      </c>
      <c r="M264" s="149">
        <f t="shared" si="32"/>
        <v>0.73799019607843142</v>
      </c>
      <c r="N264" s="138">
        <f t="shared" si="33"/>
        <v>8.6282221730697657</v>
      </c>
      <c r="O264" s="149"/>
      <c r="V264" s="158">
        <f t="shared" si="34"/>
        <v>493.71855799317859</v>
      </c>
      <c r="W264" s="158">
        <f t="shared" si="35"/>
        <v>164.24639016674854</v>
      </c>
      <c r="X264" s="158">
        <f t="shared" si="36"/>
        <v>104.63296589564209</v>
      </c>
      <c r="Y264" s="158">
        <f t="shared" si="37"/>
        <v>73.064854832606542</v>
      </c>
      <c r="Z264" s="158">
        <f t="shared" si="38"/>
        <v>23.863450878333023</v>
      </c>
      <c r="AA264" s="158">
        <f t="shared" si="39"/>
        <v>-6.5962628467370035</v>
      </c>
    </row>
    <row r="265" spans="1:27" ht="19.5" thickBot="1" x14ac:dyDescent="0.35">
      <c r="A265" s="142">
        <v>160</v>
      </c>
      <c r="B265" s="143" t="s">
        <v>275</v>
      </c>
      <c r="C265" s="142">
        <v>44</v>
      </c>
      <c r="D265" s="143" t="s">
        <v>318</v>
      </c>
      <c r="E265" s="142">
        <v>557633</v>
      </c>
      <c r="F265" s="143" t="s">
        <v>335</v>
      </c>
      <c r="G265" s="144">
        <v>1.953744093309282</v>
      </c>
      <c r="H265" s="145">
        <v>16.890646074381262</v>
      </c>
      <c r="I265" s="146">
        <v>11.158063164288228</v>
      </c>
      <c r="J265" s="147">
        <v>0.75412162170804742</v>
      </c>
      <c r="K265" s="148">
        <v>85</v>
      </c>
      <c r="M265" s="149">
        <f t="shared" si="32"/>
        <v>0.66060606060606064</v>
      </c>
      <c r="N265" s="138">
        <f t="shared" si="33"/>
        <v>11.158063164288228</v>
      </c>
      <c r="O265" s="149"/>
      <c r="V265" s="158">
        <f t="shared" si="34"/>
        <v>115.01442709400426</v>
      </c>
      <c r="W265" s="158">
        <f t="shared" si="35"/>
        <v>32.588278919869936</v>
      </c>
      <c r="X265" s="158">
        <f t="shared" si="36"/>
        <v>17.674409337033559</v>
      </c>
      <c r="Y265" s="158">
        <f t="shared" si="37"/>
        <v>9.7768141707247587</v>
      </c>
      <c r="Z265" s="158">
        <f t="shared" si="38"/>
        <v>-2.5322140530093455</v>
      </c>
      <c r="AA265" s="158">
        <f t="shared" si="39"/>
        <v>-10.152514406169951</v>
      </c>
    </row>
    <row r="266" spans="1:27" ht="19.5" thickBot="1" x14ac:dyDescent="0.35">
      <c r="A266" s="142">
        <v>160</v>
      </c>
      <c r="B266" s="143" t="s">
        <v>275</v>
      </c>
      <c r="C266" s="142">
        <v>44</v>
      </c>
      <c r="D266" s="143" t="s">
        <v>318</v>
      </c>
      <c r="E266" s="142">
        <v>457634</v>
      </c>
      <c r="F266" s="143" t="s">
        <v>336</v>
      </c>
      <c r="G266" s="144">
        <v>1.6595588506878931</v>
      </c>
      <c r="H266" s="145">
        <v>-3.6154186382200177</v>
      </c>
      <c r="I266" s="146">
        <v>-2.7718209559686797</v>
      </c>
      <c r="J266" s="147">
        <v>1.0610796722992653</v>
      </c>
      <c r="K266" s="148">
        <v>292</v>
      </c>
      <c r="M266" s="149">
        <f t="shared" si="32"/>
        <v>0.7666666666666665</v>
      </c>
      <c r="N266" s="138">
        <f t="shared" si="33"/>
        <v>-2.7718209559686797</v>
      </c>
      <c r="O266" s="149"/>
      <c r="V266" s="158">
        <f t="shared" si="34"/>
        <v>118.44585697622006</v>
      </c>
      <c r="W266" s="158">
        <f t="shared" si="35"/>
        <v>58.116880444449635</v>
      </c>
      <c r="X266" s="158">
        <f t="shared" si="36"/>
        <v>47.201187936775696</v>
      </c>
      <c r="Y266" s="158">
        <f t="shared" si="37"/>
        <v>41.420815518558285</v>
      </c>
      <c r="Z266" s="158">
        <f t="shared" si="38"/>
        <v>32.411646810713926</v>
      </c>
      <c r="AA266" s="158">
        <f t="shared" si="39"/>
        <v>26.83423076793526</v>
      </c>
    </row>
    <row r="267" spans="1:27" ht="19.5" thickBot="1" x14ac:dyDescent="0.35">
      <c r="A267" s="142">
        <v>160</v>
      </c>
      <c r="B267" s="143" t="s">
        <v>275</v>
      </c>
      <c r="C267" s="142">
        <v>44</v>
      </c>
      <c r="D267" s="143" t="s">
        <v>318</v>
      </c>
      <c r="E267" s="142">
        <v>557660</v>
      </c>
      <c r="F267" s="143" t="s">
        <v>545</v>
      </c>
      <c r="G267" s="144">
        <v>1.9110045249520344</v>
      </c>
      <c r="H267" s="145">
        <v>24.594394930163592</v>
      </c>
      <c r="I267" s="146">
        <v>17.085255201485985</v>
      </c>
      <c r="J267" s="147">
        <v>0.6235103906661299</v>
      </c>
      <c r="K267" s="148">
        <v>24</v>
      </c>
      <c r="M267" s="149">
        <f t="shared" si="32"/>
        <v>0.69468085106382982</v>
      </c>
      <c r="N267" s="138">
        <f t="shared" si="33"/>
        <v>17.085255201485985</v>
      </c>
      <c r="O267" s="149"/>
      <c r="V267" s="158">
        <f t="shared" si="34"/>
        <v>88.451639334138335</v>
      </c>
      <c r="W267" s="158">
        <f t="shared" si="35"/>
        <v>11.783262486666986</v>
      </c>
      <c r="X267" s="158">
        <f t="shared" si="36"/>
        <v>-2.0888181425932046</v>
      </c>
      <c r="Y267" s="158">
        <f t="shared" si="37"/>
        <v>-9.4347370750192905</v>
      </c>
      <c r="Z267" s="158">
        <f t="shared" si="38"/>
        <v>-20.88393414886179</v>
      </c>
      <c r="AA267" s="158">
        <f t="shared" si="39"/>
        <v>-27.971928336492308</v>
      </c>
    </row>
    <row r="268" spans="1:27" ht="19.5" thickBot="1" x14ac:dyDescent="0.35">
      <c r="A268" s="142">
        <v>160</v>
      </c>
      <c r="B268" s="143" t="s">
        <v>275</v>
      </c>
      <c r="C268" s="142">
        <v>44</v>
      </c>
      <c r="D268" s="143" t="s">
        <v>318</v>
      </c>
      <c r="E268" s="142">
        <v>457158</v>
      </c>
      <c r="F268" s="143" t="s">
        <v>338</v>
      </c>
      <c r="G268" s="144">
        <v>4.3293466173291888</v>
      </c>
      <c r="H268" s="145">
        <v>7.8533790442898042</v>
      </c>
      <c r="I268" s="146">
        <v>6.3173504959213576</v>
      </c>
      <c r="J268" s="147">
        <v>0.86079126169401898</v>
      </c>
      <c r="K268" s="148">
        <v>193</v>
      </c>
      <c r="M268" s="149">
        <f t="shared" si="32"/>
        <v>0.80441176470588238</v>
      </c>
      <c r="N268" s="138">
        <f t="shared" si="33"/>
        <v>6.3173504959213576</v>
      </c>
      <c r="O268" s="149"/>
      <c r="V268" s="158">
        <f t="shared" si="34"/>
        <v>238.90629716586895</v>
      </c>
      <c r="W268" s="158">
        <f t="shared" si="35"/>
        <v>88.908864661808678</v>
      </c>
      <c r="X268" s="158">
        <f t="shared" si="36"/>
        <v>61.768907309927357</v>
      </c>
      <c r="Y268" s="158">
        <f t="shared" si="37"/>
        <v>47.397023822175875</v>
      </c>
      <c r="Z268" s="158">
        <f t="shared" si="38"/>
        <v>24.997303938631529</v>
      </c>
      <c r="AA268" s="158">
        <f t="shared" si="39"/>
        <v>11.130035927161343</v>
      </c>
    </row>
    <row r="269" spans="1:27" ht="19.5" thickBot="1" x14ac:dyDescent="0.35">
      <c r="A269" s="142">
        <v>80</v>
      </c>
      <c r="B269" s="143" t="s">
        <v>339</v>
      </c>
      <c r="C269" s="142">
        <v>57</v>
      </c>
      <c r="D269" s="143" t="s">
        <v>340</v>
      </c>
      <c r="E269" s="142">
        <v>588201</v>
      </c>
      <c r="F269" s="143" t="s">
        <v>341</v>
      </c>
      <c r="G269" s="144">
        <v>3.4371100664698147</v>
      </c>
      <c r="H269" s="145">
        <v>8.4373207256016993</v>
      </c>
      <c r="I269" s="146">
        <v>5.8552096414735928</v>
      </c>
      <c r="J269" s="147">
        <v>0.87097496850415357</v>
      </c>
      <c r="K269" s="148">
        <v>206</v>
      </c>
      <c r="M269" s="149">
        <f t="shared" si="32"/>
        <v>0.69396551724137923</v>
      </c>
      <c r="N269" s="138">
        <f t="shared" si="33"/>
        <v>5.8552096414735928</v>
      </c>
      <c r="O269" s="149"/>
      <c r="V269" s="158">
        <f t="shared" si="34"/>
        <v>222.45748640073325</v>
      </c>
      <c r="W269" s="158">
        <f t="shared" si="35"/>
        <v>84.420512559669319</v>
      </c>
      <c r="X269" s="158">
        <f t="shared" si="36"/>
        <v>59.44463450303774</v>
      </c>
      <c r="Y269" s="158">
        <f t="shared" si="37"/>
        <v>46.218732753073674</v>
      </c>
      <c r="Z269" s="158">
        <f t="shared" si="38"/>
        <v>25.605116266482984</v>
      </c>
      <c r="AA269" s="158">
        <f t="shared" si="39"/>
        <v>12.843593087114449</v>
      </c>
    </row>
    <row r="270" spans="1:27" ht="19.5" thickBot="1" x14ac:dyDescent="0.35">
      <c r="A270" s="142">
        <v>80</v>
      </c>
      <c r="B270" s="143" t="s">
        <v>339</v>
      </c>
      <c r="C270" s="142">
        <v>57</v>
      </c>
      <c r="D270" s="143" t="s">
        <v>340</v>
      </c>
      <c r="E270" s="142">
        <v>588206</v>
      </c>
      <c r="F270" s="143" t="s">
        <v>342</v>
      </c>
      <c r="G270" s="144">
        <v>2.6865209235209235</v>
      </c>
      <c r="H270" s="145">
        <v>17.494745560515621</v>
      </c>
      <c r="I270" s="146">
        <v>11.371584614335154</v>
      </c>
      <c r="J270" s="147">
        <v>0.74941647646060749</v>
      </c>
      <c r="K270" s="148">
        <v>78</v>
      </c>
      <c r="M270" s="149">
        <f t="shared" si="32"/>
        <v>0.65</v>
      </c>
      <c r="N270" s="138">
        <f t="shared" si="33"/>
        <v>11.371584614335154</v>
      </c>
      <c r="O270" s="149"/>
      <c r="V270" s="158">
        <f t="shared" si="34"/>
        <v>159.7297865187175</v>
      </c>
      <c r="W270" s="158">
        <f t="shared" si="35"/>
        <v>44.539263056272937</v>
      </c>
      <c r="X270" s="158">
        <f t="shared" si="36"/>
        <v>23.697133681645099</v>
      </c>
      <c r="Y270" s="158">
        <f t="shared" si="37"/>
        <v>12.660246219917758</v>
      </c>
      <c r="Z270" s="158">
        <f t="shared" si="38"/>
        <v>-4.5416179435088875</v>
      </c>
      <c r="AA270" s="158">
        <f t="shared" si="39"/>
        <v>-15.190985966471709</v>
      </c>
    </row>
    <row r="271" spans="1:27" ht="19.5" thickBot="1" x14ac:dyDescent="0.35">
      <c r="A271" s="142">
        <v>80</v>
      </c>
      <c r="B271" s="143" t="s">
        <v>339</v>
      </c>
      <c r="C271" s="142">
        <v>57</v>
      </c>
      <c r="D271" s="143" t="s">
        <v>340</v>
      </c>
      <c r="E271" s="142">
        <v>588216</v>
      </c>
      <c r="F271" s="143" t="s">
        <v>546</v>
      </c>
      <c r="G271" s="144">
        <v>1</v>
      </c>
      <c r="H271" s="145">
        <v>9</v>
      </c>
      <c r="I271" s="146">
        <v>5.85</v>
      </c>
      <c r="J271" s="147">
        <v>0.87108976783609404</v>
      </c>
      <c r="K271" s="148">
        <v>207</v>
      </c>
      <c r="M271" s="149">
        <f t="shared" si="32"/>
        <v>0.64999999999999991</v>
      </c>
      <c r="N271" s="138">
        <f t="shared" si="33"/>
        <v>5.85</v>
      </c>
      <c r="O271" s="149"/>
      <c r="V271" s="158">
        <f t="shared" si="34"/>
        <v>69.109119393013117</v>
      </c>
      <c r="W271" s="158">
        <f t="shared" si="35"/>
        <v>26.231908776883909</v>
      </c>
      <c r="X271" s="158">
        <f t="shared" si="36"/>
        <v>18.473871535427261</v>
      </c>
      <c r="Y271" s="158">
        <f t="shared" si="37"/>
        <v>14.3656260477046</v>
      </c>
      <c r="Z271" s="158">
        <f t="shared" si="38"/>
        <v>7.962599734817343</v>
      </c>
      <c r="AA271" s="158">
        <f t="shared" si="39"/>
        <v>3.9986000764763672</v>
      </c>
    </row>
    <row r="272" spans="1:27" ht="19.5" thickBot="1" x14ac:dyDescent="0.35">
      <c r="A272" s="142">
        <v>80</v>
      </c>
      <c r="B272" s="143" t="s">
        <v>339</v>
      </c>
      <c r="C272" s="142">
        <v>57</v>
      </c>
      <c r="D272" s="143" t="s">
        <v>340</v>
      </c>
      <c r="E272" s="142">
        <v>488256</v>
      </c>
      <c r="F272" s="143" t="s">
        <v>344</v>
      </c>
      <c r="G272" s="144">
        <v>2.6251377057828655</v>
      </c>
      <c r="H272" s="145">
        <v>11.427971924639829</v>
      </c>
      <c r="I272" s="146">
        <v>7.428181751015889</v>
      </c>
      <c r="J272" s="147">
        <v>0.83631305400356448</v>
      </c>
      <c r="K272" s="148">
        <v>167</v>
      </c>
      <c r="M272" s="149">
        <f t="shared" si="32"/>
        <v>0.65</v>
      </c>
      <c r="N272" s="138">
        <f t="shared" si="33"/>
        <v>7.428181751015889</v>
      </c>
      <c r="O272" s="149"/>
      <c r="V272" s="158">
        <f t="shared" si="34"/>
        <v>174.17804530482786</v>
      </c>
      <c r="W272" s="158">
        <f t="shared" si="35"/>
        <v>61.61946299763374</v>
      </c>
      <c r="X272" s="158">
        <f t="shared" si="36"/>
        <v>41.253546912218191</v>
      </c>
      <c r="Y272" s="158">
        <f t="shared" si="37"/>
        <v>30.468836777785132</v>
      </c>
      <c r="Z272" s="158">
        <f t="shared" si="38"/>
        <v>13.660010972704956</v>
      </c>
      <c r="AA272" s="158">
        <f t="shared" si="39"/>
        <v>3.2539660038836651</v>
      </c>
    </row>
    <row r="273" spans="1:27" ht="19.5" thickBot="1" x14ac:dyDescent="0.35">
      <c r="A273" s="142">
        <v>80</v>
      </c>
      <c r="B273" s="143" t="s">
        <v>339</v>
      </c>
      <c r="C273" s="142">
        <v>57</v>
      </c>
      <c r="D273" s="143" t="s">
        <v>340</v>
      </c>
      <c r="E273" s="142">
        <v>488281</v>
      </c>
      <c r="F273" s="143" t="s">
        <v>345</v>
      </c>
      <c r="G273" s="144">
        <v>4.5014537386150302</v>
      </c>
      <c r="H273" s="145">
        <v>0.22215045584533136</v>
      </c>
      <c r="I273" s="146">
        <v>0.22215045584533136</v>
      </c>
      <c r="J273" s="147">
        <v>0.9951047065233608</v>
      </c>
      <c r="K273" s="148">
        <v>284</v>
      </c>
      <c r="M273" s="149">
        <f t="shared" si="32"/>
        <v>1</v>
      </c>
      <c r="N273" s="138">
        <f t="shared" si="33"/>
        <v>0.22215045584533136</v>
      </c>
      <c r="O273" s="149"/>
      <c r="V273" s="158">
        <f t="shared" si="34"/>
        <v>230.99755066039404</v>
      </c>
      <c r="W273" s="158">
        <f t="shared" si="35"/>
        <v>105.54119364131076</v>
      </c>
      <c r="X273" s="158">
        <f t="shared" si="36"/>
        <v>82.841603907145469</v>
      </c>
      <c r="Y273" s="158">
        <f t="shared" si="37"/>
        <v>70.821103850738098</v>
      </c>
      <c r="Z273" s="158">
        <f t="shared" si="38"/>
        <v>52.086201473250206</v>
      </c>
      <c r="AA273" s="158">
        <f t="shared" si="39"/>
        <v>40.487756770010222</v>
      </c>
    </row>
    <row r="274" spans="1:27" ht="19.5" thickBot="1" x14ac:dyDescent="0.35">
      <c r="A274" s="142">
        <v>80</v>
      </c>
      <c r="B274" s="143" t="s">
        <v>339</v>
      </c>
      <c r="C274" s="142">
        <v>57</v>
      </c>
      <c r="D274" s="143" t="s">
        <v>340</v>
      </c>
      <c r="E274" s="142">
        <v>488286</v>
      </c>
      <c r="F274" s="143" t="s">
        <v>346</v>
      </c>
      <c r="G274" s="144">
        <v>8.6759634028119379</v>
      </c>
      <c r="H274" s="145">
        <v>16.943363310218242</v>
      </c>
      <c r="I274" s="146">
        <v>10.961318712937107</v>
      </c>
      <c r="J274" s="147">
        <v>0.75845707006713003</v>
      </c>
      <c r="K274" s="148">
        <v>89</v>
      </c>
      <c r="M274" s="149">
        <f t="shared" si="32"/>
        <v>0.64693877551020407</v>
      </c>
      <c r="N274" s="138">
        <f t="shared" si="33"/>
        <v>10.961318712937107</v>
      </c>
      <c r="O274" s="149"/>
      <c r="V274" s="158">
        <f t="shared" si="34"/>
        <v>524.53121297232428</v>
      </c>
      <c r="W274" s="158">
        <f t="shared" si="35"/>
        <v>150.76984523326237</v>
      </c>
      <c r="X274" s="158">
        <f t="shared" si="36"/>
        <v>83.142903819152608</v>
      </c>
      <c r="Y274" s="158">
        <f t="shared" si="37"/>
        <v>47.331258648339272</v>
      </c>
      <c r="Z274" s="158">
        <f t="shared" si="38"/>
        <v>-8.4840296594707159</v>
      </c>
      <c r="AA274" s="158">
        <f t="shared" si="39"/>
        <v>-43.038281503954366</v>
      </c>
    </row>
    <row r="275" spans="1:27" ht="19.5" thickBot="1" x14ac:dyDescent="0.35">
      <c r="A275" s="142">
        <v>80</v>
      </c>
      <c r="B275" s="143" t="s">
        <v>339</v>
      </c>
      <c r="C275" s="142">
        <v>57</v>
      </c>
      <c r="D275" s="143" t="s">
        <v>340</v>
      </c>
      <c r="E275" s="142">
        <v>488291</v>
      </c>
      <c r="F275" s="143" t="s">
        <v>347</v>
      </c>
      <c r="G275" s="144">
        <v>1.8989247311827957</v>
      </c>
      <c r="H275" s="145">
        <v>12.638731596828991</v>
      </c>
      <c r="I275" s="146">
        <v>8.215175537938844</v>
      </c>
      <c r="J275" s="147">
        <v>0.81897090839949782</v>
      </c>
      <c r="K275" s="148">
        <v>147</v>
      </c>
      <c r="M275" s="149">
        <f t="shared" si="32"/>
        <v>0.64999999999999991</v>
      </c>
      <c r="N275" s="138">
        <f t="shared" si="33"/>
        <v>8.215175537938844</v>
      </c>
      <c r="O275" s="149"/>
      <c r="V275" s="158">
        <f t="shared" si="34"/>
        <v>123.3811098072994</v>
      </c>
      <c r="W275" s="158">
        <f t="shared" si="35"/>
        <v>41.960514164198123</v>
      </c>
      <c r="X275" s="158">
        <f t="shared" si="36"/>
        <v>27.228585380958936</v>
      </c>
      <c r="Y275" s="158">
        <f t="shared" si="37"/>
        <v>19.427336422552255</v>
      </c>
      <c r="Z275" s="158">
        <f t="shared" si="38"/>
        <v>7.2684714025964521</v>
      </c>
      <c r="AA275" s="158">
        <f t="shared" si="39"/>
        <v>-0.258865583027379</v>
      </c>
    </row>
    <row r="276" spans="1:27" ht="19.5" thickBot="1" x14ac:dyDescent="0.35">
      <c r="A276" s="142">
        <v>80</v>
      </c>
      <c r="B276" s="143" t="s">
        <v>339</v>
      </c>
      <c r="C276" s="142">
        <v>57</v>
      </c>
      <c r="D276" s="143" t="s">
        <v>340</v>
      </c>
      <c r="E276" s="142">
        <v>488288</v>
      </c>
      <c r="F276" s="143" t="s">
        <v>348</v>
      </c>
      <c r="G276" s="144">
        <v>1.8613756613756598</v>
      </c>
      <c r="H276" s="145">
        <v>30.085275724843687</v>
      </c>
      <c r="I276" s="146">
        <v>20.361284820920993</v>
      </c>
      <c r="J276" s="147">
        <v>0.55132000796233516</v>
      </c>
      <c r="K276" s="148">
        <v>15</v>
      </c>
      <c r="M276" s="149">
        <f t="shared" si="32"/>
        <v>0.67678571428571421</v>
      </c>
      <c r="N276" s="138">
        <f t="shared" si="33"/>
        <v>20.361284820920993</v>
      </c>
      <c r="O276" s="149"/>
      <c r="V276" s="158">
        <f t="shared" si="34"/>
        <v>78.193815479404961</v>
      </c>
      <c r="W276" s="158">
        <f t="shared" si="35"/>
        <v>1.5419499338933051</v>
      </c>
      <c r="X276" s="158">
        <f t="shared" si="36"/>
        <v>-12.327143204024342</v>
      </c>
      <c r="Y276" s="158">
        <f t="shared" si="37"/>
        <v>-19.671480119318304</v>
      </c>
      <c r="Z276" s="158">
        <f t="shared" si="38"/>
        <v>-31.118211494030927</v>
      </c>
      <c r="AA276" s="158">
        <f t="shared" si="39"/>
        <v>-38.204679211203448</v>
      </c>
    </row>
    <row r="277" spans="1:27" ht="19.5" thickBot="1" x14ac:dyDescent="0.35">
      <c r="A277" s="142">
        <v>80</v>
      </c>
      <c r="B277" s="143" t="s">
        <v>339</v>
      </c>
      <c r="C277" s="142">
        <v>57</v>
      </c>
      <c r="D277" s="143" t="s">
        <v>340</v>
      </c>
      <c r="E277" s="142">
        <v>588336</v>
      </c>
      <c r="F277" s="143" t="s">
        <v>349</v>
      </c>
      <c r="G277" s="144">
        <v>4.0649831649831629</v>
      </c>
      <c r="H277" s="145">
        <v>4.4280626190673429</v>
      </c>
      <c r="I277" s="146">
        <v>2.9643419199867491</v>
      </c>
      <c r="J277" s="147">
        <v>0.93467794784295888</v>
      </c>
      <c r="K277" s="148">
        <v>260</v>
      </c>
      <c r="M277" s="149">
        <f t="shared" si="32"/>
        <v>0.66944444444444451</v>
      </c>
      <c r="N277" s="138">
        <f t="shared" si="33"/>
        <v>2.9643419199867491</v>
      </c>
      <c r="O277" s="149"/>
      <c r="V277" s="158">
        <f t="shared" si="34"/>
        <v>292.6793010659307</v>
      </c>
      <c r="W277" s="158">
        <f t="shared" si="35"/>
        <v>123.44667616989504</v>
      </c>
      <c r="X277" s="158">
        <f t="shared" si="36"/>
        <v>92.826377238438241</v>
      </c>
      <c r="Y277" s="158">
        <f t="shared" si="37"/>
        <v>76.61148924516317</v>
      </c>
      <c r="Z277" s="158">
        <f t="shared" si="38"/>
        <v>51.339300718032753</v>
      </c>
      <c r="AA277" s="158">
        <f t="shared" si="39"/>
        <v>35.693738480463097</v>
      </c>
    </row>
    <row r="278" spans="1:27" ht="19.5" thickBot="1" x14ac:dyDescent="0.35">
      <c r="A278" s="142">
        <v>80</v>
      </c>
      <c r="B278" s="143" t="s">
        <v>339</v>
      </c>
      <c r="C278" s="142">
        <v>57</v>
      </c>
      <c r="D278" s="143" t="s">
        <v>340</v>
      </c>
      <c r="E278" s="142">
        <v>588396</v>
      </c>
      <c r="F278" s="143" t="s">
        <v>350</v>
      </c>
      <c r="G278" s="144">
        <v>2.7843147969375193</v>
      </c>
      <c r="H278" s="145">
        <v>6.4647862446438467</v>
      </c>
      <c r="I278" s="146">
        <v>4.4535194129768723</v>
      </c>
      <c r="J278" s="147">
        <v>0.90186252624387842</v>
      </c>
      <c r="K278" s="148">
        <v>232</v>
      </c>
      <c r="M278" s="149">
        <f t="shared" si="32"/>
        <v>0.68888888888888888</v>
      </c>
      <c r="N278" s="138">
        <f t="shared" si="33"/>
        <v>4.4535194129768723</v>
      </c>
      <c r="O278" s="149"/>
      <c r="V278" s="158">
        <f t="shared" si="34"/>
        <v>187.97292543569196</v>
      </c>
      <c r="W278" s="158">
        <f t="shared" si="35"/>
        <v>75.328673173774888</v>
      </c>
      <c r="X278" s="158">
        <f t="shared" si="36"/>
        <v>54.94725629692109</v>
      </c>
      <c r="Y278" s="158">
        <f t="shared" si="37"/>
        <v>44.154337764603305</v>
      </c>
      <c r="Z278" s="158">
        <f t="shared" si="38"/>
        <v>27.332718520620926</v>
      </c>
      <c r="AA278" s="158">
        <f t="shared" si="39"/>
        <v>16.918753361414765</v>
      </c>
    </row>
    <row r="279" spans="1:27" ht="19.5" thickBot="1" x14ac:dyDescent="0.35">
      <c r="A279" s="142">
        <v>80</v>
      </c>
      <c r="B279" s="143" t="s">
        <v>339</v>
      </c>
      <c r="C279" s="142">
        <v>57</v>
      </c>
      <c r="D279" s="143" t="s">
        <v>340</v>
      </c>
      <c r="E279" s="142">
        <v>488451</v>
      </c>
      <c r="F279" s="143" t="s">
        <v>351</v>
      </c>
      <c r="G279" s="144">
        <v>4.6097894054415791</v>
      </c>
      <c r="H279" s="145">
        <v>3.9047336910341461</v>
      </c>
      <c r="I279" s="146">
        <v>2.6899276538235233</v>
      </c>
      <c r="J279" s="147">
        <v>0.94072492335752111</v>
      </c>
      <c r="K279" s="148">
        <v>263</v>
      </c>
      <c r="M279" s="149">
        <f t="shared" si="32"/>
        <v>0.68888888888888899</v>
      </c>
      <c r="N279" s="138">
        <f t="shared" si="33"/>
        <v>2.6899276538235233</v>
      </c>
      <c r="O279" s="149"/>
      <c r="V279" s="158">
        <f t="shared" si="34"/>
        <v>324.62380135077819</v>
      </c>
      <c r="W279" s="158">
        <f t="shared" si="35"/>
        <v>138.1268286550121</v>
      </c>
      <c r="X279" s="158">
        <f t="shared" si="36"/>
        <v>104.38278516892738</v>
      </c>
      <c r="Y279" s="158">
        <f t="shared" si="37"/>
        <v>86.513727561362245</v>
      </c>
      <c r="Z279" s="158">
        <f t="shared" si="38"/>
        <v>58.663384540316876</v>
      </c>
      <c r="AA279" s="158">
        <f t="shared" si="39"/>
        <v>41.421732729843256</v>
      </c>
    </row>
    <row r="280" spans="1:27" ht="19.5" thickBot="1" x14ac:dyDescent="0.35">
      <c r="A280" s="142">
        <v>80</v>
      </c>
      <c r="B280" s="143" t="s">
        <v>339</v>
      </c>
      <c r="C280" s="142">
        <v>57</v>
      </c>
      <c r="D280" s="143" t="s">
        <v>340</v>
      </c>
      <c r="E280" s="142">
        <v>588501</v>
      </c>
      <c r="F280" s="143" t="s">
        <v>352</v>
      </c>
      <c r="G280" s="144">
        <v>4.6161616161616159</v>
      </c>
      <c r="H280" s="145">
        <v>3.6827133479212257</v>
      </c>
      <c r="I280" s="146">
        <v>3.3252735229759303</v>
      </c>
      <c r="J280" s="147">
        <v>0.9267244817341338</v>
      </c>
      <c r="K280" s="148">
        <v>253</v>
      </c>
      <c r="M280" s="149">
        <f t="shared" si="32"/>
        <v>0.90294117647058825</v>
      </c>
      <c r="N280" s="138">
        <f t="shared" si="33"/>
        <v>3.3252735229759303</v>
      </c>
      <c r="O280" s="149"/>
      <c r="V280" s="158">
        <f t="shared" si="34"/>
        <v>244.31941877973574</v>
      </c>
      <c r="W280" s="158">
        <f t="shared" si="35"/>
        <v>101.83695108660899</v>
      </c>
      <c r="X280" s="158">
        <f t="shared" si="36"/>
        <v>76.056722505179152</v>
      </c>
      <c r="Y280" s="158">
        <f t="shared" si="37"/>
        <v>62.404879333280185</v>
      </c>
      <c r="Z280" s="158">
        <f t="shared" si="38"/>
        <v>41.127399370042795</v>
      </c>
      <c r="AA280" s="158">
        <f t="shared" si="39"/>
        <v>27.954890124707894</v>
      </c>
    </row>
    <row r="281" spans="1:27" ht="19.5" thickBot="1" x14ac:dyDescent="0.35">
      <c r="A281" s="142">
        <v>80</v>
      </c>
      <c r="B281" s="143" t="s">
        <v>339</v>
      </c>
      <c r="C281" s="142">
        <v>57</v>
      </c>
      <c r="D281" s="143" t="s">
        <v>340</v>
      </c>
      <c r="E281" s="142">
        <v>488561</v>
      </c>
      <c r="F281" s="143" t="s">
        <v>353</v>
      </c>
      <c r="G281" s="144">
        <v>6.39810303448564</v>
      </c>
      <c r="H281" s="145">
        <v>13.285187741093226</v>
      </c>
      <c r="I281" s="146">
        <v>8.6158349909148715</v>
      </c>
      <c r="J281" s="147">
        <v>0.8101420018863692</v>
      </c>
      <c r="K281" s="148">
        <v>134</v>
      </c>
      <c r="M281" s="149">
        <f t="shared" si="32"/>
        <v>0.64852941176470591</v>
      </c>
      <c r="N281" s="138">
        <f t="shared" si="33"/>
        <v>8.6158349909148715</v>
      </c>
      <c r="O281" s="149"/>
      <c r="V281" s="158">
        <f t="shared" si="34"/>
        <v>412.16252795470325</v>
      </c>
      <c r="W281" s="158">
        <f t="shared" si="35"/>
        <v>137.20764673435261</v>
      </c>
      <c r="X281" s="158">
        <f t="shared" si="36"/>
        <v>87.458370193836416</v>
      </c>
      <c r="Y281" s="158">
        <f t="shared" si="37"/>
        <v>61.1137891478878</v>
      </c>
      <c r="Z281" s="158">
        <f t="shared" si="38"/>
        <v>20.053670870314313</v>
      </c>
      <c r="AA281" s="158">
        <f t="shared" si="39"/>
        <v>-5.3659177539199101</v>
      </c>
    </row>
    <row r="282" spans="1:27" ht="19.5" thickBot="1" x14ac:dyDescent="0.35">
      <c r="A282" s="142">
        <v>80</v>
      </c>
      <c r="B282" s="143" t="s">
        <v>339</v>
      </c>
      <c r="C282" s="142">
        <v>57</v>
      </c>
      <c r="D282" s="143" t="s">
        <v>340</v>
      </c>
      <c r="E282" s="142">
        <v>588631</v>
      </c>
      <c r="F282" s="143" t="s">
        <v>354</v>
      </c>
      <c r="G282" s="144">
        <v>5.0444772766063091</v>
      </c>
      <c r="H282" s="145">
        <v>5.3523880710519034</v>
      </c>
      <c r="I282" s="146">
        <v>3.4096694378552863</v>
      </c>
      <c r="J282" s="147">
        <v>0.92486473866049579</v>
      </c>
      <c r="K282" s="148">
        <v>251</v>
      </c>
      <c r="M282" s="149">
        <f t="shared" si="32"/>
        <v>0.63703703703703696</v>
      </c>
      <c r="N282" s="138">
        <f t="shared" si="33"/>
        <v>3.4096694378552863</v>
      </c>
      <c r="O282" s="149"/>
      <c r="V282" s="158">
        <f t="shared" si="34"/>
        <v>377.6726299804119</v>
      </c>
      <c r="W282" s="158">
        <f t="shared" si="35"/>
        <v>156.97820196383736</v>
      </c>
      <c r="X282" s="158">
        <f t="shared" si="36"/>
        <v>117.04660270792645</v>
      </c>
      <c r="Y282" s="158">
        <f t="shared" si="37"/>
        <v>95.900943392962461</v>
      </c>
      <c r="Z282" s="158">
        <f t="shared" si="38"/>
        <v>62.943756827142451</v>
      </c>
      <c r="AA282" s="158">
        <f t="shared" si="39"/>
        <v>42.540549046495194</v>
      </c>
    </row>
    <row r="283" spans="1:27" ht="19.5" thickBot="1" x14ac:dyDescent="0.35">
      <c r="A283" s="142">
        <v>80</v>
      </c>
      <c r="B283" s="143" t="s">
        <v>339</v>
      </c>
      <c r="C283" s="142">
        <v>57</v>
      </c>
      <c r="D283" s="143" t="s">
        <v>340</v>
      </c>
      <c r="E283" s="142">
        <v>488706</v>
      </c>
      <c r="F283" s="143" t="s">
        <v>355</v>
      </c>
      <c r="G283" s="144">
        <v>3.2630691802820828</v>
      </c>
      <c r="H283" s="145">
        <v>10.419638114157543</v>
      </c>
      <c r="I283" s="146">
        <v>6.6655037936154873</v>
      </c>
      <c r="J283" s="147">
        <v>0.85311937751720202</v>
      </c>
      <c r="K283" s="148">
        <v>182</v>
      </c>
      <c r="M283" s="149">
        <f t="shared" si="32"/>
        <v>0.63970588235294124</v>
      </c>
      <c r="N283" s="138">
        <f t="shared" si="33"/>
        <v>6.6655037936154873</v>
      </c>
      <c r="O283" s="149"/>
      <c r="V283" s="158">
        <f t="shared" si="34"/>
        <v>224.40965961213226</v>
      </c>
      <c r="W283" s="158">
        <f t="shared" si="35"/>
        <v>82.246908834899884</v>
      </c>
      <c r="X283" s="158">
        <f t="shared" si="36"/>
        <v>56.524528600052989</v>
      </c>
      <c r="Y283" s="158">
        <f t="shared" si="37"/>
        <v>42.903318847590548</v>
      </c>
      <c r="Z283" s="158">
        <f t="shared" si="38"/>
        <v>21.673583497300907</v>
      </c>
      <c r="AA283" s="158">
        <f t="shared" si="39"/>
        <v>8.5306320923003014</v>
      </c>
    </row>
    <row r="284" spans="1:27" ht="19.5" thickBot="1" x14ac:dyDescent="0.35">
      <c r="A284" s="142">
        <v>80</v>
      </c>
      <c r="B284" s="143" t="s">
        <v>339</v>
      </c>
      <c r="C284" s="142">
        <v>57</v>
      </c>
      <c r="D284" s="143" t="s">
        <v>340</v>
      </c>
      <c r="E284" s="142">
        <v>588716</v>
      </c>
      <c r="F284" s="143" t="s">
        <v>356</v>
      </c>
      <c r="G284" s="144">
        <v>2.6091871091871091</v>
      </c>
      <c r="H284" s="145">
        <v>19.163056502903494</v>
      </c>
      <c r="I284" s="146">
        <v>12.053562540326297</v>
      </c>
      <c r="J284" s="147">
        <v>0.73438845376485073</v>
      </c>
      <c r="K284" s="148">
        <v>70</v>
      </c>
      <c r="M284" s="149">
        <f t="shared" si="32"/>
        <v>0.629</v>
      </c>
      <c r="N284" s="138">
        <f t="shared" si="33"/>
        <v>12.053562540326297</v>
      </c>
      <c r="O284" s="149"/>
      <c r="V284" s="158">
        <f t="shared" si="34"/>
        <v>157.09639615682821</v>
      </c>
      <c r="W284" s="158">
        <f t="shared" si="35"/>
        <v>41.486646726974094</v>
      </c>
      <c r="X284" s="158">
        <f t="shared" si="36"/>
        <v>20.568664221486909</v>
      </c>
      <c r="Y284" s="158">
        <f t="shared" si="37"/>
        <v>9.4916089604974943</v>
      </c>
      <c r="Z284" s="158">
        <f t="shared" si="38"/>
        <v>-7.7728599027637815</v>
      </c>
      <c r="AA284" s="158">
        <f t="shared" si="39"/>
        <v>-18.460985381440242</v>
      </c>
    </row>
    <row r="285" spans="1:27" ht="19.5" thickBot="1" x14ac:dyDescent="0.35">
      <c r="A285" s="142">
        <v>80</v>
      </c>
      <c r="B285" s="143" t="s">
        <v>339</v>
      </c>
      <c r="C285" s="142">
        <v>55</v>
      </c>
      <c r="D285" s="143" t="s">
        <v>357</v>
      </c>
      <c r="E285" s="142">
        <v>588186</v>
      </c>
      <c r="F285" s="143" t="s">
        <v>358</v>
      </c>
      <c r="G285" s="144">
        <v>2.567366041366042</v>
      </c>
      <c r="H285" s="145">
        <v>21.033229827745064</v>
      </c>
      <c r="I285" s="146">
        <v>13.944252367282838</v>
      </c>
      <c r="J285" s="147">
        <v>0.69272533162076488</v>
      </c>
      <c r="K285" s="148">
        <v>52</v>
      </c>
      <c r="M285" s="149">
        <f t="shared" si="32"/>
        <v>0.66296296296296287</v>
      </c>
      <c r="N285" s="138">
        <f t="shared" si="33"/>
        <v>13.944252367282838</v>
      </c>
      <c r="O285" s="149"/>
      <c r="V285" s="158">
        <f t="shared" si="34"/>
        <v>138.33924408305901</v>
      </c>
      <c r="W285" s="158">
        <f t="shared" si="35"/>
        <v>30.410181055107198</v>
      </c>
      <c r="X285" s="158">
        <f t="shared" si="36"/>
        <v>10.881912346055575</v>
      </c>
      <c r="Y285" s="158">
        <f t="shared" si="37"/>
        <v>0.54077588201696591</v>
      </c>
      <c r="Z285" s="158">
        <f t="shared" si="38"/>
        <v>-15.576705189227914</v>
      </c>
      <c r="AA285" s="158">
        <f t="shared" si="39"/>
        <v>-25.554750934743939</v>
      </c>
    </row>
    <row r="286" spans="1:27" ht="19.5" thickBot="1" x14ac:dyDescent="0.35">
      <c r="A286" s="142">
        <v>80</v>
      </c>
      <c r="B286" s="143" t="s">
        <v>339</v>
      </c>
      <c r="C286" s="142">
        <v>55</v>
      </c>
      <c r="D286" s="143" t="s">
        <v>357</v>
      </c>
      <c r="E286" s="142">
        <v>488246</v>
      </c>
      <c r="F286" s="143" t="s">
        <v>359</v>
      </c>
      <c r="G286" s="144">
        <v>2.927814375640462</v>
      </c>
      <c r="H286" s="145">
        <v>16.736033680168404</v>
      </c>
      <c r="I286" s="146">
        <v>11.792072710363554</v>
      </c>
      <c r="J286" s="147">
        <v>0.74015062721596137</v>
      </c>
      <c r="K286" s="148">
        <v>75</v>
      </c>
      <c r="M286" s="149">
        <f t="shared" si="32"/>
        <v>0.70459183673469383</v>
      </c>
      <c r="N286" s="138">
        <f t="shared" si="33"/>
        <v>11.792072710363554</v>
      </c>
      <c r="O286" s="149"/>
      <c r="V286" s="158">
        <f t="shared" si="34"/>
        <v>158.60316386466718</v>
      </c>
      <c r="W286" s="158">
        <f t="shared" si="35"/>
        <v>42.793230219709841</v>
      </c>
      <c r="X286" s="158">
        <f t="shared" si="36"/>
        <v>21.839027153845581</v>
      </c>
      <c r="Y286" s="158">
        <f t="shared" si="37"/>
        <v>10.742791403113635</v>
      </c>
      <c r="Z286" s="158">
        <f t="shared" si="38"/>
        <v>-6.5515717741273001</v>
      </c>
      <c r="AA286" s="158">
        <f t="shared" si="39"/>
        <v>-17.258204290665404</v>
      </c>
    </row>
    <row r="287" spans="1:27" ht="19.5" thickBot="1" x14ac:dyDescent="0.35">
      <c r="A287" s="142">
        <v>80</v>
      </c>
      <c r="B287" s="143" t="s">
        <v>339</v>
      </c>
      <c r="C287" s="142">
        <v>55</v>
      </c>
      <c r="D287" s="143" t="s">
        <v>357</v>
      </c>
      <c r="E287" s="142">
        <v>588316</v>
      </c>
      <c r="F287" s="143" t="s">
        <v>360</v>
      </c>
      <c r="G287" s="144">
        <v>3.9837235643687254</v>
      </c>
      <c r="H287" s="145">
        <v>12.300050244014537</v>
      </c>
      <c r="I287" s="146">
        <v>8.3464626655812921</v>
      </c>
      <c r="J287" s="147">
        <v>0.81607787350983629</v>
      </c>
      <c r="K287" s="148">
        <v>139</v>
      </c>
      <c r="M287" s="149">
        <f t="shared" si="32"/>
        <v>0.67857142857142849</v>
      </c>
      <c r="N287" s="138">
        <f t="shared" si="33"/>
        <v>8.3464626655812921</v>
      </c>
      <c r="O287" s="149"/>
      <c r="V287" s="158">
        <f t="shared" si="34"/>
        <v>247.06488904916898</v>
      </c>
      <c r="W287" s="158">
        <f t="shared" si="35"/>
        <v>83.445974924594154</v>
      </c>
      <c r="X287" s="158">
        <f t="shared" si="36"/>
        <v>53.841399185060133</v>
      </c>
      <c r="Y287" s="158">
        <f t="shared" si="37"/>
        <v>38.164384379309041</v>
      </c>
      <c r="Z287" s="158">
        <f t="shared" si="38"/>
        <v>13.730513859952215</v>
      </c>
      <c r="AA287" s="158">
        <f t="shared" si="39"/>
        <v>-1.3960606155794624</v>
      </c>
    </row>
    <row r="288" spans="1:27" ht="19.5" thickBot="1" x14ac:dyDescent="0.35">
      <c r="A288" s="142">
        <v>80</v>
      </c>
      <c r="B288" s="143" t="s">
        <v>339</v>
      </c>
      <c r="C288" s="142">
        <v>55</v>
      </c>
      <c r="D288" s="143" t="s">
        <v>357</v>
      </c>
      <c r="E288" s="142">
        <v>488326</v>
      </c>
      <c r="F288" s="143" t="s">
        <v>361</v>
      </c>
      <c r="G288" s="144">
        <v>5.0138817773226396</v>
      </c>
      <c r="H288" s="145">
        <v>17.152378899113792</v>
      </c>
      <c r="I288" s="146">
        <v>12.241014592245453</v>
      </c>
      <c r="J288" s="147">
        <v>0.7302577721353638</v>
      </c>
      <c r="K288" s="148">
        <v>65</v>
      </c>
      <c r="M288" s="149">
        <f t="shared" si="32"/>
        <v>0.71366279069767435</v>
      </c>
      <c r="N288" s="138">
        <f t="shared" si="33"/>
        <v>12.241014592245453</v>
      </c>
      <c r="O288" s="149"/>
      <c r="V288" s="158">
        <f t="shared" si="34"/>
        <v>264.57148005204692</v>
      </c>
      <c r="W288" s="158">
        <f t="shared" si="35"/>
        <v>68.767769879199562</v>
      </c>
      <c r="X288" s="158">
        <f t="shared" si="36"/>
        <v>33.339801181886315</v>
      </c>
      <c r="Y288" s="158">
        <f t="shared" si="37"/>
        <v>14.579025999968151</v>
      </c>
      <c r="Z288" s="158">
        <f t="shared" si="38"/>
        <v>-14.661129560106243</v>
      </c>
      <c r="AA288" s="158">
        <f t="shared" si="39"/>
        <v>-32.763189583924351</v>
      </c>
    </row>
    <row r="289" spans="1:27" ht="19.5" thickBot="1" x14ac:dyDescent="0.35">
      <c r="A289" s="142">
        <v>80</v>
      </c>
      <c r="B289" s="143" t="s">
        <v>339</v>
      </c>
      <c r="C289" s="142">
        <v>55</v>
      </c>
      <c r="D289" s="143" t="s">
        <v>357</v>
      </c>
      <c r="E289" s="142">
        <v>488346</v>
      </c>
      <c r="F289" s="143" t="s">
        <v>362</v>
      </c>
      <c r="G289" s="144">
        <v>1.8723945526189556</v>
      </c>
      <c r="H289" s="145">
        <v>27.237848950513811</v>
      </c>
      <c r="I289" s="146">
        <v>18.07845464656652</v>
      </c>
      <c r="J289" s="147">
        <v>0.60162431014469497</v>
      </c>
      <c r="K289" s="148">
        <v>19</v>
      </c>
      <c r="M289" s="149">
        <f t="shared" si="32"/>
        <v>0.6637254901960784</v>
      </c>
      <c r="N289" s="138">
        <f t="shared" si="33"/>
        <v>18.07845464656652</v>
      </c>
      <c r="O289" s="149"/>
      <c r="V289" s="158">
        <f t="shared" si="34"/>
        <v>87.522568060075031</v>
      </c>
      <c r="W289" s="158">
        <f t="shared" si="35"/>
        <v>8.8997233693849775</v>
      </c>
      <c r="X289" s="158">
        <f t="shared" si="36"/>
        <v>-5.3259911389693997</v>
      </c>
      <c r="Y289" s="158">
        <f t="shared" si="37"/>
        <v>-12.859175837578089</v>
      </c>
      <c r="Z289" s="158">
        <f t="shared" si="38"/>
        <v>-24.600241455292561</v>
      </c>
      <c r="AA289" s="158">
        <f t="shared" si="39"/>
        <v>-31.868926265084095</v>
      </c>
    </row>
    <row r="290" spans="1:27" ht="19.5" thickBot="1" x14ac:dyDescent="0.35">
      <c r="A290" s="142">
        <v>80</v>
      </c>
      <c r="B290" s="143" t="s">
        <v>339</v>
      </c>
      <c r="C290" s="142">
        <v>55</v>
      </c>
      <c r="D290" s="143" t="s">
        <v>357</v>
      </c>
      <c r="E290" s="142">
        <v>588386</v>
      </c>
      <c r="F290" s="143" t="s">
        <v>363</v>
      </c>
      <c r="G290" s="144">
        <v>2.0195966230448992</v>
      </c>
      <c r="H290" s="145">
        <v>29.213754532351643</v>
      </c>
      <c r="I290" s="146">
        <v>18.988940446028568</v>
      </c>
      <c r="J290" s="147">
        <v>0.58156090231724333</v>
      </c>
      <c r="K290" s="148">
        <v>17</v>
      </c>
      <c r="M290" s="149">
        <f t="shared" si="32"/>
        <v>0.65</v>
      </c>
      <c r="N290" s="138">
        <f t="shared" si="33"/>
        <v>18.988940446028568</v>
      </c>
      <c r="O290" s="149"/>
      <c r="V290" s="158">
        <f t="shared" si="34"/>
        <v>93.182055065240704</v>
      </c>
      <c r="W290" s="158">
        <f t="shared" si="35"/>
        <v>6.5873852993212418</v>
      </c>
      <c r="X290" s="158">
        <f t="shared" si="36"/>
        <v>-9.0807205149811754</v>
      </c>
      <c r="Y290" s="158">
        <f t="shared" si="37"/>
        <v>-17.377719228625299</v>
      </c>
      <c r="Z290" s="158">
        <f t="shared" si="38"/>
        <v>-30.309249547400032</v>
      </c>
      <c r="AA290" s="158">
        <f t="shared" si="39"/>
        <v>-38.314929871136606</v>
      </c>
    </row>
    <row r="291" spans="1:27" ht="19.5" thickBot="1" x14ac:dyDescent="0.35">
      <c r="A291" s="142">
        <v>80</v>
      </c>
      <c r="B291" s="143" t="s">
        <v>339</v>
      </c>
      <c r="C291" s="142">
        <v>55</v>
      </c>
      <c r="D291" s="143" t="s">
        <v>357</v>
      </c>
      <c r="E291" s="142">
        <v>588461</v>
      </c>
      <c r="F291" s="143" t="s">
        <v>364</v>
      </c>
      <c r="G291" s="144">
        <v>2.8940228847615943</v>
      </c>
      <c r="H291" s="145">
        <v>11.748352156793976</v>
      </c>
      <c r="I291" s="146">
        <v>7.6364289019160845</v>
      </c>
      <c r="J291" s="147">
        <v>0.83172413288048486</v>
      </c>
      <c r="K291" s="148">
        <v>165</v>
      </c>
      <c r="M291" s="149">
        <f t="shared" si="32"/>
        <v>0.65</v>
      </c>
      <c r="N291" s="138">
        <f t="shared" si="33"/>
        <v>7.6364289019160845</v>
      </c>
      <c r="O291" s="149"/>
      <c r="V291" s="158">
        <f t="shared" si="34"/>
        <v>190.96497075416301</v>
      </c>
      <c r="W291" s="158">
        <f t="shared" si="35"/>
        <v>66.877341996342309</v>
      </c>
      <c r="X291" s="158">
        <f t="shared" si="36"/>
        <v>44.425404678734047</v>
      </c>
      <c r="Y291" s="158">
        <f t="shared" si="37"/>
        <v>32.536048221046123</v>
      </c>
      <c r="Z291" s="158">
        <f t="shared" si="38"/>
        <v>14.005543539819747</v>
      </c>
      <c r="AA291" s="158">
        <f t="shared" si="39"/>
        <v>2.5336378133938231</v>
      </c>
    </row>
    <row r="292" spans="1:27" ht="19.5" thickBot="1" x14ac:dyDescent="0.35">
      <c r="A292" s="142">
        <v>80</v>
      </c>
      <c r="B292" s="143" t="s">
        <v>339</v>
      </c>
      <c r="C292" s="142">
        <v>55</v>
      </c>
      <c r="D292" s="143" t="s">
        <v>357</v>
      </c>
      <c r="E292" s="142">
        <v>588551</v>
      </c>
      <c r="F292" s="143" t="s">
        <v>365</v>
      </c>
      <c r="G292" s="144">
        <v>3.7017378756509185</v>
      </c>
      <c r="H292" s="145">
        <v>14.587742788380057</v>
      </c>
      <c r="I292" s="146">
        <v>9.7319154435442883</v>
      </c>
      <c r="J292" s="147">
        <v>0.78554812320909473</v>
      </c>
      <c r="K292" s="148">
        <v>114</v>
      </c>
      <c r="M292" s="149">
        <f t="shared" si="32"/>
        <v>0.66712962962962963</v>
      </c>
      <c r="N292" s="138">
        <f t="shared" si="33"/>
        <v>9.7319154435442883</v>
      </c>
      <c r="O292" s="149"/>
      <c r="V292" s="158">
        <f t="shared" si="34"/>
        <v>224.77811852278549</v>
      </c>
      <c r="W292" s="158">
        <f t="shared" si="35"/>
        <v>70.133321066753595</v>
      </c>
      <c r="X292" s="158">
        <f t="shared" si="36"/>
        <v>42.152487411261376</v>
      </c>
      <c r="Y292" s="158">
        <f t="shared" si="37"/>
        <v>27.33532038432007</v>
      </c>
      <c r="Z292" s="158">
        <f t="shared" si="38"/>
        <v>4.2415908008567103</v>
      </c>
      <c r="AA292" s="158">
        <f t="shared" si="39"/>
        <v>-10.055326267002219</v>
      </c>
    </row>
    <row r="293" spans="1:27" ht="19.5" thickBot="1" x14ac:dyDescent="0.35">
      <c r="A293" s="142">
        <v>80</v>
      </c>
      <c r="B293" s="143" t="s">
        <v>339</v>
      </c>
      <c r="C293" s="142">
        <v>55</v>
      </c>
      <c r="D293" s="143" t="s">
        <v>357</v>
      </c>
      <c r="E293" s="142">
        <v>488556</v>
      </c>
      <c r="F293" s="143" t="s">
        <v>366</v>
      </c>
      <c r="G293" s="144">
        <v>3.4620816408930022</v>
      </c>
      <c r="H293" s="145">
        <v>16.464083147761222</v>
      </c>
      <c r="I293" s="146">
        <v>10.903844540841863</v>
      </c>
      <c r="J293" s="147">
        <v>0.75972356730956192</v>
      </c>
      <c r="K293" s="148">
        <v>91</v>
      </c>
      <c r="M293" s="149">
        <f t="shared" si="32"/>
        <v>0.66228070175438603</v>
      </c>
      <c r="N293" s="138">
        <f t="shared" si="33"/>
        <v>10.903844540841863</v>
      </c>
      <c r="O293" s="149"/>
      <c r="V293" s="158">
        <f t="shared" si="34"/>
        <v>204.80313810636997</v>
      </c>
      <c r="W293" s="158">
        <f t="shared" si="35"/>
        <v>59.111345878659549</v>
      </c>
      <c r="X293" s="158">
        <f t="shared" si="36"/>
        <v>32.750434484578307</v>
      </c>
      <c r="Y293" s="158">
        <f t="shared" si="37"/>
        <v>18.791092460762854</v>
      </c>
      <c r="Z293" s="158">
        <f t="shared" si="38"/>
        <v>-2.9656488430852512</v>
      </c>
      <c r="AA293" s="158">
        <f t="shared" si="39"/>
        <v>-16.434860256676615</v>
      </c>
    </row>
    <row r="294" spans="1:27" ht="19.5" thickBot="1" x14ac:dyDescent="0.35">
      <c r="A294" s="150">
        <v>80</v>
      </c>
      <c r="B294" s="151" t="s">
        <v>339</v>
      </c>
      <c r="C294" s="150">
        <v>55</v>
      </c>
      <c r="D294" s="151" t="s">
        <v>357</v>
      </c>
      <c r="E294" s="150">
        <v>488586</v>
      </c>
      <c r="F294" s="151" t="s">
        <v>357</v>
      </c>
      <c r="G294" s="144">
        <v>10.277247068561795</v>
      </c>
      <c r="H294" s="145">
        <v>17.027906289742397</v>
      </c>
      <c r="I294" s="146">
        <v>11.824664639205398</v>
      </c>
      <c r="J294" s="147">
        <v>0.73943243352131682</v>
      </c>
      <c r="K294" s="148">
        <v>74</v>
      </c>
      <c r="M294" s="149">
        <f t="shared" si="32"/>
        <v>0.6944285714285714</v>
      </c>
      <c r="N294" s="138">
        <f t="shared" si="33"/>
        <v>11.824664639205398</v>
      </c>
      <c r="O294" s="149"/>
      <c r="V294" s="158">
        <f t="shared" si="34"/>
        <v>564.33049040772141</v>
      </c>
      <c r="W294" s="158">
        <f t="shared" si="35"/>
        <v>151.86359545547302</v>
      </c>
      <c r="X294" s="158">
        <f t="shared" si="36"/>
        <v>77.233425117297969</v>
      </c>
      <c r="Y294" s="158">
        <f t="shared" si="37"/>
        <v>37.713240952493187</v>
      </c>
      <c r="Z294" s="158">
        <f t="shared" si="38"/>
        <v>-23.882099407186498</v>
      </c>
      <c r="AA294" s="158">
        <f t="shared" si="39"/>
        <v>-62.014678629880315</v>
      </c>
    </row>
    <row r="295" spans="1:27" ht="19.5" thickBot="1" x14ac:dyDescent="0.35">
      <c r="A295" s="150">
        <v>80</v>
      </c>
      <c r="B295" s="151" t="s">
        <v>339</v>
      </c>
      <c r="C295" s="150">
        <v>55</v>
      </c>
      <c r="D295" s="151" t="s">
        <v>357</v>
      </c>
      <c r="E295" s="150">
        <v>588587</v>
      </c>
      <c r="F295" s="151" t="s">
        <v>367</v>
      </c>
      <c r="G295" s="144">
        <v>3.9912457912457913</v>
      </c>
      <c r="H295" s="145">
        <v>15.032900286823013</v>
      </c>
      <c r="I295" s="146">
        <v>10.090834317529946</v>
      </c>
      <c r="J295" s="147">
        <v>0.77763900947003506</v>
      </c>
      <c r="K295" s="148">
        <v>107</v>
      </c>
      <c r="M295" s="149">
        <f t="shared" si="32"/>
        <v>0.6712499999999999</v>
      </c>
      <c r="N295" s="138">
        <f t="shared" si="33"/>
        <v>10.090834317529946</v>
      </c>
      <c r="O295" s="149"/>
      <c r="V295" s="158">
        <f t="shared" si="34"/>
        <v>238.44488832509552</v>
      </c>
      <c r="W295" s="158">
        <f t="shared" si="35"/>
        <v>72.729035561162121</v>
      </c>
      <c r="X295" s="158">
        <f t="shared" si="36"/>
        <v>42.745047825758341</v>
      </c>
      <c r="Y295" s="158">
        <f t="shared" si="37"/>
        <v>26.867116528953254</v>
      </c>
      <c r="Z295" s="158">
        <f t="shared" si="38"/>
        <v>2.1201017287212047</v>
      </c>
      <c r="AA295" s="158">
        <f t="shared" si="39"/>
        <v>-13.200334799181309</v>
      </c>
    </row>
    <row r="296" spans="1:27" ht="19.5" thickBot="1" x14ac:dyDescent="0.35">
      <c r="A296" s="150">
        <v>80</v>
      </c>
      <c r="B296" s="151" t="s">
        <v>339</v>
      </c>
      <c r="C296" s="150">
        <v>55</v>
      </c>
      <c r="D296" s="151" t="s">
        <v>357</v>
      </c>
      <c r="E296" s="150">
        <v>488616</v>
      </c>
      <c r="F296" s="151" t="s">
        <v>368</v>
      </c>
      <c r="G296" s="144">
        <v>1.8887926887926878</v>
      </c>
      <c r="H296" s="145">
        <v>7.4121422023021326</v>
      </c>
      <c r="I296" s="146">
        <v>5.0031959865539397</v>
      </c>
      <c r="J296" s="147">
        <v>0.88974988783107845</v>
      </c>
      <c r="K296" s="148">
        <v>220</v>
      </c>
      <c r="M296" s="149">
        <f t="shared" si="32"/>
        <v>0.67500000000000004</v>
      </c>
      <c r="N296" s="138">
        <f t="shared" si="33"/>
        <v>5.0031959865539397</v>
      </c>
      <c r="O296" s="149"/>
      <c r="V296" s="158">
        <f t="shared" si="34"/>
        <v>128.39090657948793</v>
      </c>
      <c r="W296" s="158">
        <f t="shared" si="35"/>
        <v>50.404232130717702</v>
      </c>
      <c r="X296" s="158">
        <f t="shared" si="36"/>
        <v>36.293623814156128</v>
      </c>
      <c r="Y296" s="158">
        <f t="shared" si="37"/>
        <v>28.821393256179142</v>
      </c>
      <c r="Z296" s="158">
        <f t="shared" si="38"/>
        <v>17.175329499358956</v>
      </c>
      <c r="AA296" s="158">
        <f t="shared" si="39"/>
        <v>9.9654586512356307</v>
      </c>
    </row>
    <row r="297" spans="1:27" ht="18.75" x14ac:dyDescent="0.3">
      <c r="A297" s="150">
        <v>80</v>
      </c>
      <c r="B297" s="151" t="s">
        <v>339</v>
      </c>
      <c r="C297" s="150">
        <v>55</v>
      </c>
      <c r="D297" s="151" t="s">
        <v>357</v>
      </c>
      <c r="E297" s="150">
        <v>588666</v>
      </c>
      <c r="F297" s="151" t="s">
        <v>369</v>
      </c>
      <c r="G297" s="152">
        <v>3.20739114918638</v>
      </c>
      <c r="H297" s="153">
        <v>30.242647525109629</v>
      </c>
      <c r="I297" s="154">
        <v>20.42158157623382</v>
      </c>
      <c r="J297" s="155">
        <v>0.54999131245359889</v>
      </c>
      <c r="K297" s="156">
        <v>13</v>
      </c>
      <c r="M297" s="149">
        <f t="shared" si="32"/>
        <v>0.67525773195876282</v>
      </c>
      <c r="N297" s="138">
        <f t="shared" si="33"/>
        <v>20.42158157623382</v>
      </c>
      <c r="O297" s="149"/>
      <c r="V297" s="158">
        <f t="shared" si="34"/>
        <v>134.71749340217457</v>
      </c>
      <c r="W297" s="158">
        <f t="shared" si="35"/>
        <v>2.3375345211683638</v>
      </c>
      <c r="X297" s="158">
        <f t="shared" si="36"/>
        <v>-21.614785050548697</v>
      </c>
      <c r="Y297" s="158">
        <f t="shared" si="37"/>
        <v>-34.298664456948877</v>
      </c>
      <c r="Z297" s="158">
        <f t="shared" si="38"/>
        <v>-54.067496147113914</v>
      </c>
      <c r="AA297" s="158">
        <f t="shared" si="39"/>
        <v>-66.306028090656497</v>
      </c>
    </row>
  </sheetData>
  <mergeCells count="3">
    <mergeCell ref="A1:K1"/>
    <mergeCell ref="M1:T1"/>
    <mergeCell ref="V1:AA1"/>
  </mergeCells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79998168889431442"/>
  </sheetPr>
  <dimension ref="A1:BQ300"/>
  <sheetViews>
    <sheetView workbookViewId="0">
      <selection activeCell="K3" sqref="K3"/>
    </sheetView>
  </sheetViews>
  <sheetFormatPr baseColWidth="10" defaultRowHeight="15" x14ac:dyDescent="0.25"/>
  <cols>
    <col min="1" max="1" width="29.85546875" customWidth="1"/>
    <col min="2" max="2" width="26.140625" customWidth="1"/>
    <col min="3" max="3" width="34.28515625" customWidth="1"/>
    <col min="4" max="4" width="12.42578125" customWidth="1"/>
    <col min="5" max="5" width="0.28515625" customWidth="1"/>
    <col min="6" max="6" width="9.28515625" customWidth="1"/>
    <col min="7" max="7" width="8.28515625" customWidth="1"/>
    <col min="8" max="8" width="0.28515625" customWidth="1"/>
    <col min="9" max="10" width="9.7109375" customWidth="1"/>
    <col min="11" max="11" width="0.28515625" customWidth="1"/>
    <col min="12" max="12" width="10.7109375" customWidth="1"/>
    <col min="13" max="14" width="9.5703125" customWidth="1"/>
    <col min="15" max="17" width="7.85546875" customWidth="1"/>
    <col min="18" max="18" width="10" customWidth="1"/>
    <col min="19" max="20" width="7.85546875" customWidth="1"/>
    <col min="21" max="22" width="9.5703125" customWidth="1"/>
    <col min="23" max="23" width="0.28515625" customWidth="1"/>
    <col min="24" max="25" width="9.5703125" customWidth="1"/>
    <col min="26" max="27" width="7.85546875" customWidth="1"/>
    <col min="28" max="28" width="10" customWidth="1"/>
    <col min="29" max="30" width="7.85546875" customWidth="1"/>
    <col min="31" max="32" width="9.5703125" customWidth="1"/>
    <col min="33" max="33" width="0.28515625" customWidth="1"/>
    <col min="34" max="34" width="9" customWidth="1"/>
    <col min="35" max="37" width="7.85546875" customWidth="1"/>
    <col min="38" max="38" width="10" customWidth="1"/>
    <col min="39" max="40" width="7.85546875" customWidth="1"/>
    <col min="41" max="41" width="8.85546875" customWidth="1"/>
    <col min="42" max="42" width="7.85546875" customWidth="1"/>
    <col min="43" max="43" width="0.28515625" customWidth="1"/>
    <col min="44" max="44" width="7.5703125" customWidth="1"/>
    <col min="45" max="47" width="7.85546875" customWidth="1"/>
    <col min="48" max="48" width="10" customWidth="1"/>
    <col min="49" max="49" width="7.42578125" customWidth="1"/>
    <col min="50" max="50" width="7.85546875" customWidth="1"/>
    <col min="51" max="51" width="8.85546875" customWidth="1"/>
    <col min="52" max="52" width="7.85546875" customWidth="1"/>
    <col min="53" max="53" width="0.28515625" customWidth="1"/>
    <col min="54" max="54" width="9.42578125" customWidth="1"/>
    <col min="55" max="55" width="9" customWidth="1"/>
    <col min="56" max="57" width="7.85546875" customWidth="1"/>
    <col min="58" max="58" width="10" customWidth="1"/>
    <col min="59" max="59" width="8.85546875" customWidth="1"/>
    <col min="60" max="60" width="7.85546875" customWidth="1"/>
    <col min="61" max="61" width="8.85546875" customWidth="1"/>
    <col min="62" max="62" width="7.85546875" customWidth="1"/>
    <col min="63" max="63" width="0.28515625" customWidth="1"/>
    <col min="64" max="64" width="8.140625" customWidth="1"/>
    <col min="65" max="65" width="9.140625" customWidth="1"/>
    <col min="66" max="66" width="10.7109375" customWidth="1"/>
    <col min="67" max="67" width="8.140625" customWidth="1"/>
    <col min="68" max="68" width="9.140625" customWidth="1"/>
    <col min="69" max="69" width="10.140625" customWidth="1"/>
    <col min="70" max="70" width="4.7109375" customWidth="1"/>
  </cols>
  <sheetData>
    <row r="1" spans="1:69" s="44" customFormat="1" ht="3.75" customHeight="1" x14ac:dyDescent="0.2"/>
    <row r="2" spans="1:69" s="44" customFormat="1" ht="24" customHeight="1" x14ac:dyDescent="0.2">
      <c r="A2" s="330"/>
      <c r="B2" s="331"/>
      <c r="C2" s="331"/>
      <c r="D2" s="332"/>
      <c r="E2" s="45"/>
      <c r="F2" s="329"/>
      <c r="G2" s="328"/>
      <c r="H2" s="46"/>
      <c r="I2" s="328"/>
      <c r="J2" s="329"/>
      <c r="K2" s="46"/>
      <c r="L2" s="324"/>
      <c r="M2" s="324"/>
      <c r="N2" s="324"/>
      <c r="O2" s="324"/>
      <c r="P2" s="324"/>
      <c r="Q2" s="324"/>
      <c r="R2" s="324"/>
      <c r="S2" s="324"/>
      <c r="T2" s="324"/>
      <c r="U2" s="324"/>
      <c r="V2" s="324"/>
      <c r="W2" s="47"/>
      <c r="X2" s="325"/>
      <c r="Y2" s="325"/>
      <c r="Z2" s="325"/>
      <c r="AA2" s="325"/>
      <c r="AB2" s="325"/>
      <c r="AC2" s="325"/>
      <c r="AD2" s="325"/>
      <c r="AE2" s="325"/>
      <c r="AF2" s="325"/>
      <c r="AG2" s="48"/>
      <c r="AH2" s="326"/>
      <c r="AI2" s="326"/>
      <c r="AJ2" s="326"/>
      <c r="AK2" s="326"/>
      <c r="AL2" s="326"/>
      <c r="AM2" s="326"/>
      <c r="AN2" s="326"/>
      <c r="AO2" s="326"/>
      <c r="AP2" s="326"/>
      <c r="AQ2" s="49"/>
      <c r="AR2" s="327"/>
      <c r="AS2" s="327"/>
      <c r="AT2" s="327"/>
      <c r="AU2" s="327"/>
      <c r="AV2" s="327"/>
      <c r="AW2" s="327"/>
      <c r="AX2" s="327"/>
      <c r="AY2" s="327"/>
      <c r="AZ2" s="327"/>
      <c r="BA2" s="49"/>
      <c r="BB2" s="322"/>
      <c r="BC2" s="322"/>
      <c r="BD2" s="322"/>
      <c r="BE2" s="322"/>
      <c r="BF2" s="322"/>
      <c r="BG2" s="322"/>
      <c r="BH2" s="322"/>
      <c r="BI2" s="322"/>
      <c r="BJ2" s="322"/>
      <c r="BK2" s="50"/>
      <c r="BL2" s="323"/>
      <c r="BM2" s="323"/>
      <c r="BN2" s="323"/>
      <c r="BO2" s="323"/>
      <c r="BP2" s="323"/>
      <c r="BQ2" s="323"/>
    </row>
    <row r="3" spans="1:69" s="44" customFormat="1" ht="20.25" customHeight="1" x14ac:dyDescent="0.2">
      <c r="A3" s="330"/>
      <c r="B3" s="331"/>
      <c r="C3" s="331"/>
      <c r="D3" s="332"/>
      <c r="E3" s="45"/>
      <c r="F3" s="329"/>
      <c r="G3" s="328"/>
      <c r="H3" s="46"/>
      <c r="I3" s="328"/>
      <c r="J3" s="329"/>
      <c r="K3" s="46"/>
      <c r="L3" s="324"/>
      <c r="M3" s="324"/>
      <c r="N3" s="324"/>
      <c r="O3" s="324"/>
      <c r="P3" s="324"/>
      <c r="Q3" s="324"/>
      <c r="R3" s="324"/>
      <c r="S3" s="324"/>
      <c r="T3" s="324"/>
      <c r="U3" s="324"/>
      <c r="V3" s="324"/>
      <c r="W3" s="47"/>
      <c r="X3" s="325"/>
      <c r="Y3" s="325"/>
      <c r="Z3" s="325"/>
      <c r="AA3" s="325"/>
      <c r="AB3" s="325"/>
      <c r="AC3" s="325"/>
      <c r="AD3" s="325"/>
      <c r="AE3" s="325"/>
      <c r="AF3" s="325"/>
      <c r="AG3" s="47"/>
      <c r="AH3" s="326"/>
      <c r="AI3" s="326"/>
      <c r="AJ3" s="326"/>
      <c r="AK3" s="326"/>
      <c r="AL3" s="326"/>
      <c r="AM3" s="326"/>
      <c r="AN3" s="326"/>
      <c r="AO3" s="326"/>
      <c r="AP3" s="326"/>
      <c r="AQ3" s="47"/>
      <c r="AR3" s="327"/>
      <c r="AS3" s="327"/>
      <c r="AT3" s="327"/>
      <c r="AU3" s="327"/>
      <c r="AV3" s="327"/>
      <c r="AW3" s="327"/>
      <c r="AX3" s="327"/>
      <c r="AY3" s="327"/>
      <c r="AZ3" s="327"/>
      <c r="BA3" s="47"/>
      <c r="BB3" s="322"/>
      <c r="BC3" s="322"/>
      <c r="BD3" s="322"/>
      <c r="BE3" s="322"/>
      <c r="BF3" s="322"/>
      <c r="BG3" s="322"/>
      <c r="BH3" s="322"/>
      <c r="BI3" s="322"/>
      <c r="BJ3" s="322"/>
      <c r="BK3" s="50"/>
      <c r="BL3" s="323"/>
      <c r="BM3" s="323"/>
      <c r="BN3" s="323"/>
      <c r="BO3" s="323"/>
      <c r="BP3" s="323"/>
      <c r="BQ3" s="323"/>
    </row>
    <row r="4" spans="1:69" s="44" customFormat="1" ht="20.25" customHeight="1" x14ac:dyDescent="0.2">
      <c r="A4" s="330"/>
      <c r="B4" s="331"/>
      <c r="C4" s="331"/>
      <c r="D4" s="332"/>
      <c r="E4" s="45"/>
      <c r="F4" s="329"/>
      <c r="G4" s="328"/>
      <c r="H4" s="46"/>
      <c r="I4" s="328"/>
      <c r="J4" s="329"/>
      <c r="K4" s="46"/>
      <c r="L4" s="321"/>
      <c r="M4" s="321"/>
      <c r="N4" s="321"/>
      <c r="O4" s="321"/>
      <c r="P4" s="321"/>
      <c r="Q4" s="321"/>
      <c r="R4" s="321"/>
      <c r="S4" s="321"/>
      <c r="T4" s="321"/>
      <c r="U4" s="321"/>
      <c r="V4" s="321"/>
      <c r="W4" s="47"/>
      <c r="X4" s="320"/>
      <c r="Y4" s="320"/>
      <c r="Z4" s="320"/>
      <c r="AA4" s="320"/>
      <c r="AB4" s="320"/>
      <c r="AC4" s="320"/>
      <c r="AD4" s="320"/>
      <c r="AE4" s="320"/>
      <c r="AF4" s="320"/>
      <c r="AG4" s="47"/>
      <c r="AH4" s="319"/>
      <c r="AI4" s="319"/>
      <c r="AJ4" s="319"/>
      <c r="AK4" s="319"/>
      <c r="AL4" s="319"/>
      <c r="AM4" s="319"/>
      <c r="AN4" s="319"/>
      <c r="AO4" s="319"/>
      <c r="AP4" s="319"/>
      <c r="AQ4" s="47"/>
      <c r="AR4" s="318"/>
      <c r="AS4" s="318"/>
      <c r="AT4" s="318"/>
      <c r="AU4" s="318"/>
      <c r="AV4" s="318"/>
      <c r="AW4" s="318"/>
      <c r="AX4" s="318"/>
      <c r="AY4" s="318"/>
      <c r="AZ4" s="318"/>
      <c r="BA4" s="47"/>
      <c r="BB4" s="317"/>
      <c r="BC4" s="317"/>
      <c r="BD4" s="317"/>
      <c r="BE4" s="317"/>
      <c r="BF4" s="317"/>
      <c r="BG4" s="317"/>
      <c r="BH4" s="317"/>
      <c r="BI4" s="317"/>
      <c r="BJ4" s="317"/>
      <c r="BK4" s="50"/>
      <c r="BL4" s="316"/>
      <c r="BM4" s="316"/>
      <c r="BN4" s="316"/>
      <c r="BO4" s="316"/>
      <c r="BP4" s="316"/>
      <c r="BQ4" s="316"/>
    </row>
    <row r="5" spans="1:69" s="44" customFormat="1" ht="20.25" customHeight="1" x14ac:dyDescent="0.2">
      <c r="A5" s="330"/>
      <c r="B5" s="331"/>
      <c r="C5" s="331"/>
      <c r="D5" s="51"/>
      <c r="E5" s="45"/>
      <c r="F5" s="52"/>
      <c r="G5" s="53"/>
      <c r="H5" s="46"/>
      <c r="I5" s="52"/>
      <c r="J5" s="52"/>
      <c r="K5" s="46"/>
      <c r="L5" s="321"/>
      <c r="M5" s="321"/>
      <c r="N5" s="321"/>
      <c r="O5" s="321"/>
      <c r="P5" s="321"/>
      <c r="Q5" s="321"/>
      <c r="R5" s="321"/>
      <c r="S5" s="321"/>
      <c r="T5" s="321"/>
      <c r="U5" s="321"/>
      <c r="V5" s="321"/>
      <c r="W5" s="47"/>
      <c r="X5" s="320"/>
      <c r="Y5" s="320"/>
      <c r="Z5" s="320"/>
      <c r="AA5" s="320"/>
      <c r="AB5" s="320"/>
      <c r="AC5" s="320"/>
      <c r="AD5" s="320"/>
      <c r="AE5" s="320"/>
      <c r="AF5" s="320"/>
      <c r="AG5" s="47"/>
      <c r="AH5" s="319"/>
      <c r="AI5" s="319"/>
      <c r="AJ5" s="319"/>
      <c r="AK5" s="319"/>
      <c r="AL5" s="319"/>
      <c r="AM5" s="319"/>
      <c r="AN5" s="319"/>
      <c r="AO5" s="319"/>
      <c r="AP5" s="319"/>
      <c r="AQ5" s="47"/>
      <c r="AR5" s="318"/>
      <c r="AS5" s="318"/>
      <c r="AT5" s="318"/>
      <c r="AU5" s="318"/>
      <c r="AV5" s="318"/>
      <c r="AW5" s="318"/>
      <c r="AX5" s="318"/>
      <c r="AY5" s="318"/>
      <c r="AZ5" s="318"/>
      <c r="BA5" s="47"/>
      <c r="BB5" s="317"/>
      <c r="BC5" s="317"/>
      <c r="BD5" s="317"/>
      <c r="BE5" s="317"/>
      <c r="BF5" s="317"/>
      <c r="BG5" s="317"/>
      <c r="BH5" s="317"/>
      <c r="BI5" s="317"/>
      <c r="BJ5" s="317"/>
      <c r="BK5" s="50"/>
      <c r="BL5" s="316"/>
      <c r="BM5" s="316"/>
      <c r="BN5" s="316"/>
      <c r="BO5" s="316"/>
      <c r="BP5" s="316"/>
      <c r="BQ5" s="316"/>
    </row>
    <row r="6" spans="1:69" s="44" customFormat="1" ht="22.35" customHeight="1" x14ac:dyDescent="0.2">
      <c r="A6" s="100"/>
      <c r="B6" s="100"/>
      <c r="C6" s="100"/>
      <c r="D6" s="54"/>
      <c r="E6" s="55"/>
      <c r="F6" s="56"/>
      <c r="G6" s="56"/>
      <c r="H6" s="57"/>
      <c r="I6" s="58"/>
      <c r="J6" s="58"/>
      <c r="K6" s="55"/>
      <c r="L6" s="59"/>
      <c r="M6" s="59"/>
      <c r="N6" s="59"/>
      <c r="O6" s="54"/>
      <c r="P6" s="60"/>
      <c r="Q6" s="61"/>
      <c r="R6" s="62"/>
      <c r="S6" s="56"/>
      <c r="T6" s="56"/>
      <c r="U6" s="63"/>
      <c r="V6" s="64"/>
      <c r="W6" s="55"/>
      <c r="X6" s="63"/>
      <c r="Y6" s="54"/>
      <c r="Z6" s="65"/>
      <c r="AA6" s="66"/>
      <c r="AB6" s="67"/>
      <c r="AC6" s="56"/>
      <c r="AD6" s="56"/>
      <c r="AE6" s="64"/>
      <c r="AF6" s="64"/>
      <c r="AG6" s="55"/>
      <c r="AH6" s="68"/>
      <c r="AI6" s="54"/>
      <c r="AJ6" s="69"/>
      <c r="AK6" s="70"/>
      <c r="AL6" s="71"/>
      <c r="AM6" s="56"/>
      <c r="AN6" s="56"/>
      <c r="AO6" s="64"/>
      <c r="AP6" s="64"/>
      <c r="AQ6" s="55"/>
      <c r="AR6" s="68"/>
      <c r="AS6" s="54"/>
      <c r="AT6" s="69"/>
      <c r="AU6" s="61"/>
      <c r="AV6" s="62"/>
      <c r="AW6" s="56"/>
      <c r="AX6" s="56"/>
      <c r="AY6" s="64"/>
      <c r="AZ6" s="64"/>
      <c r="BA6" s="55"/>
      <c r="BB6" s="72"/>
      <c r="BC6" s="68"/>
      <c r="BD6" s="69"/>
      <c r="BE6" s="70"/>
      <c r="BF6" s="71"/>
      <c r="BG6" s="56"/>
      <c r="BH6" s="56"/>
      <c r="BI6" s="64"/>
      <c r="BJ6" s="64"/>
      <c r="BK6" s="57"/>
      <c r="BL6" s="73"/>
      <c r="BM6" s="70"/>
      <c r="BN6" s="74"/>
      <c r="BO6" s="75"/>
      <c r="BP6" s="66"/>
      <c r="BQ6" s="74"/>
    </row>
    <row r="7" spans="1:69" s="44" customFormat="1" ht="22.35" customHeight="1" x14ac:dyDescent="0.2">
      <c r="A7" s="100"/>
      <c r="B7" s="100"/>
      <c r="C7" s="100"/>
      <c r="D7" s="54"/>
      <c r="E7" s="55"/>
      <c r="F7" s="56"/>
      <c r="G7" s="56"/>
      <c r="H7" s="57"/>
      <c r="I7" s="58"/>
      <c r="J7" s="58"/>
      <c r="K7" s="55"/>
      <c r="L7" s="59"/>
      <c r="M7" s="59"/>
      <c r="N7" s="59"/>
      <c r="O7" s="54"/>
      <c r="P7" s="60"/>
      <c r="Q7" s="66"/>
      <c r="R7" s="67"/>
      <c r="S7" s="56"/>
      <c r="T7" s="56"/>
      <c r="U7" s="63"/>
      <c r="V7" s="64"/>
      <c r="W7" s="55"/>
      <c r="X7" s="63"/>
      <c r="Y7" s="54"/>
      <c r="Z7" s="65"/>
      <c r="AA7" s="66"/>
      <c r="AB7" s="67"/>
      <c r="AC7" s="56"/>
      <c r="AD7" s="56"/>
      <c r="AE7" s="64"/>
      <c r="AF7" s="64"/>
      <c r="AG7" s="55"/>
      <c r="AH7" s="68"/>
      <c r="AI7" s="54"/>
      <c r="AJ7" s="69"/>
      <c r="AK7" s="76"/>
      <c r="AL7" s="59"/>
      <c r="AM7" s="56"/>
      <c r="AN7" s="56"/>
      <c r="AO7" s="64"/>
      <c r="AP7" s="64"/>
      <c r="AQ7" s="55"/>
      <c r="AR7" s="68"/>
      <c r="AS7" s="54"/>
      <c r="AT7" s="69"/>
      <c r="AU7" s="61"/>
      <c r="AV7" s="62"/>
      <c r="AW7" s="56"/>
      <c r="AX7" s="56"/>
      <c r="AY7" s="64"/>
      <c r="AZ7" s="64"/>
      <c r="BA7" s="55"/>
      <c r="BB7" s="72"/>
      <c r="BC7" s="68"/>
      <c r="BD7" s="69"/>
      <c r="BE7" s="66"/>
      <c r="BF7" s="67"/>
      <c r="BG7" s="56"/>
      <c r="BH7" s="56"/>
      <c r="BI7" s="64"/>
      <c r="BJ7" s="64"/>
      <c r="BK7" s="57"/>
      <c r="BL7" s="73"/>
      <c r="BM7" s="70"/>
      <c r="BN7" s="74"/>
      <c r="BO7" s="75"/>
      <c r="BP7" s="66"/>
      <c r="BQ7" s="74"/>
    </row>
    <row r="8" spans="1:69" s="44" customFormat="1" ht="22.35" customHeight="1" x14ac:dyDescent="0.2">
      <c r="A8" s="100"/>
      <c r="B8" s="100"/>
      <c r="C8" s="100"/>
      <c r="D8" s="54"/>
      <c r="E8" s="55"/>
      <c r="F8" s="56"/>
      <c r="G8" s="56"/>
      <c r="H8" s="57"/>
      <c r="I8" s="58"/>
      <c r="J8" s="58"/>
      <c r="K8" s="55"/>
      <c r="L8" s="59"/>
      <c r="M8" s="59"/>
      <c r="N8" s="59"/>
      <c r="O8" s="54"/>
      <c r="P8" s="60"/>
      <c r="Q8" s="66"/>
      <c r="R8" s="67"/>
      <c r="S8" s="56"/>
      <c r="T8" s="56"/>
      <c r="U8" s="63"/>
      <c r="V8" s="64"/>
      <c r="W8" s="55"/>
      <c r="X8" s="63"/>
      <c r="Y8" s="54"/>
      <c r="Z8" s="65"/>
      <c r="AA8" s="66"/>
      <c r="AB8" s="67"/>
      <c r="AC8" s="56"/>
      <c r="AD8" s="56"/>
      <c r="AE8" s="64"/>
      <c r="AF8" s="64"/>
      <c r="AG8" s="55"/>
      <c r="AH8" s="68"/>
      <c r="AI8" s="54"/>
      <c r="AJ8" s="69"/>
      <c r="AK8" s="61"/>
      <c r="AL8" s="62"/>
      <c r="AM8" s="56"/>
      <c r="AN8" s="56"/>
      <c r="AO8" s="64"/>
      <c r="AP8" s="64"/>
      <c r="AQ8" s="55"/>
      <c r="AR8" s="68"/>
      <c r="AS8" s="54"/>
      <c r="AT8" s="69"/>
      <c r="AU8" s="70"/>
      <c r="AV8" s="71"/>
      <c r="AW8" s="56"/>
      <c r="AX8" s="56"/>
      <c r="AY8" s="64"/>
      <c r="AZ8" s="64"/>
      <c r="BA8" s="55"/>
      <c r="BB8" s="72"/>
      <c r="BC8" s="68"/>
      <c r="BD8" s="69"/>
      <c r="BE8" s="66"/>
      <c r="BF8" s="67"/>
      <c r="BG8" s="56"/>
      <c r="BH8" s="56"/>
      <c r="BI8" s="64"/>
      <c r="BJ8" s="64"/>
      <c r="BK8" s="57"/>
      <c r="BL8" s="73"/>
      <c r="BM8" s="70"/>
      <c r="BN8" s="74"/>
      <c r="BO8" s="75"/>
      <c r="BP8" s="66"/>
      <c r="BQ8" s="74"/>
    </row>
    <row r="9" spans="1:69" s="44" customFormat="1" ht="22.35" customHeight="1" x14ac:dyDescent="0.2">
      <c r="A9" s="100"/>
      <c r="B9" s="100"/>
      <c r="C9" s="100"/>
      <c r="D9" s="54"/>
      <c r="E9" s="55"/>
      <c r="F9" s="56"/>
      <c r="G9" s="56"/>
      <c r="H9" s="57"/>
      <c r="I9" s="58"/>
      <c r="J9" s="58"/>
      <c r="K9" s="55"/>
      <c r="L9" s="59"/>
      <c r="M9" s="59"/>
      <c r="N9" s="59"/>
      <c r="O9" s="54"/>
      <c r="P9" s="60"/>
      <c r="Q9" s="61"/>
      <c r="R9" s="62"/>
      <c r="S9" s="56"/>
      <c r="T9" s="56"/>
      <c r="U9" s="63"/>
      <c r="V9" s="64"/>
      <c r="W9" s="55"/>
      <c r="X9" s="63"/>
      <c r="Y9" s="54"/>
      <c r="Z9" s="65"/>
      <c r="AA9" s="70"/>
      <c r="AB9" s="71"/>
      <c r="AC9" s="56"/>
      <c r="AD9" s="56"/>
      <c r="AE9" s="64"/>
      <c r="AF9" s="64"/>
      <c r="AG9" s="55"/>
      <c r="AH9" s="68"/>
      <c r="AI9" s="54"/>
      <c r="AJ9" s="69"/>
      <c r="AK9" s="61"/>
      <c r="AL9" s="62"/>
      <c r="AM9" s="56"/>
      <c r="AN9" s="56"/>
      <c r="AO9" s="64"/>
      <c r="AP9" s="64"/>
      <c r="AQ9" s="55"/>
      <c r="AR9" s="68"/>
      <c r="AS9" s="54"/>
      <c r="AT9" s="69"/>
      <c r="AU9" s="61"/>
      <c r="AV9" s="62"/>
      <c r="AW9" s="56"/>
      <c r="AX9" s="56"/>
      <c r="AY9" s="64"/>
      <c r="AZ9" s="64"/>
      <c r="BA9" s="55"/>
      <c r="BB9" s="72"/>
      <c r="BC9" s="68"/>
      <c r="BD9" s="69"/>
      <c r="BE9" s="76"/>
      <c r="BF9" s="59"/>
      <c r="BG9" s="56"/>
      <c r="BH9" s="56"/>
      <c r="BI9" s="64"/>
      <c r="BJ9" s="64"/>
      <c r="BK9" s="57"/>
      <c r="BL9" s="73"/>
      <c r="BM9" s="70"/>
      <c r="BN9" s="74"/>
      <c r="BO9" s="75"/>
      <c r="BP9" s="66"/>
      <c r="BQ9" s="74"/>
    </row>
    <row r="10" spans="1:69" s="44" customFormat="1" ht="22.35" customHeight="1" x14ac:dyDescent="0.2">
      <c r="A10" s="100"/>
      <c r="B10" s="100"/>
      <c r="C10" s="100"/>
      <c r="D10" s="54"/>
      <c r="E10" s="55"/>
      <c r="F10" s="56"/>
      <c r="G10" s="56"/>
      <c r="H10" s="57"/>
      <c r="I10" s="58"/>
      <c r="J10" s="58"/>
      <c r="K10" s="55"/>
      <c r="L10" s="59"/>
      <c r="M10" s="59"/>
      <c r="N10" s="59"/>
      <c r="O10" s="54"/>
      <c r="P10" s="60"/>
      <c r="Q10" s="66"/>
      <c r="R10" s="67"/>
      <c r="S10" s="56"/>
      <c r="T10" s="56"/>
      <c r="U10" s="63"/>
      <c r="V10" s="64"/>
      <c r="W10" s="55"/>
      <c r="X10" s="63"/>
      <c r="Y10" s="54"/>
      <c r="Z10" s="65"/>
      <c r="AA10" s="66"/>
      <c r="AB10" s="67"/>
      <c r="AC10" s="56"/>
      <c r="AD10" s="56"/>
      <c r="AE10" s="64"/>
      <c r="AF10" s="64"/>
      <c r="AG10" s="55"/>
      <c r="AH10" s="68"/>
      <c r="AI10" s="54"/>
      <c r="AJ10" s="69"/>
      <c r="AK10" s="70"/>
      <c r="AL10" s="71"/>
      <c r="AM10" s="56"/>
      <c r="AN10" s="56"/>
      <c r="AO10" s="64"/>
      <c r="AP10" s="64"/>
      <c r="AQ10" s="55"/>
      <c r="AR10" s="68"/>
      <c r="AS10" s="54"/>
      <c r="AT10" s="69"/>
      <c r="AU10" s="61"/>
      <c r="AV10" s="62"/>
      <c r="AW10" s="56"/>
      <c r="AX10" s="56"/>
      <c r="AY10" s="64"/>
      <c r="AZ10" s="64"/>
      <c r="BA10" s="55"/>
      <c r="BB10" s="72"/>
      <c r="BC10" s="68"/>
      <c r="BD10" s="69"/>
      <c r="BE10" s="66"/>
      <c r="BF10" s="67"/>
      <c r="BG10" s="56"/>
      <c r="BH10" s="56"/>
      <c r="BI10" s="64"/>
      <c r="BJ10" s="64"/>
      <c r="BK10" s="57"/>
      <c r="BL10" s="73"/>
      <c r="BM10" s="70"/>
      <c r="BN10" s="74"/>
      <c r="BO10" s="75"/>
      <c r="BP10" s="66"/>
      <c r="BQ10" s="74"/>
    </row>
    <row r="11" spans="1:69" s="44" customFormat="1" ht="22.35" customHeight="1" x14ac:dyDescent="0.2">
      <c r="A11" s="100"/>
      <c r="B11" s="100"/>
      <c r="C11" s="100"/>
      <c r="D11" s="54"/>
      <c r="E11" s="55"/>
      <c r="F11" s="56"/>
      <c r="G11" s="56"/>
      <c r="H11" s="57"/>
      <c r="I11" s="58"/>
      <c r="J11" s="58"/>
      <c r="K11" s="55"/>
      <c r="L11" s="59"/>
      <c r="M11" s="59"/>
      <c r="N11" s="59"/>
      <c r="O11" s="54"/>
      <c r="P11" s="60"/>
      <c r="Q11" s="66"/>
      <c r="R11" s="67"/>
      <c r="S11" s="56"/>
      <c r="T11" s="56"/>
      <c r="U11" s="63"/>
      <c r="V11" s="64"/>
      <c r="W11" s="55"/>
      <c r="X11" s="63"/>
      <c r="Y11" s="54"/>
      <c r="Z11" s="65"/>
      <c r="AA11" s="70"/>
      <c r="AB11" s="71"/>
      <c r="AC11" s="56"/>
      <c r="AD11" s="56"/>
      <c r="AE11" s="64"/>
      <c r="AF11" s="64"/>
      <c r="AG11" s="55"/>
      <c r="AH11" s="68"/>
      <c r="AI11" s="54"/>
      <c r="AJ11" s="69"/>
      <c r="AK11" s="70"/>
      <c r="AL11" s="71"/>
      <c r="AM11" s="56"/>
      <c r="AN11" s="56"/>
      <c r="AO11" s="64"/>
      <c r="AP11" s="64"/>
      <c r="AQ11" s="55"/>
      <c r="AR11" s="68"/>
      <c r="AS11" s="54"/>
      <c r="AT11" s="69"/>
      <c r="AU11" s="61"/>
      <c r="AV11" s="62"/>
      <c r="AW11" s="56"/>
      <c r="AX11" s="56"/>
      <c r="AY11" s="64"/>
      <c r="AZ11" s="64"/>
      <c r="BA11" s="55"/>
      <c r="BB11" s="72"/>
      <c r="BC11" s="68"/>
      <c r="BD11" s="69"/>
      <c r="BE11" s="66"/>
      <c r="BF11" s="67"/>
      <c r="BG11" s="56"/>
      <c r="BH11" s="56"/>
      <c r="BI11" s="64"/>
      <c r="BJ11" s="64"/>
      <c r="BK11" s="57"/>
      <c r="BL11" s="73"/>
      <c r="BM11" s="70"/>
      <c r="BN11" s="74"/>
      <c r="BO11" s="75"/>
      <c r="BP11" s="66"/>
      <c r="BQ11" s="74"/>
    </row>
    <row r="12" spans="1:69" s="44" customFormat="1" ht="22.35" customHeight="1" x14ac:dyDescent="0.2">
      <c r="A12" s="100"/>
      <c r="B12" s="100"/>
      <c r="C12" s="100"/>
      <c r="D12" s="54"/>
      <c r="E12" s="55"/>
      <c r="F12" s="56"/>
      <c r="G12" s="56"/>
      <c r="H12" s="57"/>
      <c r="I12" s="58"/>
      <c r="J12" s="58"/>
      <c r="K12" s="55"/>
      <c r="L12" s="59"/>
      <c r="M12" s="59"/>
      <c r="N12" s="59"/>
      <c r="O12" s="54"/>
      <c r="P12" s="60"/>
      <c r="Q12" s="66"/>
      <c r="R12" s="67"/>
      <c r="S12" s="56"/>
      <c r="T12" s="56"/>
      <c r="U12" s="63"/>
      <c r="V12" s="64"/>
      <c r="W12" s="55"/>
      <c r="X12" s="63"/>
      <c r="Y12" s="54"/>
      <c r="Z12" s="65"/>
      <c r="AA12" s="70"/>
      <c r="AB12" s="71"/>
      <c r="AC12" s="56"/>
      <c r="AD12" s="56"/>
      <c r="AE12" s="64"/>
      <c r="AF12" s="64"/>
      <c r="AG12" s="55"/>
      <c r="AH12" s="68"/>
      <c r="AI12" s="54"/>
      <c r="AJ12" s="69"/>
      <c r="AK12" s="76"/>
      <c r="AL12" s="59"/>
      <c r="AM12" s="56"/>
      <c r="AN12" s="56"/>
      <c r="AO12" s="64"/>
      <c r="AP12" s="64"/>
      <c r="AQ12" s="55"/>
      <c r="AR12" s="68"/>
      <c r="AS12" s="54"/>
      <c r="AT12" s="69"/>
      <c r="AU12" s="61"/>
      <c r="AV12" s="62"/>
      <c r="AW12" s="56"/>
      <c r="AX12" s="56"/>
      <c r="AY12" s="64"/>
      <c r="AZ12" s="64"/>
      <c r="BA12" s="55"/>
      <c r="BB12" s="72"/>
      <c r="BC12" s="68"/>
      <c r="BD12" s="69"/>
      <c r="BE12" s="66"/>
      <c r="BF12" s="67"/>
      <c r="BG12" s="56"/>
      <c r="BH12" s="56"/>
      <c r="BI12" s="64"/>
      <c r="BJ12" s="64"/>
      <c r="BK12" s="57"/>
      <c r="BL12" s="73"/>
      <c r="BM12" s="76"/>
      <c r="BN12" s="74"/>
      <c r="BO12" s="75"/>
      <c r="BP12" s="66"/>
      <c r="BQ12" s="74"/>
    </row>
    <row r="13" spans="1:69" s="44" customFormat="1" ht="22.35" customHeight="1" x14ac:dyDescent="0.2">
      <c r="A13" s="100"/>
      <c r="B13" s="100"/>
      <c r="C13" s="100"/>
      <c r="D13" s="54"/>
      <c r="E13" s="55"/>
      <c r="F13" s="56"/>
      <c r="G13" s="56"/>
      <c r="H13" s="57"/>
      <c r="I13" s="58"/>
      <c r="J13" s="58"/>
      <c r="K13" s="55"/>
      <c r="L13" s="59"/>
      <c r="M13" s="59"/>
      <c r="N13" s="59"/>
      <c r="O13" s="54"/>
      <c r="P13" s="60"/>
      <c r="Q13" s="66"/>
      <c r="R13" s="67"/>
      <c r="S13" s="56"/>
      <c r="T13" s="56"/>
      <c r="U13" s="63"/>
      <c r="V13" s="64"/>
      <c r="W13" s="55"/>
      <c r="X13" s="63"/>
      <c r="Y13" s="54"/>
      <c r="Z13" s="65"/>
      <c r="AA13" s="66"/>
      <c r="AB13" s="67"/>
      <c r="AC13" s="56"/>
      <c r="AD13" s="56"/>
      <c r="AE13" s="64"/>
      <c r="AF13" s="64"/>
      <c r="AG13" s="55"/>
      <c r="AH13" s="68"/>
      <c r="AI13" s="54"/>
      <c r="AJ13" s="69"/>
      <c r="AK13" s="70"/>
      <c r="AL13" s="71"/>
      <c r="AM13" s="56"/>
      <c r="AN13" s="56"/>
      <c r="AO13" s="64"/>
      <c r="AP13" s="64"/>
      <c r="AQ13" s="55"/>
      <c r="AR13" s="68"/>
      <c r="AS13" s="54"/>
      <c r="AT13" s="69"/>
      <c r="AU13" s="76"/>
      <c r="AV13" s="59"/>
      <c r="AW13" s="56"/>
      <c r="AX13" s="56"/>
      <c r="AY13" s="64"/>
      <c r="AZ13" s="64"/>
      <c r="BA13" s="55"/>
      <c r="BB13" s="72"/>
      <c r="BC13" s="68"/>
      <c r="BD13" s="69"/>
      <c r="BE13" s="66"/>
      <c r="BF13" s="67"/>
      <c r="BG13" s="56"/>
      <c r="BH13" s="56"/>
      <c r="BI13" s="64"/>
      <c r="BJ13" s="64"/>
      <c r="BK13" s="57"/>
      <c r="BL13" s="73"/>
      <c r="BM13" s="70"/>
      <c r="BN13" s="74"/>
      <c r="BO13" s="75"/>
      <c r="BP13" s="66"/>
      <c r="BQ13" s="74"/>
    </row>
    <row r="14" spans="1:69" s="44" customFormat="1" ht="22.35" customHeight="1" x14ac:dyDescent="0.2">
      <c r="A14" s="100"/>
      <c r="B14" s="100"/>
      <c r="C14" s="100"/>
      <c r="D14" s="54"/>
      <c r="E14" s="55"/>
      <c r="F14" s="56"/>
      <c r="G14" s="56"/>
      <c r="H14" s="57"/>
      <c r="I14" s="58"/>
      <c r="J14" s="58"/>
      <c r="K14" s="55"/>
      <c r="L14" s="59"/>
      <c r="M14" s="59"/>
      <c r="N14" s="59"/>
      <c r="O14" s="54"/>
      <c r="P14" s="60"/>
      <c r="Q14" s="61"/>
      <c r="R14" s="62"/>
      <c r="S14" s="56"/>
      <c r="T14" s="56"/>
      <c r="U14" s="63"/>
      <c r="V14" s="64"/>
      <c r="W14" s="55"/>
      <c r="X14" s="63"/>
      <c r="Y14" s="54"/>
      <c r="Z14" s="65"/>
      <c r="AA14" s="66"/>
      <c r="AB14" s="67"/>
      <c r="AC14" s="56"/>
      <c r="AD14" s="56"/>
      <c r="AE14" s="64"/>
      <c r="AF14" s="64"/>
      <c r="AG14" s="55"/>
      <c r="AH14" s="68"/>
      <c r="AI14" s="54"/>
      <c r="AJ14" s="69"/>
      <c r="AK14" s="76"/>
      <c r="AL14" s="59"/>
      <c r="AM14" s="56"/>
      <c r="AN14" s="56"/>
      <c r="AO14" s="64"/>
      <c r="AP14" s="64"/>
      <c r="AQ14" s="55"/>
      <c r="AR14" s="68"/>
      <c r="AS14" s="54"/>
      <c r="AT14" s="69"/>
      <c r="AU14" s="61"/>
      <c r="AV14" s="62"/>
      <c r="AW14" s="56"/>
      <c r="AX14" s="56"/>
      <c r="AY14" s="64"/>
      <c r="AZ14" s="64"/>
      <c r="BA14" s="55"/>
      <c r="BB14" s="72"/>
      <c r="BC14" s="68"/>
      <c r="BD14" s="69"/>
      <c r="BE14" s="61"/>
      <c r="BF14" s="62"/>
      <c r="BG14" s="56"/>
      <c r="BH14" s="56"/>
      <c r="BI14" s="64"/>
      <c r="BJ14" s="64"/>
      <c r="BK14" s="57"/>
      <c r="BL14" s="73"/>
      <c r="BM14" s="76"/>
      <c r="BN14" s="74"/>
      <c r="BO14" s="75"/>
      <c r="BP14" s="66"/>
      <c r="BQ14" s="74"/>
    </row>
    <row r="15" spans="1:69" s="44" customFormat="1" ht="22.35" customHeight="1" x14ac:dyDescent="0.2">
      <c r="A15" s="100"/>
      <c r="B15" s="100"/>
      <c r="C15" s="100"/>
      <c r="D15" s="54"/>
      <c r="E15" s="55"/>
      <c r="F15" s="56"/>
      <c r="G15" s="56"/>
      <c r="H15" s="57"/>
      <c r="I15" s="58"/>
      <c r="J15" s="58"/>
      <c r="K15" s="55"/>
      <c r="L15" s="59"/>
      <c r="M15" s="59"/>
      <c r="N15" s="59"/>
      <c r="O15" s="54"/>
      <c r="P15" s="60"/>
      <c r="Q15" s="66"/>
      <c r="R15" s="67"/>
      <c r="S15" s="56"/>
      <c r="T15" s="56"/>
      <c r="U15" s="63"/>
      <c r="V15" s="64"/>
      <c r="W15" s="55"/>
      <c r="X15" s="63"/>
      <c r="Y15" s="54"/>
      <c r="Z15" s="65"/>
      <c r="AA15" s="70"/>
      <c r="AB15" s="71"/>
      <c r="AC15" s="56"/>
      <c r="AD15" s="56"/>
      <c r="AE15" s="64"/>
      <c r="AF15" s="64"/>
      <c r="AG15" s="55"/>
      <c r="AH15" s="68"/>
      <c r="AI15" s="54"/>
      <c r="AJ15" s="69"/>
      <c r="AK15" s="76"/>
      <c r="AL15" s="59"/>
      <c r="AM15" s="56"/>
      <c r="AN15" s="56"/>
      <c r="AO15" s="64"/>
      <c r="AP15" s="64"/>
      <c r="AQ15" s="55"/>
      <c r="AR15" s="68"/>
      <c r="AS15" s="54"/>
      <c r="AT15" s="69"/>
      <c r="AU15" s="61"/>
      <c r="AV15" s="62"/>
      <c r="AW15" s="56"/>
      <c r="AX15" s="56"/>
      <c r="AY15" s="64"/>
      <c r="AZ15" s="64"/>
      <c r="BA15" s="55"/>
      <c r="BB15" s="72"/>
      <c r="BC15" s="68"/>
      <c r="BD15" s="69"/>
      <c r="BE15" s="76"/>
      <c r="BF15" s="59"/>
      <c r="BG15" s="56"/>
      <c r="BH15" s="56"/>
      <c r="BI15" s="64"/>
      <c r="BJ15" s="64"/>
      <c r="BK15" s="57"/>
      <c r="BL15" s="73"/>
      <c r="BM15" s="70"/>
      <c r="BN15" s="74"/>
      <c r="BO15" s="75"/>
      <c r="BP15" s="66"/>
      <c r="BQ15" s="74"/>
    </row>
    <row r="16" spans="1:69" s="44" customFormat="1" ht="22.35" customHeight="1" x14ac:dyDescent="0.2">
      <c r="A16" s="100"/>
      <c r="B16" s="100"/>
      <c r="C16" s="100"/>
      <c r="D16" s="54"/>
      <c r="E16" s="55"/>
      <c r="F16" s="56"/>
      <c r="G16" s="56"/>
      <c r="H16" s="57"/>
      <c r="I16" s="58"/>
      <c r="J16" s="58"/>
      <c r="K16" s="55"/>
      <c r="L16" s="59"/>
      <c r="M16" s="59"/>
      <c r="N16" s="59"/>
      <c r="O16" s="54"/>
      <c r="P16" s="60"/>
      <c r="Q16" s="66"/>
      <c r="R16" s="67"/>
      <c r="S16" s="56"/>
      <c r="T16" s="56"/>
      <c r="U16" s="63"/>
      <c r="V16" s="64"/>
      <c r="W16" s="55"/>
      <c r="X16" s="63"/>
      <c r="Y16" s="54"/>
      <c r="Z16" s="65"/>
      <c r="AA16" s="66"/>
      <c r="AB16" s="67"/>
      <c r="AC16" s="56"/>
      <c r="AD16" s="56"/>
      <c r="AE16" s="64"/>
      <c r="AF16" s="64"/>
      <c r="AG16" s="55"/>
      <c r="AH16" s="68"/>
      <c r="AI16" s="54"/>
      <c r="AJ16" s="69"/>
      <c r="AK16" s="70"/>
      <c r="AL16" s="71"/>
      <c r="AM16" s="56"/>
      <c r="AN16" s="56"/>
      <c r="AO16" s="64"/>
      <c r="AP16" s="64"/>
      <c r="AQ16" s="55"/>
      <c r="AR16" s="68"/>
      <c r="AS16" s="54"/>
      <c r="AT16" s="69"/>
      <c r="AU16" s="61"/>
      <c r="AV16" s="62"/>
      <c r="AW16" s="56"/>
      <c r="AX16" s="56"/>
      <c r="AY16" s="64"/>
      <c r="AZ16" s="64"/>
      <c r="BA16" s="55"/>
      <c r="BB16" s="72"/>
      <c r="BC16" s="68"/>
      <c r="BD16" s="69"/>
      <c r="BE16" s="70"/>
      <c r="BF16" s="71"/>
      <c r="BG16" s="56"/>
      <c r="BH16" s="56"/>
      <c r="BI16" s="64"/>
      <c r="BJ16" s="64"/>
      <c r="BK16" s="57"/>
      <c r="BL16" s="73"/>
      <c r="BM16" s="70"/>
      <c r="BN16" s="74"/>
      <c r="BO16" s="75"/>
      <c r="BP16" s="66"/>
      <c r="BQ16" s="74"/>
    </row>
    <row r="17" spans="1:69" s="44" customFormat="1" ht="22.35" customHeight="1" x14ac:dyDescent="0.2">
      <c r="A17" s="100"/>
      <c r="B17" s="100"/>
      <c r="C17" s="100"/>
      <c r="D17" s="54"/>
      <c r="E17" s="55"/>
      <c r="F17" s="56"/>
      <c r="G17" s="56"/>
      <c r="H17" s="57"/>
      <c r="I17" s="58"/>
      <c r="J17" s="58"/>
      <c r="K17" s="55"/>
      <c r="L17" s="59"/>
      <c r="M17" s="59"/>
      <c r="N17" s="59"/>
      <c r="O17" s="54"/>
      <c r="P17" s="60"/>
      <c r="Q17" s="66"/>
      <c r="R17" s="67"/>
      <c r="S17" s="56"/>
      <c r="T17" s="56"/>
      <c r="U17" s="63"/>
      <c r="V17" s="64"/>
      <c r="W17" s="55"/>
      <c r="X17" s="63"/>
      <c r="Y17" s="54"/>
      <c r="Z17" s="65"/>
      <c r="AA17" s="66"/>
      <c r="AB17" s="67"/>
      <c r="AC17" s="56"/>
      <c r="AD17" s="56"/>
      <c r="AE17" s="64"/>
      <c r="AF17" s="64"/>
      <c r="AG17" s="55"/>
      <c r="AH17" s="68"/>
      <c r="AI17" s="54"/>
      <c r="AJ17" s="69"/>
      <c r="AK17" s="61"/>
      <c r="AL17" s="62"/>
      <c r="AM17" s="56"/>
      <c r="AN17" s="56"/>
      <c r="AO17" s="64"/>
      <c r="AP17" s="64"/>
      <c r="AQ17" s="55"/>
      <c r="AR17" s="68"/>
      <c r="AS17" s="54"/>
      <c r="AT17" s="69"/>
      <c r="AU17" s="61"/>
      <c r="AV17" s="62"/>
      <c r="AW17" s="56"/>
      <c r="AX17" s="56"/>
      <c r="AY17" s="64"/>
      <c r="AZ17" s="64"/>
      <c r="BA17" s="55"/>
      <c r="BB17" s="72"/>
      <c r="BC17" s="68"/>
      <c r="BD17" s="69"/>
      <c r="BE17" s="66"/>
      <c r="BF17" s="67"/>
      <c r="BG17" s="56"/>
      <c r="BH17" s="56"/>
      <c r="BI17" s="64"/>
      <c r="BJ17" s="64"/>
      <c r="BK17" s="57"/>
      <c r="BL17" s="73"/>
      <c r="BM17" s="76"/>
      <c r="BN17" s="74"/>
      <c r="BO17" s="75"/>
      <c r="BP17" s="66"/>
      <c r="BQ17" s="74"/>
    </row>
    <row r="18" spans="1:69" s="44" customFormat="1" ht="22.35" customHeight="1" x14ac:dyDescent="0.2">
      <c r="A18" s="100"/>
      <c r="B18" s="100"/>
      <c r="C18" s="100"/>
      <c r="D18" s="54"/>
      <c r="E18" s="55"/>
      <c r="F18" s="56"/>
      <c r="G18" s="56"/>
      <c r="H18" s="57"/>
      <c r="I18" s="58"/>
      <c r="J18" s="58"/>
      <c r="K18" s="55"/>
      <c r="L18" s="59"/>
      <c r="M18" s="59"/>
      <c r="N18" s="59"/>
      <c r="O18" s="54"/>
      <c r="P18" s="60"/>
      <c r="Q18" s="61"/>
      <c r="R18" s="62"/>
      <c r="S18" s="56"/>
      <c r="T18" s="56"/>
      <c r="U18" s="63"/>
      <c r="V18" s="64"/>
      <c r="W18" s="55"/>
      <c r="X18" s="63"/>
      <c r="Y18" s="54"/>
      <c r="Z18" s="65"/>
      <c r="AA18" s="66"/>
      <c r="AB18" s="67"/>
      <c r="AC18" s="56"/>
      <c r="AD18" s="56"/>
      <c r="AE18" s="64"/>
      <c r="AF18" s="64"/>
      <c r="AG18" s="55"/>
      <c r="AH18" s="68"/>
      <c r="AI18" s="54"/>
      <c r="AJ18" s="69"/>
      <c r="AK18" s="66"/>
      <c r="AL18" s="67"/>
      <c r="AM18" s="56"/>
      <c r="AN18" s="56"/>
      <c r="AO18" s="64"/>
      <c r="AP18" s="64"/>
      <c r="AQ18" s="55"/>
      <c r="AR18" s="68"/>
      <c r="AS18" s="54"/>
      <c r="AT18" s="69"/>
      <c r="AU18" s="61"/>
      <c r="AV18" s="62"/>
      <c r="AW18" s="56"/>
      <c r="AX18" s="56"/>
      <c r="AY18" s="64"/>
      <c r="AZ18" s="64"/>
      <c r="BA18" s="55"/>
      <c r="BB18" s="72"/>
      <c r="BC18" s="68"/>
      <c r="BD18" s="69"/>
      <c r="BE18" s="66"/>
      <c r="BF18" s="67"/>
      <c r="BG18" s="56"/>
      <c r="BH18" s="56"/>
      <c r="BI18" s="64"/>
      <c r="BJ18" s="64"/>
      <c r="BK18" s="57"/>
      <c r="BL18" s="73"/>
      <c r="BM18" s="70"/>
      <c r="BN18" s="74"/>
      <c r="BO18" s="75"/>
      <c r="BP18" s="66"/>
      <c r="BQ18" s="74"/>
    </row>
    <row r="19" spans="1:69" s="44" customFormat="1" ht="22.35" customHeight="1" x14ac:dyDescent="0.2">
      <c r="A19" s="100"/>
      <c r="B19" s="100"/>
      <c r="C19" s="100"/>
      <c r="D19" s="54"/>
      <c r="E19" s="55"/>
      <c r="F19" s="56"/>
      <c r="G19" s="56"/>
      <c r="H19" s="57"/>
      <c r="I19" s="58"/>
      <c r="J19" s="58"/>
      <c r="K19" s="55"/>
      <c r="L19" s="59"/>
      <c r="M19" s="59"/>
      <c r="N19" s="59"/>
      <c r="O19" s="54"/>
      <c r="P19" s="60"/>
      <c r="Q19" s="66"/>
      <c r="R19" s="67"/>
      <c r="S19" s="56"/>
      <c r="T19" s="56"/>
      <c r="U19" s="63"/>
      <c r="V19" s="64"/>
      <c r="W19" s="55"/>
      <c r="X19" s="63"/>
      <c r="Y19" s="54"/>
      <c r="Z19" s="65"/>
      <c r="AA19" s="76"/>
      <c r="AB19" s="59"/>
      <c r="AC19" s="56"/>
      <c r="AD19" s="56"/>
      <c r="AE19" s="64"/>
      <c r="AF19" s="64"/>
      <c r="AG19" s="55"/>
      <c r="AH19" s="68"/>
      <c r="AI19" s="54"/>
      <c r="AJ19" s="69"/>
      <c r="AK19" s="76"/>
      <c r="AL19" s="59"/>
      <c r="AM19" s="56"/>
      <c r="AN19" s="56"/>
      <c r="AO19" s="64"/>
      <c r="AP19" s="64"/>
      <c r="AQ19" s="55"/>
      <c r="AR19" s="68"/>
      <c r="AS19" s="54"/>
      <c r="AT19" s="69"/>
      <c r="AU19" s="61"/>
      <c r="AV19" s="62"/>
      <c r="AW19" s="56"/>
      <c r="AX19" s="56"/>
      <c r="AY19" s="64"/>
      <c r="AZ19" s="64"/>
      <c r="BA19" s="55"/>
      <c r="BB19" s="72"/>
      <c r="BC19" s="68"/>
      <c r="BD19" s="69"/>
      <c r="BE19" s="76"/>
      <c r="BF19" s="59"/>
      <c r="BG19" s="56"/>
      <c r="BH19" s="56"/>
      <c r="BI19" s="64"/>
      <c r="BJ19" s="64"/>
      <c r="BK19" s="57"/>
      <c r="BL19" s="73"/>
      <c r="BM19" s="76"/>
      <c r="BN19" s="74"/>
      <c r="BO19" s="75"/>
      <c r="BP19" s="66"/>
      <c r="BQ19" s="74"/>
    </row>
    <row r="20" spans="1:69" s="44" customFormat="1" ht="22.35" customHeight="1" x14ac:dyDescent="0.2">
      <c r="A20" s="100"/>
      <c r="B20" s="100"/>
      <c r="C20" s="100"/>
      <c r="D20" s="54"/>
      <c r="E20" s="55"/>
      <c r="F20" s="56"/>
      <c r="G20" s="56"/>
      <c r="H20" s="57"/>
      <c r="I20" s="58"/>
      <c r="J20" s="58"/>
      <c r="K20" s="55"/>
      <c r="L20" s="59"/>
      <c r="M20" s="59"/>
      <c r="N20" s="59"/>
      <c r="O20" s="54"/>
      <c r="P20" s="60"/>
      <c r="Q20" s="66"/>
      <c r="R20" s="67"/>
      <c r="S20" s="56"/>
      <c r="T20" s="56"/>
      <c r="U20" s="63"/>
      <c r="V20" s="64"/>
      <c r="W20" s="55"/>
      <c r="X20" s="63"/>
      <c r="Y20" s="54"/>
      <c r="Z20" s="65"/>
      <c r="AA20" s="70"/>
      <c r="AB20" s="71"/>
      <c r="AC20" s="56"/>
      <c r="AD20" s="56"/>
      <c r="AE20" s="64"/>
      <c r="AF20" s="64"/>
      <c r="AG20" s="55"/>
      <c r="AH20" s="68"/>
      <c r="AI20" s="54"/>
      <c r="AJ20" s="69"/>
      <c r="AK20" s="61"/>
      <c r="AL20" s="62"/>
      <c r="AM20" s="56"/>
      <c r="AN20" s="56"/>
      <c r="AO20" s="64"/>
      <c r="AP20" s="64"/>
      <c r="AQ20" s="55"/>
      <c r="AR20" s="68"/>
      <c r="AS20" s="54"/>
      <c r="AT20" s="69"/>
      <c r="AU20" s="76"/>
      <c r="AV20" s="59"/>
      <c r="AW20" s="56"/>
      <c r="AX20" s="56"/>
      <c r="AY20" s="64"/>
      <c r="AZ20" s="64"/>
      <c r="BA20" s="55"/>
      <c r="BB20" s="72"/>
      <c r="BC20" s="68"/>
      <c r="BD20" s="69"/>
      <c r="BE20" s="66"/>
      <c r="BF20" s="67"/>
      <c r="BG20" s="56"/>
      <c r="BH20" s="56"/>
      <c r="BI20" s="64"/>
      <c r="BJ20" s="64"/>
      <c r="BK20" s="57"/>
      <c r="BL20" s="73"/>
      <c r="BM20" s="76"/>
      <c r="BN20" s="74"/>
      <c r="BO20" s="75"/>
      <c r="BP20" s="66"/>
      <c r="BQ20" s="74"/>
    </row>
    <row r="21" spans="1:69" s="44" customFormat="1" ht="22.35" customHeight="1" x14ac:dyDescent="0.2">
      <c r="A21" s="100"/>
      <c r="B21" s="100"/>
      <c r="C21" s="100"/>
      <c r="D21" s="54"/>
      <c r="E21" s="55"/>
      <c r="F21" s="56"/>
      <c r="G21" s="56"/>
      <c r="H21" s="57"/>
      <c r="I21" s="58"/>
      <c r="J21" s="58"/>
      <c r="K21" s="55"/>
      <c r="L21" s="59"/>
      <c r="M21" s="59"/>
      <c r="N21" s="59"/>
      <c r="O21" s="54"/>
      <c r="P21" s="60"/>
      <c r="Q21" s="66"/>
      <c r="R21" s="67"/>
      <c r="S21" s="56"/>
      <c r="T21" s="56"/>
      <c r="U21" s="63"/>
      <c r="V21" s="64"/>
      <c r="W21" s="55"/>
      <c r="X21" s="63"/>
      <c r="Y21" s="54"/>
      <c r="Z21" s="65"/>
      <c r="AA21" s="70"/>
      <c r="AB21" s="71"/>
      <c r="AC21" s="56"/>
      <c r="AD21" s="56"/>
      <c r="AE21" s="64"/>
      <c r="AF21" s="64"/>
      <c r="AG21" s="55"/>
      <c r="AH21" s="68"/>
      <c r="AI21" s="54"/>
      <c r="AJ21" s="69"/>
      <c r="AK21" s="61"/>
      <c r="AL21" s="62"/>
      <c r="AM21" s="56"/>
      <c r="AN21" s="56"/>
      <c r="AO21" s="64"/>
      <c r="AP21" s="64"/>
      <c r="AQ21" s="55"/>
      <c r="AR21" s="68"/>
      <c r="AS21" s="54"/>
      <c r="AT21" s="69"/>
      <c r="AU21" s="61"/>
      <c r="AV21" s="62"/>
      <c r="AW21" s="56"/>
      <c r="AX21" s="56"/>
      <c r="AY21" s="64"/>
      <c r="AZ21" s="64"/>
      <c r="BA21" s="55"/>
      <c r="BB21" s="72"/>
      <c r="BC21" s="68"/>
      <c r="BD21" s="69"/>
      <c r="BE21" s="66"/>
      <c r="BF21" s="67"/>
      <c r="BG21" s="56"/>
      <c r="BH21" s="56"/>
      <c r="BI21" s="64"/>
      <c r="BJ21" s="64"/>
      <c r="BK21" s="57"/>
      <c r="BL21" s="73"/>
      <c r="BM21" s="70"/>
      <c r="BN21" s="74"/>
      <c r="BO21" s="75"/>
      <c r="BP21" s="66"/>
      <c r="BQ21" s="74"/>
    </row>
    <row r="22" spans="1:69" s="44" customFormat="1" ht="22.35" customHeight="1" x14ac:dyDescent="0.2">
      <c r="A22" s="100"/>
      <c r="B22" s="100"/>
      <c r="C22" s="100"/>
      <c r="D22" s="54"/>
      <c r="E22" s="55"/>
      <c r="F22" s="56"/>
      <c r="G22" s="56"/>
      <c r="H22" s="57"/>
      <c r="I22" s="58"/>
      <c r="J22" s="58"/>
      <c r="K22" s="55"/>
      <c r="L22" s="59"/>
      <c r="M22" s="59"/>
      <c r="N22" s="59"/>
      <c r="O22" s="54"/>
      <c r="P22" s="60"/>
      <c r="Q22" s="66"/>
      <c r="R22" s="67"/>
      <c r="S22" s="56"/>
      <c r="T22" s="56"/>
      <c r="U22" s="63"/>
      <c r="V22" s="64"/>
      <c r="W22" s="55"/>
      <c r="X22" s="63"/>
      <c r="Y22" s="54"/>
      <c r="Z22" s="65"/>
      <c r="AA22" s="70"/>
      <c r="AB22" s="71"/>
      <c r="AC22" s="56"/>
      <c r="AD22" s="56"/>
      <c r="AE22" s="64"/>
      <c r="AF22" s="64"/>
      <c r="AG22" s="55"/>
      <c r="AH22" s="68"/>
      <c r="AI22" s="54"/>
      <c r="AJ22" s="69"/>
      <c r="AK22" s="61"/>
      <c r="AL22" s="62"/>
      <c r="AM22" s="56"/>
      <c r="AN22" s="56"/>
      <c r="AO22" s="64"/>
      <c r="AP22" s="64"/>
      <c r="AQ22" s="55"/>
      <c r="AR22" s="68"/>
      <c r="AS22" s="54"/>
      <c r="AT22" s="69"/>
      <c r="AU22" s="61"/>
      <c r="AV22" s="62"/>
      <c r="AW22" s="56"/>
      <c r="AX22" s="56"/>
      <c r="AY22" s="64"/>
      <c r="AZ22" s="64"/>
      <c r="BA22" s="55"/>
      <c r="BB22" s="72"/>
      <c r="BC22" s="68"/>
      <c r="BD22" s="69"/>
      <c r="BE22" s="66"/>
      <c r="BF22" s="67"/>
      <c r="BG22" s="56"/>
      <c r="BH22" s="56"/>
      <c r="BI22" s="64"/>
      <c r="BJ22" s="64"/>
      <c r="BK22" s="57"/>
      <c r="BL22" s="73"/>
      <c r="BM22" s="70"/>
      <c r="BN22" s="74"/>
      <c r="BO22" s="75"/>
      <c r="BP22" s="66"/>
      <c r="BQ22" s="74"/>
    </row>
    <row r="23" spans="1:69" s="44" customFormat="1" ht="22.35" customHeight="1" x14ac:dyDescent="0.2">
      <c r="A23" s="100"/>
      <c r="B23" s="100"/>
      <c r="C23" s="100"/>
      <c r="D23" s="54"/>
      <c r="E23" s="55"/>
      <c r="F23" s="56"/>
      <c r="G23" s="56"/>
      <c r="H23" s="57"/>
      <c r="I23" s="58"/>
      <c r="J23" s="58"/>
      <c r="K23" s="55"/>
      <c r="L23" s="59"/>
      <c r="M23" s="59"/>
      <c r="N23" s="59"/>
      <c r="O23" s="54"/>
      <c r="P23" s="60"/>
      <c r="Q23" s="66"/>
      <c r="R23" s="67"/>
      <c r="S23" s="56"/>
      <c r="T23" s="56"/>
      <c r="U23" s="63"/>
      <c r="V23" s="64"/>
      <c r="W23" s="55"/>
      <c r="X23" s="63"/>
      <c r="Y23" s="54"/>
      <c r="Z23" s="65"/>
      <c r="AA23" s="76"/>
      <c r="AB23" s="59"/>
      <c r="AC23" s="56"/>
      <c r="AD23" s="56"/>
      <c r="AE23" s="64"/>
      <c r="AF23" s="64"/>
      <c r="AG23" s="55"/>
      <c r="AH23" s="68"/>
      <c r="AI23" s="54"/>
      <c r="AJ23" s="69"/>
      <c r="AK23" s="61"/>
      <c r="AL23" s="62"/>
      <c r="AM23" s="56"/>
      <c r="AN23" s="56"/>
      <c r="AO23" s="64"/>
      <c r="AP23" s="64"/>
      <c r="AQ23" s="55"/>
      <c r="AR23" s="68"/>
      <c r="AS23" s="54"/>
      <c r="AT23" s="69"/>
      <c r="AU23" s="61"/>
      <c r="AV23" s="62"/>
      <c r="AW23" s="56"/>
      <c r="AX23" s="56"/>
      <c r="AY23" s="64"/>
      <c r="AZ23" s="64"/>
      <c r="BA23" s="55"/>
      <c r="BB23" s="72"/>
      <c r="BC23" s="68"/>
      <c r="BD23" s="69"/>
      <c r="BE23" s="76"/>
      <c r="BF23" s="59"/>
      <c r="BG23" s="56"/>
      <c r="BH23" s="56"/>
      <c r="BI23" s="64"/>
      <c r="BJ23" s="64"/>
      <c r="BK23" s="57"/>
      <c r="BL23" s="73"/>
      <c r="BM23" s="70"/>
      <c r="BN23" s="74"/>
      <c r="BO23" s="75"/>
      <c r="BP23" s="66"/>
      <c r="BQ23" s="74"/>
    </row>
    <row r="24" spans="1:69" s="44" customFormat="1" ht="22.35" customHeight="1" x14ac:dyDescent="0.2">
      <c r="A24" s="100"/>
      <c r="B24" s="100"/>
      <c r="C24" s="100"/>
      <c r="D24" s="54"/>
      <c r="E24" s="55"/>
      <c r="F24" s="56"/>
      <c r="G24" s="56"/>
      <c r="H24" s="57"/>
      <c r="I24" s="58"/>
      <c r="J24" s="58"/>
      <c r="K24" s="55"/>
      <c r="L24" s="59"/>
      <c r="M24" s="59"/>
      <c r="N24" s="59"/>
      <c r="O24" s="54"/>
      <c r="P24" s="60"/>
      <c r="Q24" s="66"/>
      <c r="R24" s="67"/>
      <c r="S24" s="56"/>
      <c r="T24" s="56"/>
      <c r="U24" s="63"/>
      <c r="V24" s="64"/>
      <c r="W24" s="55"/>
      <c r="X24" s="63"/>
      <c r="Y24" s="54"/>
      <c r="Z24" s="65"/>
      <c r="AA24" s="70"/>
      <c r="AB24" s="71"/>
      <c r="AC24" s="56"/>
      <c r="AD24" s="56"/>
      <c r="AE24" s="64"/>
      <c r="AF24" s="64"/>
      <c r="AG24" s="55"/>
      <c r="AH24" s="68"/>
      <c r="AI24" s="54"/>
      <c r="AJ24" s="69"/>
      <c r="AK24" s="76"/>
      <c r="AL24" s="59"/>
      <c r="AM24" s="56"/>
      <c r="AN24" s="56"/>
      <c r="AO24" s="64"/>
      <c r="AP24" s="64"/>
      <c r="AQ24" s="55"/>
      <c r="AR24" s="68"/>
      <c r="AS24" s="54"/>
      <c r="AT24" s="69"/>
      <c r="AU24" s="61"/>
      <c r="AV24" s="62"/>
      <c r="AW24" s="56"/>
      <c r="AX24" s="56"/>
      <c r="AY24" s="64"/>
      <c r="AZ24" s="64"/>
      <c r="BA24" s="55"/>
      <c r="BB24" s="72"/>
      <c r="BC24" s="68"/>
      <c r="BD24" s="69"/>
      <c r="BE24" s="70"/>
      <c r="BF24" s="71"/>
      <c r="BG24" s="56"/>
      <c r="BH24" s="56"/>
      <c r="BI24" s="64"/>
      <c r="BJ24" s="64"/>
      <c r="BK24" s="57"/>
      <c r="BL24" s="73"/>
      <c r="BM24" s="70"/>
      <c r="BN24" s="74"/>
      <c r="BO24" s="75"/>
      <c r="BP24" s="66"/>
      <c r="BQ24" s="74"/>
    </row>
    <row r="25" spans="1:69" s="44" customFormat="1" ht="22.35" customHeight="1" x14ac:dyDescent="0.2">
      <c r="A25" s="100"/>
      <c r="B25" s="100"/>
      <c r="C25" s="100"/>
      <c r="D25" s="54"/>
      <c r="E25" s="55"/>
      <c r="F25" s="56"/>
      <c r="G25" s="56"/>
      <c r="H25" s="57"/>
      <c r="I25" s="58"/>
      <c r="J25" s="58"/>
      <c r="K25" s="55"/>
      <c r="L25" s="59"/>
      <c r="M25" s="59"/>
      <c r="N25" s="59"/>
      <c r="O25" s="54"/>
      <c r="P25" s="60"/>
      <c r="Q25" s="66"/>
      <c r="R25" s="67"/>
      <c r="S25" s="56"/>
      <c r="T25" s="56"/>
      <c r="U25" s="63"/>
      <c r="V25" s="64"/>
      <c r="W25" s="55"/>
      <c r="X25" s="63"/>
      <c r="Y25" s="54"/>
      <c r="Z25" s="65"/>
      <c r="AA25" s="76"/>
      <c r="AB25" s="59"/>
      <c r="AC25" s="56"/>
      <c r="AD25" s="56"/>
      <c r="AE25" s="64"/>
      <c r="AF25" s="64"/>
      <c r="AG25" s="55"/>
      <c r="AH25" s="68"/>
      <c r="AI25" s="54"/>
      <c r="AJ25" s="69"/>
      <c r="AK25" s="61"/>
      <c r="AL25" s="62"/>
      <c r="AM25" s="56"/>
      <c r="AN25" s="56"/>
      <c r="AO25" s="64"/>
      <c r="AP25" s="64"/>
      <c r="AQ25" s="55"/>
      <c r="AR25" s="68"/>
      <c r="AS25" s="54"/>
      <c r="AT25" s="69"/>
      <c r="AU25" s="61"/>
      <c r="AV25" s="62"/>
      <c r="AW25" s="56"/>
      <c r="AX25" s="56"/>
      <c r="AY25" s="64"/>
      <c r="AZ25" s="64"/>
      <c r="BA25" s="55"/>
      <c r="BB25" s="72"/>
      <c r="BC25" s="68"/>
      <c r="BD25" s="69"/>
      <c r="BE25" s="66"/>
      <c r="BF25" s="67"/>
      <c r="BG25" s="56"/>
      <c r="BH25" s="56"/>
      <c r="BI25" s="64"/>
      <c r="BJ25" s="64"/>
      <c r="BK25" s="57"/>
      <c r="BL25" s="73"/>
      <c r="BM25" s="70"/>
      <c r="BN25" s="74"/>
      <c r="BO25" s="75"/>
      <c r="BP25" s="66"/>
      <c r="BQ25" s="74"/>
    </row>
    <row r="26" spans="1:69" s="44" customFormat="1" ht="22.35" customHeight="1" x14ac:dyDescent="0.2">
      <c r="A26" s="100"/>
      <c r="B26" s="100"/>
      <c r="C26" s="100"/>
      <c r="D26" s="54"/>
      <c r="E26" s="55"/>
      <c r="F26" s="56"/>
      <c r="G26" s="56"/>
      <c r="H26" s="57"/>
      <c r="I26" s="58"/>
      <c r="J26" s="58"/>
      <c r="K26" s="55"/>
      <c r="L26" s="59"/>
      <c r="M26" s="59"/>
      <c r="N26" s="59"/>
      <c r="O26" s="54"/>
      <c r="P26" s="60"/>
      <c r="Q26" s="66"/>
      <c r="R26" s="67"/>
      <c r="S26" s="56"/>
      <c r="T26" s="56"/>
      <c r="U26" s="63"/>
      <c r="V26" s="64"/>
      <c r="W26" s="55"/>
      <c r="X26" s="63"/>
      <c r="Y26" s="54"/>
      <c r="Z26" s="65"/>
      <c r="AA26" s="70"/>
      <c r="AB26" s="71"/>
      <c r="AC26" s="56"/>
      <c r="AD26" s="56"/>
      <c r="AE26" s="64"/>
      <c r="AF26" s="64"/>
      <c r="AG26" s="55"/>
      <c r="AH26" s="68"/>
      <c r="AI26" s="54"/>
      <c r="AJ26" s="69"/>
      <c r="AK26" s="76"/>
      <c r="AL26" s="59"/>
      <c r="AM26" s="56"/>
      <c r="AN26" s="56"/>
      <c r="AO26" s="64"/>
      <c r="AP26" s="64"/>
      <c r="AQ26" s="55"/>
      <c r="AR26" s="68"/>
      <c r="AS26" s="54"/>
      <c r="AT26" s="69"/>
      <c r="AU26" s="61"/>
      <c r="AV26" s="62"/>
      <c r="AW26" s="56"/>
      <c r="AX26" s="56"/>
      <c r="AY26" s="64"/>
      <c r="AZ26" s="64"/>
      <c r="BA26" s="55"/>
      <c r="BB26" s="72"/>
      <c r="BC26" s="68"/>
      <c r="BD26" s="69"/>
      <c r="BE26" s="66"/>
      <c r="BF26" s="67"/>
      <c r="BG26" s="56"/>
      <c r="BH26" s="56"/>
      <c r="BI26" s="64"/>
      <c r="BJ26" s="64"/>
      <c r="BK26" s="57"/>
      <c r="BL26" s="73"/>
      <c r="BM26" s="76"/>
      <c r="BN26" s="74"/>
      <c r="BO26" s="75"/>
      <c r="BP26" s="66"/>
      <c r="BQ26" s="74"/>
    </row>
    <row r="27" spans="1:69" s="44" customFormat="1" ht="22.35" customHeight="1" x14ac:dyDescent="0.2">
      <c r="A27" s="100"/>
      <c r="B27" s="100"/>
      <c r="C27" s="100"/>
      <c r="D27" s="54"/>
      <c r="E27" s="55"/>
      <c r="F27" s="56"/>
      <c r="G27" s="56"/>
      <c r="H27" s="57"/>
      <c r="I27" s="58"/>
      <c r="J27" s="58"/>
      <c r="K27" s="55"/>
      <c r="L27" s="59"/>
      <c r="M27" s="59"/>
      <c r="N27" s="59"/>
      <c r="O27" s="54"/>
      <c r="P27" s="60"/>
      <c r="Q27" s="66"/>
      <c r="R27" s="67"/>
      <c r="S27" s="56"/>
      <c r="T27" s="56"/>
      <c r="U27" s="63"/>
      <c r="V27" s="64"/>
      <c r="W27" s="55"/>
      <c r="X27" s="63"/>
      <c r="Y27" s="54"/>
      <c r="Z27" s="65"/>
      <c r="AA27" s="76"/>
      <c r="AB27" s="59"/>
      <c r="AC27" s="56"/>
      <c r="AD27" s="56"/>
      <c r="AE27" s="64"/>
      <c r="AF27" s="64"/>
      <c r="AG27" s="55"/>
      <c r="AH27" s="68"/>
      <c r="AI27" s="54"/>
      <c r="AJ27" s="69"/>
      <c r="AK27" s="76"/>
      <c r="AL27" s="59"/>
      <c r="AM27" s="56"/>
      <c r="AN27" s="56"/>
      <c r="AO27" s="64"/>
      <c r="AP27" s="64"/>
      <c r="AQ27" s="55"/>
      <c r="AR27" s="68"/>
      <c r="AS27" s="54"/>
      <c r="AT27" s="69"/>
      <c r="AU27" s="61"/>
      <c r="AV27" s="62"/>
      <c r="AW27" s="56"/>
      <c r="AX27" s="56"/>
      <c r="AY27" s="64"/>
      <c r="AZ27" s="64"/>
      <c r="BA27" s="55"/>
      <c r="BB27" s="72"/>
      <c r="BC27" s="68"/>
      <c r="BD27" s="69"/>
      <c r="BE27" s="70"/>
      <c r="BF27" s="71"/>
      <c r="BG27" s="56"/>
      <c r="BH27" s="56"/>
      <c r="BI27" s="64"/>
      <c r="BJ27" s="64"/>
      <c r="BK27" s="57"/>
      <c r="BL27" s="73"/>
      <c r="BM27" s="70"/>
      <c r="BN27" s="74"/>
      <c r="BO27" s="75"/>
      <c r="BP27" s="66"/>
      <c r="BQ27" s="74"/>
    </row>
    <row r="28" spans="1:69" s="44" customFormat="1" ht="22.35" customHeight="1" x14ac:dyDescent="0.2">
      <c r="A28" s="100"/>
      <c r="B28" s="100"/>
      <c r="C28" s="100"/>
      <c r="D28" s="54"/>
      <c r="E28" s="55"/>
      <c r="F28" s="56"/>
      <c r="G28" s="56"/>
      <c r="H28" s="57"/>
      <c r="I28" s="58"/>
      <c r="J28" s="58"/>
      <c r="K28" s="55"/>
      <c r="L28" s="59"/>
      <c r="M28" s="59"/>
      <c r="N28" s="59"/>
      <c r="O28" s="54"/>
      <c r="P28" s="60"/>
      <c r="Q28" s="66"/>
      <c r="R28" s="67"/>
      <c r="S28" s="56"/>
      <c r="T28" s="56"/>
      <c r="U28" s="63"/>
      <c r="V28" s="64"/>
      <c r="W28" s="55"/>
      <c r="X28" s="63"/>
      <c r="Y28" s="54"/>
      <c r="Z28" s="65"/>
      <c r="AA28" s="66"/>
      <c r="AB28" s="67"/>
      <c r="AC28" s="56"/>
      <c r="AD28" s="56"/>
      <c r="AE28" s="64"/>
      <c r="AF28" s="64"/>
      <c r="AG28" s="55"/>
      <c r="AH28" s="68"/>
      <c r="AI28" s="54"/>
      <c r="AJ28" s="69"/>
      <c r="AK28" s="61"/>
      <c r="AL28" s="62"/>
      <c r="AM28" s="56"/>
      <c r="AN28" s="56"/>
      <c r="AO28" s="64"/>
      <c r="AP28" s="64"/>
      <c r="AQ28" s="55"/>
      <c r="AR28" s="68"/>
      <c r="AS28" s="54"/>
      <c r="AT28" s="69"/>
      <c r="AU28" s="61"/>
      <c r="AV28" s="62"/>
      <c r="AW28" s="56"/>
      <c r="AX28" s="56"/>
      <c r="AY28" s="64"/>
      <c r="AZ28" s="64"/>
      <c r="BA28" s="55"/>
      <c r="BB28" s="72"/>
      <c r="BC28" s="68"/>
      <c r="BD28" s="69"/>
      <c r="BE28" s="66"/>
      <c r="BF28" s="67"/>
      <c r="BG28" s="56"/>
      <c r="BH28" s="56"/>
      <c r="BI28" s="64"/>
      <c r="BJ28" s="64"/>
      <c r="BK28" s="57"/>
      <c r="BL28" s="73"/>
      <c r="BM28" s="76"/>
      <c r="BN28" s="74"/>
      <c r="BO28" s="75"/>
      <c r="BP28" s="66"/>
      <c r="BQ28" s="74"/>
    </row>
    <row r="29" spans="1:69" s="44" customFormat="1" ht="22.35" customHeight="1" x14ac:dyDescent="0.2">
      <c r="A29" s="100"/>
      <c r="B29" s="100"/>
      <c r="C29" s="100"/>
      <c r="D29" s="54"/>
      <c r="E29" s="55"/>
      <c r="F29" s="56"/>
      <c r="G29" s="56"/>
      <c r="H29" s="57"/>
      <c r="I29" s="58"/>
      <c r="J29" s="58"/>
      <c r="K29" s="55"/>
      <c r="L29" s="59"/>
      <c r="M29" s="59"/>
      <c r="N29" s="59"/>
      <c r="O29" s="54"/>
      <c r="P29" s="60"/>
      <c r="Q29" s="66"/>
      <c r="R29" s="67"/>
      <c r="S29" s="56"/>
      <c r="T29" s="56"/>
      <c r="U29" s="63"/>
      <c r="V29" s="64"/>
      <c r="W29" s="55"/>
      <c r="X29" s="63"/>
      <c r="Y29" s="54"/>
      <c r="Z29" s="65"/>
      <c r="AA29" s="70"/>
      <c r="AB29" s="71"/>
      <c r="AC29" s="56"/>
      <c r="AD29" s="56"/>
      <c r="AE29" s="64"/>
      <c r="AF29" s="64"/>
      <c r="AG29" s="55"/>
      <c r="AH29" s="68"/>
      <c r="AI29" s="54"/>
      <c r="AJ29" s="69"/>
      <c r="AK29" s="61"/>
      <c r="AL29" s="62"/>
      <c r="AM29" s="56"/>
      <c r="AN29" s="56"/>
      <c r="AO29" s="64"/>
      <c r="AP29" s="64"/>
      <c r="AQ29" s="55"/>
      <c r="AR29" s="68"/>
      <c r="AS29" s="54"/>
      <c r="AT29" s="69"/>
      <c r="AU29" s="61"/>
      <c r="AV29" s="62"/>
      <c r="AW29" s="56"/>
      <c r="AX29" s="56"/>
      <c r="AY29" s="64"/>
      <c r="AZ29" s="64"/>
      <c r="BA29" s="55"/>
      <c r="BB29" s="72"/>
      <c r="BC29" s="68"/>
      <c r="BD29" s="69"/>
      <c r="BE29" s="70"/>
      <c r="BF29" s="71"/>
      <c r="BG29" s="56"/>
      <c r="BH29" s="56"/>
      <c r="BI29" s="64"/>
      <c r="BJ29" s="64"/>
      <c r="BK29" s="57"/>
      <c r="BL29" s="73"/>
      <c r="BM29" s="76"/>
      <c r="BN29" s="74"/>
      <c r="BO29" s="75"/>
      <c r="BP29" s="66"/>
      <c r="BQ29" s="74"/>
    </row>
    <row r="30" spans="1:69" s="44" customFormat="1" ht="22.35" customHeight="1" x14ac:dyDescent="0.2">
      <c r="A30" s="100"/>
      <c r="B30" s="100"/>
      <c r="C30" s="100"/>
      <c r="D30" s="54"/>
      <c r="E30" s="55"/>
      <c r="F30" s="56"/>
      <c r="G30" s="56"/>
      <c r="H30" s="57"/>
      <c r="I30" s="58"/>
      <c r="J30" s="58"/>
      <c r="K30" s="55"/>
      <c r="L30" s="59"/>
      <c r="M30" s="59"/>
      <c r="N30" s="59"/>
      <c r="O30" s="54"/>
      <c r="P30" s="60"/>
      <c r="Q30" s="66"/>
      <c r="R30" s="67"/>
      <c r="S30" s="56"/>
      <c r="T30" s="56"/>
      <c r="U30" s="63"/>
      <c r="V30" s="64"/>
      <c r="W30" s="55"/>
      <c r="X30" s="63"/>
      <c r="Y30" s="54"/>
      <c r="Z30" s="65"/>
      <c r="AA30" s="61"/>
      <c r="AB30" s="62"/>
      <c r="AC30" s="56"/>
      <c r="AD30" s="56"/>
      <c r="AE30" s="64"/>
      <c r="AF30" s="64"/>
      <c r="AG30" s="55"/>
      <c r="AH30" s="68"/>
      <c r="AI30" s="54"/>
      <c r="AJ30" s="69"/>
      <c r="AK30" s="76"/>
      <c r="AL30" s="59"/>
      <c r="AM30" s="56"/>
      <c r="AN30" s="56"/>
      <c r="AO30" s="64"/>
      <c r="AP30" s="64"/>
      <c r="AQ30" s="55"/>
      <c r="AR30" s="68"/>
      <c r="AS30" s="54"/>
      <c r="AT30" s="69"/>
      <c r="AU30" s="61"/>
      <c r="AV30" s="62"/>
      <c r="AW30" s="56"/>
      <c r="AX30" s="56"/>
      <c r="AY30" s="64"/>
      <c r="AZ30" s="64"/>
      <c r="BA30" s="55"/>
      <c r="BB30" s="72"/>
      <c r="BC30" s="68"/>
      <c r="BD30" s="69"/>
      <c r="BE30" s="70"/>
      <c r="BF30" s="71"/>
      <c r="BG30" s="56"/>
      <c r="BH30" s="56"/>
      <c r="BI30" s="64"/>
      <c r="BJ30" s="64"/>
      <c r="BK30" s="57"/>
      <c r="BL30" s="73"/>
      <c r="BM30" s="76"/>
      <c r="BN30" s="74"/>
      <c r="BO30" s="75"/>
      <c r="BP30" s="66"/>
      <c r="BQ30" s="74"/>
    </row>
    <row r="31" spans="1:69" s="44" customFormat="1" ht="22.35" customHeight="1" x14ac:dyDescent="0.2">
      <c r="A31" s="100"/>
      <c r="B31" s="100"/>
      <c r="C31" s="100"/>
      <c r="D31" s="54"/>
      <c r="E31" s="55"/>
      <c r="F31" s="56"/>
      <c r="G31" s="56"/>
      <c r="H31" s="57"/>
      <c r="I31" s="58"/>
      <c r="J31" s="58"/>
      <c r="K31" s="55"/>
      <c r="L31" s="59"/>
      <c r="M31" s="59"/>
      <c r="N31" s="59"/>
      <c r="O31" s="54"/>
      <c r="P31" s="60"/>
      <c r="Q31" s="66"/>
      <c r="R31" s="67"/>
      <c r="S31" s="56"/>
      <c r="T31" s="56"/>
      <c r="U31" s="63"/>
      <c r="V31" s="64"/>
      <c r="W31" s="55"/>
      <c r="X31" s="63"/>
      <c r="Y31" s="54"/>
      <c r="Z31" s="65"/>
      <c r="AA31" s="66"/>
      <c r="AB31" s="67"/>
      <c r="AC31" s="56"/>
      <c r="AD31" s="56"/>
      <c r="AE31" s="64"/>
      <c r="AF31" s="64"/>
      <c r="AG31" s="55"/>
      <c r="AH31" s="68"/>
      <c r="AI31" s="54"/>
      <c r="AJ31" s="69"/>
      <c r="AK31" s="70"/>
      <c r="AL31" s="71"/>
      <c r="AM31" s="56"/>
      <c r="AN31" s="56"/>
      <c r="AO31" s="64"/>
      <c r="AP31" s="64"/>
      <c r="AQ31" s="55"/>
      <c r="AR31" s="68"/>
      <c r="AS31" s="54"/>
      <c r="AT31" s="69"/>
      <c r="AU31" s="61"/>
      <c r="AV31" s="62"/>
      <c r="AW31" s="56"/>
      <c r="AX31" s="56"/>
      <c r="AY31" s="64"/>
      <c r="AZ31" s="64"/>
      <c r="BA31" s="55"/>
      <c r="BB31" s="72"/>
      <c r="BC31" s="68"/>
      <c r="BD31" s="69"/>
      <c r="BE31" s="70"/>
      <c r="BF31" s="71"/>
      <c r="BG31" s="56"/>
      <c r="BH31" s="56"/>
      <c r="BI31" s="64"/>
      <c r="BJ31" s="64"/>
      <c r="BK31" s="57"/>
      <c r="BL31" s="73"/>
      <c r="BM31" s="61"/>
      <c r="BN31" s="74"/>
      <c r="BO31" s="75"/>
      <c r="BP31" s="66"/>
      <c r="BQ31" s="74"/>
    </row>
    <row r="32" spans="1:69" s="44" customFormat="1" ht="22.35" customHeight="1" x14ac:dyDescent="0.2">
      <c r="A32" s="100"/>
      <c r="B32" s="100"/>
      <c r="C32" s="100"/>
      <c r="D32" s="54"/>
      <c r="E32" s="55"/>
      <c r="F32" s="56"/>
      <c r="G32" s="56"/>
      <c r="H32" s="57"/>
      <c r="I32" s="58"/>
      <c r="J32" s="58"/>
      <c r="K32" s="55"/>
      <c r="L32" s="59"/>
      <c r="M32" s="59"/>
      <c r="N32" s="59"/>
      <c r="O32" s="54"/>
      <c r="P32" s="60"/>
      <c r="Q32" s="66"/>
      <c r="R32" s="67"/>
      <c r="S32" s="56"/>
      <c r="T32" s="56"/>
      <c r="U32" s="63"/>
      <c r="V32" s="64"/>
      <c r="W32" s="55"/>
      <c r="X32" s="63"/>
      <c r="Y32" s="54"/>
      <c r="Z32" s="65"/>
      <c r="AA32" s="76"/>
      <c r="AB32" s="59"/>
      <c r="AC32" s="56"/>
      <c r="AD32" s="56"/>
      <c r="AE32" s="64"/>
      <c r="AF32" s="64"/>
      <c r="AG32" s="55"/>
      <c r="AH32" s="68"/>
      <c r="AI32" s="54"/>
      <c r="AJ32" s="69"/>
      <c r="AK32" s="61"/>
      <c r="AL32" s="62"/>
      <c r="AM32" s="56"/>
      <c r="AN32" s="56"/>
      <c r="AO32" s="64"/>
      <c r="AP32" s="64"/>
      <c r="AQ32" s="55"/>
      <c r="AR32" s="68"/>
      <c r="AS32" s="54"/>
      <c r="AT32" s="69"/>
      <c r="AU32" s="61"/>
      <c r="AV32" s="62"/>
      <c r="AW32" s="56"/>
      <c r="AX32" s="56"/>
      <c r="AY32" s="64"/>
      <c r="AZ32" s="64"/>
      <c r="BA32" s="55"/>
      <c r="BB32" s="72"/>
      <c r="BC32" s="68"/>
      <c r="BD32" s="69"/>
      <c r="BE32" s="76"/>
      <c r="BF32" s="59"/>
      <c r="BG32" s="56"/>
      <c r="BH32" s="56"/>
      <c r="BI32" s="64"/>
      <c r="BJ32" s="64"/>
      <c r="BK32" s="57"/>
      <c r="BL32" s="73"/>
      <c r="BM32" s="61"/>
      <c r="BN32" s="74"/>
      <c r="BO32" s="75"/>
      <c r="BP32" s="66"/>
      <c r="BQ32" s="74"/>
    </row>
    <row r="33" spans="1:69" s="44" customFormat="1" ht="22.35" customHeight="1" x14ac:dyDescent="0.2">
      <c r="A33" s="100"/>
      <c r="B33" s="100"/>
      <c r="C33" s="100"/>
      <c r="D33" s="54"/>
      <c r="E33" s="55"/>
      <c r="F33" s="56"/>
      <c r="G33" s="56"/>
      <c r="H33" s="57"/>
      <c r="I33" s="58"/>
      <c r="J33" s="58"/>
      <c r="K33" s="55"/>
      <c r="L33" s="59"/>
      <c r="M33" s="59"/>
      <c r="N33" s="59"/>
      <c r="O33" s="54"/>
      <c r="P33" s="60"/>
      <c r="Q33" s="66"/>
      <c r="R33" s="67"/>
      <c r="S33" s="56"/>
      <c r="T33" s="56"/>
      <c r="U33" s="63"/>
      <c r="V33" s="64"/>
      <c r="W33" s="55"/>
      <c r="X33" s="63"/>
      <c r="Y33" s="54"/>
      <c r="Z33" s="65"/>
      <c r="AA33" s="76"/>
      <c r="AB33" s="59"/>
      <c r="AC33" s="56"/>
      <c r="AD33" s="56"/>
      <c r="AE33" s="64"/>
      <c r="AF33" s="64"/>
      <c r="AG33" s="55"/>
      <c r="AH33" s="68"/>
      <c r="AI33" s="54"/>
      <c r="AJ33" s="69"/>
      <c r="AK33" s="61"/>
      <c r="AL33" s="62"/>
      <c r="AM33" s="56"/>
      <c r="AN33" s="56"/>
      <c r="AO33" s="64"/>
      <c r="AP33" s="64"/>
      <c r="AQ33" s="55"/>
      <c r="AR33" s="68"/>
      <c r="AS33" s="54"/>
      <c r="AT33" s="69"/>
      <c r="AU33" s="61"/>
      <c r="AV33" s="62"/>
      <c r="AW33" s="56"/>
      <c r="AX33" s="56"/>
      <c r="AY33" s="64"/>
      <c r="AZ33" s="64"/>
      <c r="BA33" s="55"/>
      <c r="BB33" s="72"/>
      <c r="BC33" s="68"/>
      <c r="BD33" s="69"/>
      <c r="BE33" s="66"/>
      <c r="BF33" s="67"/>
      <c r="BG33" s="56"/>
      <c r="BH33" s="56"/>
      <c r="BI33" s="64"/>
      <c r="BJ33" s="64"/>
      <c r="BK33" s="57"/>
      <c r="BL33" s="73"/>
      <c r="BM33" s="61"/>
      <c r="BN33" s="74"/>
      <c r="BO33" s="75"/>
      <c r="BP33" s="66"/>
      <c r="BQ33" s="74"/>
    </row>
    <row r="34" spans="1:69" s="44" customFormat="1" ht="22.35" customHeight="1" x14ac:dyDescent="0.2">
      <c r="A34" s="100"/>
      <c r="B34" s="100"/>
      <c r="C34" s="100"/>
      <c r="D34" s="54"/>
      <c r="E34" s="55"/>
      <c r="F34" s="56"/>
      <c r="G34" s="56"/>
      <c r="H34" s="57"/>
      <c r="I34" s="58"/>
      <c r="J34" s="58"/>
      <c r="K34" s="55"/>
      <c r="L34" s="59"/>
      <c r="M34" s="59"/>
      <c r="N34" s="59"/>
      <c r="O34" s="54"/>
      <c r="P34" s="60"/>
      <c r="Q34" s="66"/>
      <c r="R34" s="67"/>
      <c r="S34" s="56"/>
      <c r="T34" s="56"/>
      <c r="U34" s="63"/>
      <c r="V34" s="64"/>
      <c r="W34" s="55"/>
      <c r="X34" s="63"/>
      <c r="Y34" s="54"/>
      <c r="Z34" s="65"/>
      <c r="AA34" s="61"/>
      <c r="AB34" s="62"/>
      <c r="AC34" s="56"/>
      <c r="AD34" s="56"/>
      <c r="AE34" s="64"/>
      <c r="AF34" s="64"/>
      <c r="AG34" s="55"/>
      <c r="AH34" s="68"/>
      <c r="AI34" s="54"/>
      <c r="AJ34" s="69"/>
      <c r="AK34" s="61"/>
      <c r="AL34" s="62"/>
      <c r="AM34" s="56"/>
      <c r="AN34" s="56"/>
      <c r="AO34" s="64"/>
      <c r="AP34" s="64"/>
      <c r="AQ34" s="55"/>
      <c r="AR34" s="68"/>
      <c r="AS34" s="54"/>
      <c r="AT34" s="69"/>
      <c r="AU34" s="61"/>
      <c r="AV34" s="62"/>
      <c r="AW34" s="56"/>
      <c r="AX34" s="56"/>
      <c r="AY34" s="64"/>
      <c r="AZ34" s="64"/>
      <c r="BA34" s="55"/>
      <c r="BB34" s="72"/>
      <c r="BC34" s="68"/>
      <c r="BD34" s="69"/>
      <c r="BE34" s="61"/>
      <c r="BF34" s="62"/>
      <c r="BG34" s="56"/>
      <c r="BH34" s="56"/>
      <c r="BI34" s="64"/>
      <c r="BJ34" s="64"/>
      <c r="BK34" s="57"/>
      <c r="BL34" s="73"/>
      <c r="BM34" s="70"/>
      <c r="BN34" s="74"/>
      <c r="BO34" s="75"/>
      <c r="BP34" s="66"/>
      <c r="BQ34" s="74"/>
    </row>
    <row r="35" spans="1:69" s="44" customFormat="1" ht="22.35" customHeight="1" x14ac:dyDescent="0.2">
      <c r="A35" s="100"/>
      <c r="B35" s="100"/>
      <c r="C35" s="100"/>
      <c r="D35" s="54"/>
      <c r="E35" s="55"/>
      <c r="F35" s="56"/>
      <c r="G35" s="56"/>
      <c r="H35" s="57"/>
      <c r="I35" s="58"/>
      <c r="J35" s="58"/>
      <c r="K35" s="55"/>
      <c r="L35" s="59"/>
      <c r="M35" s="59"/>
      <c r="N35" s="59"/>
      <c r="O35" s="54"/>
      <c r="P35" s="60"/>
      <c r="Q35" s="66"/>
      <c r="R35" s="67"/>
      <c r="S35" s="56"/>
      <c r="T35" s="56"/>
      <c r="U35" s="63"/>
      <c r="V35" s="64"/>
      <c r="W35" s="55"/>
      <c r="X35" s="63"/>
      <c r="Y35" s="54"/>
      <c r="Z35" s="65"/>
      <c r="AA35" s="66"/>
      <c r="AB35" s="67"/>
      <c r="AC35" s="56"/>
      <c r="AD35" s="56"/>
      <c r="AE35" s="64"/>
      <c r="AF35" s="64"/>
      <c r="AG35" s="55"/>
      <c r="AH35" s="68"/>
      <c r="AI35" s="54"/>
      <c r="AJ35" s="69"/>
      <c r="AK35" s="70"/>
      <c r="AL35" s="71"/>
      <c r="AM35" s="56"/>
      <c r="AN35" s="56"/>
      <c r="AO35" s="64"/>
      <c r="AP35" s="64"/>
      <c r="AQ35" s="55"/>
      <c r="AR35" s="68"/>
      <c r="AS35" s="54"/>
      <c r="AT35" s="69"/>
      <c r="AU35" s="61"/>
      <c r="AV35" s="62"/>
      <c r="AW35" s="56"/>
      <c r="AX35" s="56"/>
      <c r="AY35" s="64"/>
      <c r="AZ35" s="64"/>
      <c r="BA35" s="55"/>
      <c r="BB35" s="72"/>
      <c r="BC35" s="68"/>
      <c r="BD35" s="69"/>
      <c r="BE35" s="76"/>
      <c r="BF35" s="59"/>
      <c r="BG35" s="56"/>
      <c r="BH35" s="56"/>
      <c r="BI35" s="64"/>
      <c r="BJ35" s="64"/>
      <c r="BK35" s="57"/>
      <c r="BL35" s="73"/>
      <c r="BM35" s="61"/>
      <c r="BN35" s="74"/>
      <c r="BO35" s="75"/>
      <c r="BP35" s="66"/>
      <c r="BQ35" s="74"/>
    </row>
    <row r="36" spans="1:69" s="44" customFormat="1" ht="22.35" customHeight="1" x14ac:dyDescent="0.2">
      <c r="A36" s="100"/>
      <c r="B36" s="100"/>
      <c r="C36" s="100"/>
      <c r="D36" s="54"/>
      <c r="E36" s="55"/>
      <c r="F36" s="56"/>
      <c r="G36" s="56"/>
      <c r="H36" s="57"/>
      <c r="I36" s="58"/>
      <c r="J36" s="58"/>
      <c r="K36" s="55"/>
      <c r="L36" s="59"/>
      <c r="M36" s="59"/>
      <c r="N36" s="59"/>
      <c r="O36" s="54"/>
      <c r="P36" s="60"/>
      <c r="Q36" s="66"/>
      <c r="R36" s="67"/>
      <c r="S36" s="56"/>
      <c r="T36" s="56"/>
      <c r="U36" s="63"/>
      <c r="V36" s="64"/>
      <c r="W36" s="55"/>
      <c r="X36" s="63"/>
      <c r="Y36" s="54"/>
      <c r="Z36" s="65"/>
      <c r="AA36" s="76"/>
      <c r="AB36" s="59"/>
      <c r="AC36" s="56"/>
      <c r="AD36" s="56"/>
      <c r="AE36" s="64"/>
      <c r="AF36" s="64"/>
      <c r="AG36" s="55"/>
      <c r="AH36" s="68"/>
      <c r="AI36" s="54"/>
      <c r="AJ36" s="69"/>
      <c r="AK36" s="70"/>
      <c r="AL36" s="71"/>
      <c r="AM36" s="56"/>
      <c r="AN36" s="56"/>
      <c r="AO36" s="64"/>
      <c r="AP36" s="64"/>
      <c r="AQ36" s="55"/>
      <c r="AR36" s="68"/>
      <c r="AS36" s="54"/>
      <c r="AT36" s="69"/>
      <c r="AU36" s="61"/>
      <c r="AV36" s="62"/>
      <c r="AW36" s="56"/>
      <c r="AX36" s="56"/>
      <c r="AY36" s="64"/>
      <c r="AZ36" s="64"/>
      <c r="BA36" s="55"/>
      <c r="BB36" s="72"/>
      <c r="BC36" s="68"/>
      <c r="BD36" s="69"/>
      <c r="BE36" s="66"/>
      <c r="BF36" s="67"/>
      <c r="BG36" s="56"/>
      <c r="BH36" s="56"/>
      <c r="BI36" s="64"/>
      <c r="BJ36" s="64"/>
      <c r="BK36" s="57"/>
      <c r="BL36" s="73"/>
      <c r="BM36" s="76"/>
      <c r="BN36" s="74"/>
      <c r="BO36" s="75"/>
      <c r="BP36" s="66"/>
      <c r="BQ36" s="74"/>
    </row>
    <row r="37" spans="1:69" s="44" customFormat="1" ht="22.35" customHeight="1" x14ac:dyDescent="0.2">
      <c r="A37" s="100"/>
      <c r="B37" s="100"/>
      <c r="C37" s="100"/>
      <c r="D37" s="54"/>
      <c r="E37" s="55"/>
      <c r="F37" s="56"/>
      <c r="G37" s="56"/>
      <c r="H37" s="57"/>
      <c r="I37" s="58"/>
      <c r="J37" s="58"/>
      <c r="K37" s="55"/>
      <c r="L37" s="59"/>
      <c r="M37" s="59"/>
      <c r="N37" s="59"/>
      <c r="O37" s="54"/>
      <c r="P37" s="60"/>
      <c r="Q37" s="66"/>
      <c r="R37" s="67"/>
      <c r="S37" s="56"/>
      <c r="T37" s="56"/>
      <c r="U37" s="63"/>
      <c r="V37" s="64"/>
      <c r="W37" s="55"/>
      <c r="X37" s="63"/>
      <c r="Y37" s="54"/>
      <c r="Z37" s="65"/>
      <c r="AA37" s="70"/>
      <c r="AB37" s="71"/>
      <c r="AC37" s="56"/>
      <c r="AD37" s="56"/>
      <c r="AE37" s="64"/>
      <c r="AF37" s="64"/>
      <c r="AG37" s="55"/>
      <c r="AH37" s="68"/>
      <c r="AI37" s="54"/>
      <c r="AJ37" s="69"/>
      <c r="AK37" s="76"/>
      <c r="AL37" s="59"/>
      <c r="AM37" s="56"/>
      <c r="AN37" s="56"/>
      <c r="AO37" s="64"/>
      <c r="AP37" s="64"/>
      <c r="AQ37" s="55"/>
      <c r="AR37" s="68"/>
      <c r="AS37" s="54"/>
      <c r="AT37" s="69"/>
      <c r="AU37" s="61"/>
      <c r="AV37" s="62"/>
      <c r="AW37" s="56"/>
      <c r="AX37" s="56"/>
      <c r="AY37" s="64"/>
      <c r="AZ37" s="64"/>
      <c r="BA37" s="55"/>
      <c r="BB37" s="72"/>
      <c r="BC37" s="68"/>
      <c r="BD37" s="69"/>
      <c r="BE37" s="76"/>
      <c r="BF37" s="59"/>
      <c r="BG37" s="56"/>
      <c r="BH37" s="56"/>
      <c r="BI37" s="64"/>
      <c r="BJ37" s="64"/>
      <c r="BK37" s="57"/>
      <c r="BL37" s="73"/>
      <c r="BM37" s="61"/>
      <c r="BN37" s="74"/>
      <c r="BO37" s="75"/>
      <c r="BP37" s="76"/>
      <c r="BQ37" s="74"/>
    </row>
    <row r="38" spans="1:69" s="44" customFormat="1" ht="22.35" customHeight="1" x14ac:dyDescent="0.2">
      <c r="A38" s="100"/>
      <c r="B38" s="100"/>
      <c r="C38" s="100"/>
      <c r="D38" s="54"/>
      <c r="E38" s="55"/>
      <c r="F38" s="56"/>
      <c r="G38" s="56"/>
      <c r="H38" s="57"/>
      <c r="I38" s="58"/>
      <c r="J38" s="58"/>
      <c r="K38" s="55"/>
      <c r="L38" s="59"/>
      <c r="M38" s="59"/>
      <c r="N38" s="59"/>
      <c r="O38" s="54"/>
      <c r="P38" s="60"/>
      <c r="Q38" s="66"/>
      <c r="R38" s="67"/>
      <c r="S38" s="56"/>
      <c r="T38" s="56"/>
      <c r="U38" s="63"/>
      <c r="V38" s="64"/>
      <c r="W38" s="55"/>
      <c r="X38" s="63"/>
      <c r="Y38" s="54"/>
      <c r="Z38" s="65"/>
      <c r="AA38" s="70"/>
      <c r="AB38" s="71"/>
      <c r="AC38" s="56"/>
      <c r="AD38" s="56"/>
      <c r="AE38" s="64"/>
      <c r="AF38" s="64"/>
      <c r="AG38" s="55"/>
      <c r="AH38" s="68"/>
      <c r="AI38" s="54"/>
      <c r="AJ38" s="69"/>
      <c r="AK38" s="76"/>
      <c r="AL38" s="59"/>
      <c r="AM38" s="56"/>
      <c r="AN38" s="56"/>
      <c r="AO38" s="64"/>
      <c r="AP38" s="64"/>
      <c r="AQ38" s="55"/>
      <c r="AR38" s="68"/>
      <c r="AS38" s="54"/>
      <c r="AT38" s="69"/>
      <c r="AU38" s="61"/>
      <c r="AV38" s="62"/>
      <c r="AW38" s="56"/>
      <c r="AX38" s="56"/>
      <c r="AY38" s="64"/>
      <c r="AZ38" s="64"/>
      <c r="BA38" s="55"/>
      <c r="BB38" s="72"/>
      <c r="BC38" s="68"/>
      <c r="BD38" s="69"/>
      <c r="BE38" s="76"/>
      <c r="BF38" s="59"/>
      <c r="BG38" s="56"/>
      <c r="BH38" s="56"/>
      <c r="BI38" s="64"/>
      <c r="BJ38" s="64"/>
      <c r="BK38" s="57"/>
      <c r="BL38" s="73"/>
      <c r="BM38" s="61"/>
      <c r="BN38" s="74"/>
      <c r="BO38" s="75"/>
      <c r="BP38" s="76"/>
      <c r="BQ38" s="74"/>
    </row>
    <row r="39" spans="1:69" s="44" customFormat="1" ht="22.35" customHeight="1" x14ac:dyDescent="0.2">
      <c r="A39" s="100"/>
      <c r="B39" s="100"/>
      <c r="C39" s="100"/>
      <c r="D39" s="54"/>
      <c r="E39" s="55"/>
      <c r="F39" s="56"/>
      <c r="G39" s="56"/>
      <c r="H39" s="57"/>
      <c r="I39" s="58"/>
      <c r="J39" s="58"/>
      <c r="K39" s="55"/>
      <c r="L39" s="59"/>
      <c r="M39" s="59"/>
      <c r="N39" s="59"/>
      <c r="O39" s="54"/>
      <c r="P39" s="60"/>
      <c r="Q39" s="66"/>
      <c r="R39" s="67"/>
      <c r="S39" s="56"/>
      <c r="T39" s="56"/>
      <c r="U39" s="63"/>
      <c r="V39" s="64"/>
      <c r="W39" s="55"/>
      <c r="X39" s="63"/>
      <c r="Y39" s="54"/>
      <c r="Z39" s="65"/>
      <c r="AA39" s="61"/>
      <c r="AB39" s="62"/>
      <c r="AC39" s="56"/>
      <c r="AD39" s="56"/>
      <c r="AE39" s="64"/>
      <c r="AF39" s="64"/>
      <c r="AG39" s="55"/>
      <c r="AH39" s="68"/>
      <c r="AI39" s="54"/>
      <c r="AJ39" s="69"/>
      <c r="AK39" s="76"/>
      <c r="AL39" s="59"/>
      <c r="AM39" s="56"/>
      <c r="AN39" s="56"/>
      <c r="AO39" s="64"/>
      <c r="AP39" s="64"/>
      <c r="AQ39" s="55"/>
      <c r="AR39" s="68"/>
      <c r="AS39" s="54"/>
      <c r="AT39" s="69"/>
      <c r="AU39" s="61"/>
      <c r="AV39" s="62"/>
      <c r="AW39" s="56"/>
      <c r="AX39" s="56"/>
      <c r="AY39" s="64"/>
      <c r="AZ39" s="64"/>
      <c r="BA39" s="55"/>
      <c r="BB39" s="72"/>
      <c r="BC39" s="68"/>
      <c r="BD39" s="69"/>
      <c r="BE39" s="70"/>
      <c r="BF39" s="71"/>
      <c r="BG39" s="56"/>
      <c r="BH39" s="56"/>
      <c r="BI39" s="64"/>
      <c r="BJ39" s="64"/>
      <c r="BK39" s="57"/>
      <c r="BL39" s="73"/>
      <c r="BM39" s="61"/>
      <c r="BN39" s="74"/>
      <c r="BO39" s="75"/>
      <c r="BP39" s="66"/>
      <c r="BQ39" s="74"/>
    </row>
    <row r="40" spans="1:69" s="44" customFormat="1" ht="22.35" customHeight="1" x14ac:dyDescent="0.2">
      <c r="A40" s="100"/>
      <c r="B40" s="100"/>
      <c r="C40" s="100"/>
      <c r="D40" s="54"/>
      <c r="E40" s="55"/>
      <c r="F40" s="56"/>
      <c r="G40" s="56"/>
      <c r="H40" s="57"/>
      <c r="I40" s="58"/>
      <c r="J40" s="58"/>
      <c r="K40" s="55"/>
      <c r="L40" s="59"/>
      <c r="M40" s="59"/>
      <c r="N40" s="59"/>
      <c r="O40" s="54"/>
      <c r="P40" s="60"/>
      <c r="Q40" s="66"/>
      <c r="R40" s="67"/>
      <c r="S40" s="56"/>
      <c r="T40" s="56"/>
      <c r="U40" s="63"/>
      <c r="V40" s="64"/>
      <c r="W40" s="55"/>
      <c r="X40" s="63"/>
      <c r="Y40" s="54"/>
      <c r="Z40" s="65"/>
      <c r="AA40" s="66"/>
      <c r="AB40" s="67"/>
      <c r="AC40" s="56"/>
      <c r="AD40" s="56"/>
      <c r="AE40" s="64"/>
      <c r="AF40" s="64"/>
      <c r="AG40" s="55"/>
      <c r="AH40" s="68"/>
      <c r="AI40" s="54"/>
      <c r="AJ40" s="69"/>
      <c r="AK40" s="61"/>
      <c r="AL40" s="62"/>
      <c r="AM40" s="56"/>
      <c r="AN40" s="56"/>
      <c r="AO40" s="64"/>
      <c r="AP40" s="64"/>
      <c r="AQ40" s="55"/>
      <c r="AR40" s="68"/>
      <c r="AS40" s="54"/>
      <c r="AT40" s="69"/>
      <c r="AU40" s="61"/>
      <c r="AV40" s="62"/>
      <c r="AW40" s="56"/>
      <c r="AX40" s="56"/>
      <c r="AY40" s="64"/>
      <c r="AZ40" s="64"/>
      <c r="BA40" s="55"/>
      <c r="BB40" s="72"/>
      <c r="BC40" s="68"/>
      <c r="BD40" s="69"/>
      <c r="BE40" s="70"/>
      <c r="BF40" s="71"/>
      <c r="BG40" s="56"/>
      <c r="BH40" s="56"/>
      <c r="BI40" s="64"/>
      <c r="BJ40" s="64"/>
      <c r="BK40" s="57"/>
      <c r="BL40" s="73"/>
      <c r="BM40" s="76"/>
      <c r="BN40" s="74"/>
      <c r="BO40" s="75"/>
      <c r="BP40" s="66"/>
      <c r="BQ40" s="74"/>
    </row>
    <row r="41" spans="1:69" s="44" customFormat="1" ht="22.35" customHeight="1" x14ac:dyDescent="0.2">
      <c r="A41" s="100"/>
      <c r="B41" s="100"/>
      <c r="C41" s="100"/>
      <c r="D41" s="54"/>
      <c r="E41" s="55"/>
      <c r="F41" s="56"/>
      <c r="G41" s="56"/>
      <c r="H41" s="57"/>
      <c r="I41" s="58"/>
      <c r="J41" s="58"/>
      <c r="K41" s="55"/>
      <c r="L41" s="59"/>
      <c r="M41" s="59"/>
      <c r="N41" s="59"/>
      <c r="O41" s="54"/>
      <c r="P41" s="60"/>
      <c r="Q41" s="66"/>
      <c r="R41" s="67"/>
      <c r="S41" s="56"/>
      <c r="T41" s="56"/>
      <c r="U41" s="63"/>
      <c r="V41" s="64"/>
      <c r="W41" s="55"/>
      <c r="X41" s="63"/>
      <c r="Y41" s="54"/>
      <c r="Z41" s="65"/>
      <c r="AA41" s="66"/>
      <c r="AB41" s="67"/>
      <c r="AC41" s="56"/>
      <c r="AD41" s="56"/>
      <c r="AE41" s="64"/>
      <c r="AF41" s="64"/>
      <c r="AG41" s="55"/>
      <c r="AH41" s="68"/>
      <c r="AI41" s="54"/>
      <c r="AJ41" s="69"/>
      <c r="AK41" s="61"/>
      <c r="AL41" s="62"/>
      <c r="AM41" s="56"/>
      <c r="AN41" s="56"/>
      <c r="AO41" s="64"/>
      <c r="AP41" s="64"/>
      <c r="AQ41" s="55"/>
      <c r="AR41" s="68"/>
      <c r="AS41" s="54"/>
      <c r="AT41" s="69"/>
      <c r="AU41" s="61"/>
      <c r="AV41" s="62"/>
      <c r="AW41" s="56"/>
      <c r="AX41" s="56"/>
      <c r="AY41" s="64"/>
      <c r="AZ41" s="64"/>
      <c r="BA41" s="55"/>
      <c r="BB41" s="72"/>
      <c r="BC41" s="68"/>
      <c r="BD41" s="69"/>
      <c r="BE41" s="70"/>
      <c r="BF41" s="71"/>
      <c r="BG41" s="56"/>
      <c r="BH41" s="56"/>
      <c r="BI41" s="64"/>
      <c r="BJ41" s="64"/>
      <c r="BK41" s="57"/>
      <c r="BL41" s="73"/>
      <c r="BM41" s="76"/>
      <c r="BN41" s="74"/>
      <c r="BO41" s="75"/>
      <c r="BP41" s="70"/>
      <c r="BQ41" s="74"/>
    </row>
    <row r="42" spans="1:69" s="44" customFormat="1" ht="22.35" customHeight="1" x14ac:dyDescent="0.2">
      <c r="A42" s="100"/>
      <c r="B42" s="100"/>
      <c r="C42" s="100"/>
      <c r="D42" s="54"/>
      <c r="E42" s="55"/>
      <c r="F42" s="56"/>
      <c r="G42" s="56"/>
      <c r="H42" s="57"/>
      <c r="I42" s="58"/>
      <c r="J42" s="58"/>
      <c r="K42" s="55"/>
      <c r="L42" s="59"/>
      <c r="M42" s="59"/>
      <c r="N42" s="59"/>
      <c r="O42" s="54"/>
      <c r="P42" s="60"/>
      <c r="Q42" s="66"/>
      <c r="R42" s="67"/>
      <c r="S42" s="56"/>
      <c r="T42" s="56"/>
      <c r="U42" s="63"/>
      <c r="V42" s="64"/>
      <c r="W42" s="55"/>
      <c r="X42" s="63"/>
      <c r="Y42" s="54"/>
      <c r="Z42" s="65"/>
      <c r="AA42" s="76"/>
      <c r="AB42" s="59"/>
      <c r="AC42" s="56"/>
      <c r="AD42" s="56"/>
      <c r="AE42" s="64"/>
      <c r="AF42" s="64"/>
      <c r="AG42" s="55"/>
      <c r="AH42" s="68"/>
      <c r="AI42" s="54"/>
      <c r="AJ42" s="69"/>
      <c r="AK42" s="61"/>
      <c r="AL42" s="62"/>
      <c r="AM42" s="56"/>
      <c r="AN42" s="56"/>
      <c r="AO42" s="64"/>
      <c r="AP42" s="64"/>
      <c r="AQ42" s="55"/>
      <c r="AR42" s="68"/>
      <c r="AS42" s="54"/>
      <c r="AT42" s="69"/>
      <c r="AU42" s="61"/>
      <c r="AV42" s="62"/>
      <c r="AW42" s="56"/>
      <c r="AX42" s="56"/>
      <c r="AY42" s="64"/>
      <c r="AZ42" s="64"/>
      <c r="BA42" s="55"/>
      <c r="BB42" s="72"/>
      <c r="BC42" s="68"/>
      <c r="BD42" s="69"/>
      <c r="BE42" s="76"/>
      <c r="BF42" s="59"/>
      <c r="BG42" s="56"/>
      <c r="BH42" s="56"/>
      <c r="BI42" s="64"/>
      <c r="BJ42" s="64"/>
      <c r="BK42" s="57"/>
      <c r="BL42" s="73"/>
      <c r="BM42" s="76"/>
      <c r="BN42" s="74"/>
      <c r="BO42" s="75"/>
      <c r="BP42" s="66"/>
      <c r="BQ42" s="74"/>
    </row>
    <row r="43" spans="1:69" s="44" customFormat="1" ht="22.35" customHeight="1" x14ac:dyDescent="0.2">
      <c r="A43" s="100"/>
      <c r="B43" s="100"/>
      <c r="C43" s="100"/>
      <c r="D43" s="54"/>
      <c r="E43" s="55"/>
      <c r="F43" s="56"/>
      <c r="G43" s="56"/>
      <c r="H43" s="57"/>
      <c r="I43" s="58"/>
      <c r="J43" s="58"/>
      <c r="K43" s="55"/>
      <c r="L43" s="59"/>
      <c r="M43" s="59"/>
      <c r="N43" s="59"/>
      <c r="O43" s="54"/>
      <c r="P43" s="60"/>
      <c r="Q43" s="66"/>
      <c r="R43" s="67"/>
      <c r="S43" s="56"/>
      <c r="T43" s="56"/>
      <c r="U43" s="63"/>
      <c r="V43" s="64"/>
      <c r="W43" s="55"/>
      <c r="X43" s="63"/>
      <c r="Y43" s="54"/>
      <c r="Z43" s="65"/>
      <c r="AA43" s="76"/>
      <c r="AB43" s="59"/>
      <c r="AC43" s="56"/>
      <c r="AD43" s="56"/>
      <c r="AE43" s="64"/>
      <c r="AF43" s="64"/>
      <c r="AG43" s="55"/>
      <c r="AH43" s="68"/>
      <c r="AI43" s="54"/>
      <c r="AJ43" s="69"/>
      <c r="AK43" s="76"/>
      <c r="AL43" s="59"/>
      <c r="AM43" s="56"/>
      <c r="AN43" s="56"/>
      <c r="AO43" s="64"/>
      <c r="AP43" s="64"/>
      <c r="AQ43" s="55"/>
      <c r="AR43" s="68"/>
      <c r="AS43" s="54"/>
      <c r="AT43" s="69"/>
      <c r="AU43" s="61"/>
      <c r="AV43" s="62"/>
      <c r="AW43" s="56"/>
      <c r="AX43" s="56"/>
      <c r="AY43" s="64"/>
      <c r="AZ43" s="64"/>
      <c r="BA43" s="55"/>
      <c r="BB43" s="72"/>
      <c r="BC43" s="68"/>
      <c r="BD43" s="69"/>
      <c r="BE43" s="76"/>
      <c r="BF43" s="59"/>
      <c r="BG43" s="56"/>
      <c r="BH43" s="56"/>
      <c r="BI43" s="64"/>
      <c r="BJ43" s="64"/>
      <c r="BK43" s="57"/>
      <c r="BL43" s="73"/>
      <c r="BM43" s="61"/>
      <c r="BN43" s="74"/>
      <c r="BO43" s="75"/>
      <c r="BP43" s="66"/>
      <c r="BQ43" s="74"/>
    </row>
    <row r="44" spans="1:69" s="44" customFormat="1" ht="22.35" customHeight="1" x14ac:dyDescent="0.2">
      <c r="A44" s="100"/>
      <c r="B44" s="100"/>
      <c r="C44" s="100"/>
      <c r="D44" s="54"/>
      <c r="E44" s="55"/>
      <c r="F44" s="56"/>
      <c r="G44" s="56"/>
      <c r="H44" s="57"/>
      <c r="I44" s="58"/>
      <c r="J44" s="58"/>
      <c r="K44" s="55"/>
      <c r="L44" s="59"/>
      <c r="M44" s="59"/>
      <c r="N44" s="59"/>
      <c r="O44" s="54"/>
      <c r="P44" s="60"/>
      <c r="Q44" s="66"/>
      <c r="R44" s="67"/>
      <c r="S44" s="56"/>
      <c r="T44" s="56"/>
      <c r="U44" s="63"/>
      <c r="V44" s="64"/>
      <c r="W44" s="55"/>
      <c r="X44" s="63"/>
      <c r="Y44" s="54"/>
      <c r="Z44" s="65"/>
      <c r="AA44" s="70"/>
      <c r="AB44" s="71"/>
      <c r="AC44" s="56"/>
      <c r="AD44" s="56"/>
      <c r="AE44" s="64"/>
      <c r="AF44" s="64"/>
      <c r="AG44" s="55"/>
      <c r="AH44" s="68"/>
      <c r="AI44" s="54"/>
      <c r="AJ44" s="69"/>
      <c r="AK44" s="66"/>
      <c r="AL44" s="67"/>
      <c r="AM44" s="56"/>
      <c r="AN44" s="56"/>
      <c r="AO44" s="64"/>
      <c r="AP44" s="64"/>
      <c r="AQ44" s="55"/>
      <c r="AR44" s="68"/>
      <c r="AS44" s="54"/>
      <c r="AT44" s="69"/>
      <c r="AU44" s="76"/>
      <c r="AV44" s="59"/>
      <c r="AW44" s="56"/>
      <c r="AX44" s="56"/>
      <c r="AY44" s="64"/>
      <c r="AZ44" s="64"/>
      <c r="BA44" s="55"/>
      <c r="BB44" s="72"/>
      <c r="BC44" s="68"/>
      <c r="BD44" s="69"/>
      <c r="BE44" s="66"/>
      <c r="BF44" s="67"/>
      <c r="BG44" s="56"/>
      <c r="BH44" s="56"/>
      <c r="BI44" s="64"/>
      <c r="BJ44" s="64"/>
      <c r="BK44" s="57"/>
      <c r="BL44" s="73"/>
      <c r="BM44" s="70"/>
      <c r="BN44" s="74"/>
      <c r="BO44" s="75"/>
      <c r="BP44" s="66"/>
      <c r="BQ44" s="74"/>
    </row>
    <row r="45" spans="1:69" s="44" customFormat="1" ht="22.35" customHeight="1" x14ac:dyDescent="0.2">
      <c r="A45" s="100"/>
      <c r="B45" s="100"/>
      <c r="C45" s="100"/>
      <c r="D45" s="54"/>
      <c r="E45" s="55"/>
      <c r="F45" s="56"/>
      <c r="G45" s="56"/>
      <c r="H45" s="57"/>
      <c r="I45" s="58"/>
      <c r="J45" s="58"/>
      <c r="K45" s="55"/>
      <c r="L45" s="59"/>
      <c r="M45" s="59"/>
      <c r="N45" s="59"/>
      <c r="O45" s="54"/>
      <c r="P45" s="60"/>
      <c r="Q45" s="66"/>
      <c r="R45" s="67"/>
      <c r="S45" s="56"/>
      <c r="T45" s="56"/>
      <c r="U45" s="63"/>
      <c r="V45" s="64"/>
      <c r="W45" s="55"/>
      <c r="X45" s="63"/>
      <c r="Y45" s="54"/>
      <c r="Z45" s="65"/>
      <c r="AA45" s="70"/>
      <c r="AB45" s="71"/>
      <c r="AC45" s="56"/>
      <c r="AD45" s="56"/>
      <c r="AE45" s="64"/>
      <c r="AF45" s="64"/>
      <c r="AG45" s="55"/>
      <c r="AH45" s="68"/>
      <c r="AI45" s="54"/>
      <c r="AJ45" s="69"/>
      <c r="AK45" s="61"/>
      <c r="AL45" s="62"/>
      <c r="AM45" s="56"/>
      <c r="AN45" s="56"/>
      <c r="AO45" s="64"/>
      <c r="AP45" s="64"/>
      <c r="AQ45" s="55"/>
      <c r="AR45" s="68"/>
      <c r="AS45" s="54"/>
      <c r="AT45" s="69"/>
      <c r="AU45" s="61"/>
      <c r="AV45" s="62"/>
      <c r="AW45" s="56"/>
      <c r="AX45" s="56"/>
      <c r="AY45" s="64"/>
      <c r="AZ45" s="64"/>
      <c r="BA45" s="55"/>
      <c r="BB45" s="72"/>
      <c r="BC45" s="68"/>
      <c r="BD45" s="69"/>
      <c r="BE45" s="66"/>
      <c r="BF45" s="67"/>
      <c r="BG45" s="56"/>
      <c r="BH45" s="56"/>
      <c r="BI45" s="64"/>
      <c r="BJ45" s="64"/>
      <c r="BK45" s="57"/>
      <c r="BL45" s="73"/>
      <c r="BM45" s="70"/>
      <c r="BN45" s="74"/>
      <c r="BO45" s="75"/>
      <c r="BP45" s="66"/>
      <c r="BQ45" s="74"/>
    </row>
    <row r="46" spans="1:69" s="44" customFormat="1" ht="22.35" customHeight="1" x14ac:dyDescent="0.2">
      <c r="A46" s="100"/>
      <c r="B46" s="100"/>
      <c r="C46" s="100"/>
      <c r="D46" s="54"/>
      <c r="E46" s="55"/>
      <c r="F46" s="56"/>
      <c r="G46" s="56"/>
      <c r="H46" s="57"/>
      <c r="I46" s="58"/>
      <c r="J46" s="58"/>
      <c r="K46" s="55"/>
      <c r="L46" s="59"/>
      <c r="M46" s="59"/>
      <c r="N46" s="59"/>
      <c r="O46" s="54"/>
      <c r="P46" s="60"/>
      <c r="Q46" s="66"/>
      <c r="R46" s="67"/>
      <c r="S46" s="56"/>
      <c r="T46" s="56"/>
      <c r="U46" s="63"/>
      <c r="V46" s="64"/>
      <c r="W46" s="55"/>
      <c r="X46" s="63"/>
      <c r="Y46" s="54"/>
      <c r="Z46" s="65"/>
      <c r="AA46" s="76"/>
      <c r="AB46" s="59"/>
      <c r="AC46" s="56"/>
      <c r="AD46" s="56"/>
      <c r="AE46" s="64"/>
      <c r="AF46" s="64"/>
      <c r="AG46" s="55"/>
      <c r="AH46" s="68"/>
      <c r="AI46" s="54"/>
      <c r="AJ46" s="69"/>
      <c r="AK46" s="76"/>
      <c r="AL46" s="59"/>
      <c r="AM46" s="56"/>
      <c r="AN46" s="56"/>
      <c r="AO46" s="64"/>
      <c r="AP46" s="64"/>
      <c r="AQ46" s="55"/>
      <c r="AR46" s="68"/>
      <c r="AS46" s="54"/>
      <c r="AT46" s="69"/>
      <c r="AU46" s="61"/>
      <c r="AV46" s="62"/>
      <c r="AW46" s="56"/>
      <c r="AX46" s="56"/>
      <c r="AY46" s="64"/>
      <c r="AZ46" s="64"/>
      <c r="BA46" s="55"/>
      <c r="BB46" s="72"/>
      <c r="BC46" s="68"/>
      <c r="BD46" s="69"/>
      <c r="BE46" s="70"/>
      <c r="BF46" s="71"/>
      <c r="BG46" s="56"/>
      <c r="BH46" s="56"/>
      <c r="BI46" s="64"/>
      <c r="BJ46" s="64"/>
      <c r="BK46" s="57"/>
      <c r="BL46" s="73"/>
      <c r="BM46" s="76"/>
      <c r="BN46" s="74"/>
      <c r="BO46" s="75"/>
      <c r="BP46" s="66"/>
      <c r="BQ46" s="74"/>
    </row>
    <row r="47" spans="1:69" s="44" customFormat="1" ht="22.35" customHeight="1" x14ac:dyDescent="0.2">
      <c r="A47" s="100"/>
      <c r="B47" s="100"/>
      <c r="C47" s="100"/>
      <c r="D47" s="54"/>
      <c r="E47" s="55"/>
      <c r="F47" s="56"/>
      <c r="G47" s="56"/>
      <c r="H47" s="57"/>
      <c r="I47" s="58"/>
      <c r="J47" s="58"/>
      <c r="K47" s="55"/>
      <c r="L47" s="59"/>
      <c r="M47" s="59"/>
      <c r="N47" s="59"/>
      <c r="O47" s="54"/>
      <c r="P47" s="60"/>
      <c r="Q47" s="66"/>
      <c r="R47" s="67"/>
      <c r="S47" s="56"/>
      <c r="T47" s="56"/>
      <c r="U47" s="63"/>
      <c r="V47" s="64"/>
      <c r="W47" s="55"/>
      <c r="X47" s="63"/>
      <c r="Y47" s="54"/>
      <c r="Z47" s="65"/>
      <c r="AA47" s="76"/>
      <c r="AB47" s="59"/>
      <c r="AC47" s="56"/>
      <c r="AD47" s="56"/>
      <c r="AE47" s="64"/>
      <c r="AF47" s="64"/>
      <c r="AG47" s="55"/>
      <c r="AH47" s="68"/>
      <c r="AI47" s="54"/>
      <c r="AJ47" s="69"/>
      <c r="AK47" s="61"/>
      <c r="AL47" s="62"/>
      <c r="AM47" s="56"/>
      <c r="AN47" s="56"/>
      <c r="AO47" s="64"/>
      <c r="AP47" s="64"/>
      <c r="AQ47" s="55"/>
      <c r="AR47" s="68"/>
      <c r="AS47" s="54"/>
      <c r="AT47" s="69"/>
      <c r="AU47" s="61"/>
      <c r="AV47" s="62"/>
      <c r="AW47" s="56"/>
      <c r="AX47" s="56"/>
      <c r="AY47" s="64"/>
      <c r="AZ47" s="64"/>
      <c r="BA47" s="55"/>
      <c r="BB47" s="72"/>
      <c r="BC47" s="68"/>
      <c r="BD47" s="69"/>
      <c r="BE47" s="76"/>
      <c r="BF47" s="59"/>
      <c r="BG47" s="56"/>
      <c r="BH47" s="56"/>
      <c r="BI47" s="64"/>
      <c r="BJ47" s="64"/>
      <c r="BK47" s="57"/>
      <c r="BL47" s="73"/>
      <c r="BM47" s="76"/>
      <c r="BN47" s="74"/>
      <c r="BO47" s="75"/>
      <c r="BP47" s="66"/>
      <c r="BQ47" s="74"/>
    </row>
    <row r="48" spans="1:69" s="44" customFormat="1" ht="22.35" customHeight="1" x14ac:dyDescent="0.2">
      <c r="A48" s="100"/>
      <c r="B48" s="100"/>
      <c r="C48" s="100"/>
      <c r="D48" s="54"/>
      <c r="E48" s="55"/>
      <c r="F48" s="56"/>
      <c r="G48" s="56"/>
      <c r="H48" s="57"/>
      <c r="I48" s="58"/>
      <c r="J48" s="58"/>
      <c r="K48" s="55"/>
      <c r="L48" s="59"/>
      <c r="M48" s="59"/>
      <c r="N48" s="59"/>
      <c r="O48" s="54"/>
      <c r="P48" s="60"/>
      <c r="Q48" s="66"/>
      <c r="R48" s="67"/>
      <c r="S48" s="56"/>
      <c r="T48" s="56"/>
      <c r="U48" s="63"/>
      <c r="V48" s="64"/>
      <c r="W48" s="55"/>
      <c r="X48" s="63"/>
      <c r="Y48" s="54"/>
      <c r="Z48" s="65"/>
      <c r="AA48" s="76"/>
      <c r="AB48" s="59"/>
      <c r="AC48" s="56"/>
      <c r="AD48" s="56"/>
      <c r="AE48" s="64"/>
      <c r="AF48" s="64"/>
      <c r="AG48" s="55"/>
      <c r="AH48" s="68"/>
      <c r="AI48" s="54"/>
      <c r="AJ48" s="69"/>
      <c r="AK48" s="76"/>
      <c r="AL48" s="59"/>
      <c r="AM48" s="56"/>
      <c r="AN48" s="56"/>
      <c r="AO48" s="64"/>
      <c r="AP48" s="64"/>
      <c r="AQ48" s="55"/>
      <c r="AR48" s="68"/>
      <c r="AS48" s="54"/>
      <c r="AT48" s="69"/>
      <c r="AU48" s="66"/>
      <c r="AV48" s="67"/>
      <c r="AW48" s="56"/>
      <c r="AX48" s="56"/>
      <c r="AY48" s="64"/>
      <c r="AZ48" s="64"/>
      <c r="BA48" s="55"/>
      <c r="BB48" s="72"/>
      <c r="BC48" s="68"/>
      <c r="BD48" s="69"/>
      <c r="BE48" s="66"/>
      <c r="BF48" s="67"/>
      <c r="BG48" s="56"/>
      <c r="BH48" s="56"/>
      <c r="BI48" s="64"/>
      <c r="BJ48" s="64"/>
      <c r="BK48" s="57"/>
      <c r="BL48" s="73"/>
      <c r="BM48" s="61"/>
      <c r="BN48" s="74"/>
      <c r="BO48" s="75"/>
      <c r="BP48" s="66"/>
      <c r="BQ48" s="74"/>
    </row>
    <row r="49" spans="1:69" s="44" customFormat="1" ht="22.35" customHeight="1" x14ac:dyDescent="0.2">
      <c r="A49" s="100"/>
      <c r="B49" s="100"/>
      <c r="C49" s="100"/>
      <c r="D49" s="54"/>
      <c r="E49" s="55"/>
      <c r="F49" s="56"/>
      <c r="G49" s="56"/>
      <c r="H49" s="57"/>
      <c r="I49" s="58"/>
      <c r="J49" s="58"/>
      <c r="K49" s="55"/>
      <c r="L49" s="59"/>
      <c r="M49" s="59"/>
      <c r="N49" s="59"/>
      <c r="O49" s="54"/>
      <c r="P49" s="60"/>
      <c r="Q49" s="66"/>
      <c r="R49" s="67"/>
      <c r="S49" s="56"/>
      <c r="T49" s="56"/>
      <c r="U49" s="63"/>
      <c r="V49" s="64"/>
      <c r="W49" s="55"/>
      <c r="X49" s="63"/>
      <c r="Y49" s="54"/>
      <c r="Z49" s="65"/>
      <c r="AA49" s="76"/>
      <c r="AB49" s="59"/>
      <c r="AC49" s="56"/>
      <c r="AD49" s="56"/>
      <c r="AE49" s="64"/>
      <c r="AF49" s="64"/>
      <c r="AG49" s="55"/>
      <c r="AH49" s="68"/>
      <c r="AI49" s="54"/>
      <c r="AJ49" s="69"/>
      <c r="AK49" s="61"/>
      <c r="AL49" s="62"/>
      <c r="AM49" s="56"/>
      <c r="AN49" s="56"/>
      <c r="AO49" s="64"/>
      <c r="AP49" s="64"/>
      <c r="AQ49" s="55"/>
      <c r="AR49" s="68"/>
      <c r="AS49" s="54"/>
      <c r="AT49" s="69"/>
      <c r="AU49" s="61"/>
      <c r="AV49" s="62"/>
      <c r="AW49" s="56"/>
      <c r="AX49" s="56"/>
      <c r="AY49" s="64"/>
      <c r="AZ49" s="64"/>
      <c r="BA49" s="55"/>
      <c r="BB49" s="72"/>
      <c r="BC49" s="68"/>
      <c r="BD49" s="69"/>
      <c r="BE49" s="76"/>
      <c r="BF49" s="59"/>
      <c r="BG49" s="56"/>
      <c r="BH49" s="56"/>
      <c r="BI49" s="64"/>
      <c r="BJ49" s="64"/>
      <c r="BK49" s="57"/>
      <c r="BL49" s="73"/>
      <c r="BM49" s="61"/>
      <c r="BN49" s="74"/>
      <c r="BO49" s="75"/>
      <c r="BP49" s="66"/>
      <c r="BQ49" s="74"/>
    </row>
    <row r="50" spans="1:69" s="44" customFormat="1" ht="22.35" customHeight="1" x14ac:dyDescent="0.2">
      <c r="A50" s="100"/>
      <c r="B50" s="100"/>
      <c r="C50" s="100"/>
      <c r="D50" s="54"/>
      <c r="E50" s="55"/>
      <c r="F50" s="56"/>
      <c r="G50" s="56"/>
      <c r="H50" s="57"/>
      <c r="I50" s="58"/>
      <c r="J50" s="58"/>
      <c r="K50" s="55"/>
      <c r="L50" s="59"/>
      <c r="M50" s="59"/>
      <c r="N50" s="59"/>
      <c r="O50" s="54"/>
      <c r="P50" s="60"/>
      <c r="Q50" s="66"/>
      <c r="R50" s="67"/>
      <c r="S50" s="56"/>
      <c r="T50" s="56"/>
      <c r="U50" s="63"/>
      <c r="V50" s="64"/>
      <c r="W50" s="55"/>
      <c r="X50" s="63"/>
      <c r="Y50" s="54"/>
      <c r="Z50" s="65"/>
      <c r="AA50" s="61"/>
      <c r="AB50" s="62"/>
      <c r="AC50" s="56"/>
      <c r="AD50" s="56"/>
      <c r="AE50" s="64"/>
      <c r="AF50" s="64"/>
      <c r="AG50" s="55"/>
      <c r="AH50" s="68"/>
      <c r="AI50" s="54"/>
      <c r="AJ50" s="69"/>
      <c r="AK50" s="61"/>
      <c r="AL50" s="62"/>
      <c r="AM50" s="56"/>
      <c r="AN50" s="56"/>
      <c r="AO50" s="64"/>
      <c r="AP50" s="64"/>
      <c r="AQ50" s="55"/>
      <c r="AR50" s="68"/>
      <c r="AS50" s="54"/>
      <c r="AT50" s="69"/>
      <c r="AU50" s="61"/>
      <c r="AV50" s="62"/>
      <c r="AW50" s="56"/>
      <c r="AX50" s="56"/>
      <c r="AY50" s="64"/>
      <c r="AZ50" s="64"/>
      <c r="BA50" s="55"/>
      <c r="BB50" s="72"/>
      <c r="BC50" s="68"/>
      <c r="BD50" s="69"/>
      <c r="BE50" s="61"/>
      <c r="BF50" s="62"/>
      <c r="BG50" s="56"/>
      <c r="BH50" s="56"/>
      <c r="BI50" s="64"/>
      <c r="BJ50" s="64"/>
      <c r="BK50" s="57"/>
      <c r="BL50" s="73"/>
      <c r="BM50" s="61"/>
      <c r="BN50" s="74"/>
      <c r="BO50" s="75"/>
      <c r="BP50" s="66"/>
      <c r="BQ50" s="74"/>
    </row>
    <row r="51" spans="1:69" s="44" customFormat="1" ht="22.35" customHeight="1" x14ac:dyDescent="0.2">
      <c r="A51" s="100"/>
      <c r="B51" s="100"/>
      <c r="C51" s="100"/>
      <c r="D51" s="54"/>
      <c r="E51" s="55"/>
      <c r="F51" s="56"/>
      <c r="G51" s="56"/>
      <c r="H51" s="57"/>
      <c r="I51" s="58"/>
      <c r="J51" s="58"/>
      <c r="K51" s="55"/>
      <c r="L51" s="59"/>
      <c r="M51" s="59"/>
      <c r="N51" s="59"/>
      <c r="O51" s="54"/>
      <c r="P51" s="60"/>
      <c r="Q51" s="66"/>
      <c r="R51" s="67"/>
      <c r="S51" s="56"/>
      <c r="T51" s="56"/>
      <c r="U51" s="63"/>
      <c r="V51" s="64"/>
      <c r="W51" s="55"/>
      <c r="X51" s="63"/>
      <c r="Y51" s="54"/>
      <c r="Z51" s="65"/>
      <c r="AA51" s="76"/>
      <c r="AB51" s="59"/>
      <c r="AC51" s="56"/>
      <c r="AD51" s="56"/>
      <c r="AE51" s="64"/>
      <c r="AF51" s="64"/>
      <c r="AG51" s="55"/>
      <c r="AH51" s="68"/>
      <c r="AI51" s="54"/>
      <c r="AJ51" s="69"/>
      <c r="AK51" s="70"/>
      <c r="AL51" s="71"/>
      <c r="AM51" s="56"/>
      <c r="AN51" s="56"/>
      <c r="AO51" s="64"/>
      <c r="AP51" s="64"/>
      <c r="AQ51" s="55"/>
      <c r="AR51" s="68"/>
      <c r="AS51" s="54"/>
      <c r="AT51" s="69"/>
      <c r="AU51" s="61"/>
      <c r="AV51" s="62"/>
      <c r="AW51" s="56"/>
      <c r="AX51" s="56"/>
      <c r="AY51" s="64"/>
      <c r="AZ51" s="64"/>
      <c r="BA51" s="55"/>
      <c r="BB51" s="72"/>
      <c r="BC51" s="68"/>
      <c r="BD51" s="69"/>
      <c r="BE51" s="66"/>
      <c r="BF51" s="67"/>
      <c r="BG51" s="56"/>
      <c r="BH51" s="56"/>
      <c r="BI51" s="64"/>
      <c r="BJ51" s="64"/>
      <c r="BK51" s="57"/>
      <c r="BL51" s="73"/>
      <c r="BM51" s="76"/>
      <c r="BN51" s="74"/>
      <c r="BO51" s="75"/>
      <c r="BP51" s="66"/>
      <c r="BQ51" s="74"/>
    </row>
    <row r="52" spans="1:69" s="44" customFormat="1" ht="22.35" customHeight="1" x14ac:dyDescent="0.2">
      <c r="A52" s="100"/>
      <c r="B52" s="100"/>
      <c r="C52" s="100"/>
      <c r="D52" s="54"/>
      <c r="E52" s="55"/>
      <c r="F52" s="56"/>
      <c r="G52" s="56"/>
      <c r="H52" s="57"/>
      <c r="I52" s="58"/>
      <c r="J52" s="58"/>
      <c r="K52" s="55"/>
      <c r="L52" s="59"/>
      <c r="M52" s="59"/>
      <c r="N52" s="59"/>
      <c r="O52" s="54"/>
      <c r="P52" s="60"/>
      <c r="Q52" s="66"/>
      <c r="R52" s="67"/>
      <c r="S52" s="56"/>
      <c r="T52" s="56"/>
      <c r="U52" s="63"/>
      <c r="V52" s="64"/>
      <c r="W52" s="55"/>
      <c r="X52" s="63"/>
      <c r="Y52" s="54"/>
      <c r="Z52" s="65"/>
      <c r="AA52" s="70"/>
      <c r="AB52" s="71"/>
      <c r="AC52" s="56"/>
      <c r="AD52" s="56"/>
      <c r="AE52" s="64"/>
      <c r="AF52" s="64"/>
      <c r="AG52" s="55"/>
      <c r="AH52" s="68"/>
      <c r="AI52" s="54"/>
      <c r="AJ52" s="69"/>
      <c r="AK52" s="76"/>
      <c r="AL52" s="59"/>
      <c r="AM52" s="56"/>
      <c r="AN52" s="56"/>
      <c r="AO52" s="64"/>
      <c r="AP52" s="64"/>
      <c r="AQ52" s="55"/>
      <c r="AR52" s="68"/>
      <c r="AS52" s="54"/>
      <c r="AT52" s="69"/>
      <c r="AU52" s="61"/>
      <c r="AV52" s="62"/>
      <c r="AW52" s="56"/>
      <c r="AX52" s="56"/>
      <c r="AY52" s="64"/>
      <c r="AZ52" s="64"/>
      <c r="BA52" s="55"/>
      <c r="BB52" s="72"/>
      <c r="BC52" s="68"/>
      <c r="BD52" s="69"/>
      <c r="BE52" s="70"/>
      <c r="BF52" s="71"/>
      <c r="BG52" s="56"/>
      <c r="BH52" s="56"/>
      <c r="BI52" s="64"/>
      <c r="BJ52" s="64"/>
      <c r="BK52" s="57"/>
      <c r="BL52" s="73"/>
      <c r="BM52" s="76"/>
      <c r="BN52" s="74"/>
      <c r="BO52" s="75"/>
      <c r="BP52" s="66"/>
      <c r="BQ52" s="74"/>
    </row>
    <row r="53" spans="1:69" s="44" customFormat="1" ht="22.35" customHeight="1" x14ac:dyDescent="0.2">
      <c r="A53" s="100"/>
      <c r="B53" s="100"/>
      <c r="C53" s="100"/>
      <c r="D53" s="54"/>
      <c r="E53" s="55"/>
      <c r="F53" s="56"/>
      <c r="G53" s="56"/>
      <c r="H53" s="57"/>
      <c r="I53" s="58"/>
      <c r="J53" s="58"/>
      <c r="K53" s="55"/>
      <c r="L53" s="59"/>
      <c r="M53" s="59"/>
      <c r="N53" s="59"/>
      <c r="O53" s="54"/>
      <c r="P53" s="60"/>
      <c r="Q53" s="66"/>
      <c r="R53" s="67"/>
      <c r="S53" s="56"/>
      <c r="T53" s="56"/>
      <c r="U53" s="63"/>
      <c r="V53" s="64"/>
      <c r="W53" s="55"/>
      <c r="X53" s="63"/>
      <c r="Y53" s="54"/>
      <c r="Z53" s="65"/>
      <c r="AA53" s="76"/>
      <c r="AB53" s="59"/>
      <c r="AC53" s="56"/>
      <c r="AD53" s="56"/>
      <c r="AE53" s="64"/>
      <c r="AF53" s="64"/>
      <c r="AG53" s="55"/>
      <c r="AH53" s="68"/>
      <c r="AI53" s="54"/>
      <c r="AJ53" s="69"/>
      <c r="AK53" s="61"/>
      <c r="AL53" s="62"/>
      <c r="AM53" s="56"/>
      <c r="AN53" s="56"/>
      <c r="AO53" s="64"/>
      <c r="AP53" s="64"/>
      <c r="AQ53" s="55"/>
      <c r="AR53" s="68"/>
      <c r="AS53" s="54"/>
      <c r="AT53" s="69"/>
      <c r="AU53" s="61"/>
      <c r="AV53" s="62"/>
      <c r="AW53" s="56"/>
      <c r="AX53" s="56"/>
      <c r="AY53" s="64"/>
      <c r="AZ53" s="64"/>
      <c r="BA53" s="55"/>
      <c r="BB53" s="72"/>
      <c r="BC53" s="68"/>
      <c r="BD53" s="69"/>
      <c r="BE53" s="70"/>
      <c r="BF53" s="71"/>
      <c r="BG53" s="56"/>
      <c r="BH53" s="56"/>
      <c r="BI53" s="64"/>
      <c r="BJ53" s="64"/>
      <c r="BK53" s="57"/>
      <c r="BL53" s="73"/>
      <c r="BM53" s="76"/>
      <c r="BN53" s="74"/>
      <c r="BO53" s="75"/>
      <c r="BP53" s="66"/>
      <c r="BQ53" s="74"/>
    </row>
    <row r="54" spans="1:69" s="44" customFormat="1" ht="22.35" customHeight="1" x14ac:dyDescent="0.2">
      <c r="A54" s="100"/>
      <c r="B54" s="100"/>
      <c r="C54" s="100"/>
      <c r="D54" s="54"/>
      <c r="E54" s="55"/>
      <c r="F54" s="56"/>
      <c r="G54" s="56"/>
      <c r="H54" s="57"/>
      <c r="I54" s="58"/>
      <c r="J54" s="58"/>
      <c r="K54" s="55"/>
      <c r="L54" s="59"/>
      <c r="M54" s="59"/>
      <c r="N54" s="59"/>
      <c r="O54" s="54"/>
      <c r="P54" s="60"/>
      <c r="Q54" s="66"/>
      <c r="R54" s="67"/>
      <c r="S54" s="56"/>
      <c r="T54" s="56"/>
      <c r="U54" s="63"/>
      <c r="V54" s="64"/>
      <c r="W54" s="55"/>
      <c r="X54" s="63"/>
      <c r="Y54" s="54"/>
      <c r="Z54" s="65"/>
      <c r="AA54" s="66"/>
      <c r="AB54" s="67"/>
      <c r="AC54" s="56"/>
      <c r="AD54" s="56"/>
      <c r="AE54" s="64"/>
      <c r="AF54" s="64"/>
      <c r="AG54" s="55"/>
      <c r="AH54" s="68"/>
      <c r="AI54" s="54"/>
      <c r="AJ54" s="69"/>
      <c r="AK54" s="70"/>
      <c r="AL54" s="71"/>
      <c r="AM54" s="56"/>
      <c r="AN54" s="56"/>
      <c r="AO54" s="64"/>
      <c r="AP54" s="64"/>
      <c r="AQ54" s="55"/>
      <c r="AR54" s="68"/>
      <c r="AS54" s="54"/>
      <c r="AT54" s="69"/>
      <c r="AU54" s="61"/>
      <c r="AV54" s="62"/>
      <c r="AW54" s="56"/>
      <c r="AX54" s="56"/>
      <c r="AY54" s="64"/>
      <c r="AZ54" s="64"/>
      <c r="BA54" s="55"/>
      <c r="BB54" s="72"/>
      <c r="BC54" s="68"/>
      <c r="BD54" s="69"/>
      <c r="BE54" s="70"/>
      <c r="BF54" s="71"/>
      <c r="BG54" s="56"/>
      <c r="BH54" s="56"/>
      <c r="BI54" s="64"/>
      <c r="BJ54" s="64"/>
      <c r="BK54" s="57"/>
      <c r="BL54" s="73"/>
      <c r="BM54" s="76"/>
      <c r="BN54" s="74"/>
      <c r="BO54" s="75"/>
      <c r="BP54" s="66"/>
      <c r="BQ54" s="74"/>
    </row>
    <row r="55" spans="1:69" s="44" customFormat="1" ht="22.35" customHeight="1" x14ac:dyDescent="0.2">
      <c r="A55" s="100"/>
      <c r="B55" s="100"/>
      <c r="C55" s="100"/>
      <c r="D55" s="54"/>
      <c r="E55" s="55"/>
      <c r="F55" s="56"/>
      <c r="G55" s="56"/>
      <c r="H55" s="57"/>
      <c r="I55" s="58"/>
      <c r="J55" s="58"/>
      <c r="K55" s="55"/>
      <c r="L55" s="59"/>
      <c r="M55" s="59"/>
      <c r="N55" s="59"/>
      <c r="O55" s="54"/>
      <c r="P55" s="60"/>
      <c r="Q55" s="66"/>
      <c r="R55" s="67"/>
      <c r="S55" s="56"/>
      <c r="T55" s="56"/>
      <c r="U55" s="63"/>
      <c r="V55" s="64"/>
      <c r="W55" s="55"/>
      <c r="X55" s="63"/>
      <c r="Y55" s="54"/>
      <c r="Z55" s="65"/>
      <c r="AA55" s="61"/>
      <c r="AB55" s="62"/>
      <c r="AC55" s="56"/>
      <c r="AD55" s="56"/>
      <c r="AE55" s="64"/>
      <c r="AF55" s="64"/>
      <c r="AG55" s="55"/>
      <c r="AH55" s="68"/>
      <c r="AI55" s="54"/>
      <c r="AJ55" s="69"/>
      <c r="AK55" s="61"/>
      <c r="AL55" s="62"/>
      <c r="AM55" s="56"/>
      <c r="AN55" s="56"/>
      <c r="AO55" s="64"/>
      <c r="AP55" s="64"/>
      <c r="AQ55" s="55"/>
      <c r="AR55" s="68"/>
      <c r="AS55" s="54"/>
      <c r="AT55" s="69"/>
      <c r="AU55" s="61"/>
      <c r="AV55" s="62"/>
      <c r="AW55" s="56"/>
      <c r="AX55" s="56"/>
      <c r="AY55" s="64"/>
      <c r="AZ55" s="64"/>
      <c r="BA55" s="55"/>
      <c r="BB55" s="72"/>
      <c r="BC55" s="68"/>
      <c r="BD55" s="69"/>
      <c r="BE55" s="76"/>
      <c r="BF55" s="59"/>
      <c r="BG55" s="56"/>
      <c r="BH55" s="56"/>
      <c r="BI55" s="64"/>
      <c r="BJ55" s="64"/>
      <c r="BK55" s="57"/>
      <c r="BL55" s="73"/>
      <c r="BM55" s="76"/>
      <c r="BN55" s="74"/>
      <c r="BO55" s="75"/>
      <c r="BP55" s="66"/>
      <c r="BQ55" s="74"/>
    </row>
    <row r="56" spans="1:69" s="44" customFormat="1" ht="22.35" customHeight="1" x14ac:dyDescent="0.2">
      <c r="A56" s="100"/>
      <c r="B56" s="100"/>
      <c r="C56" s="100"/>
      <c r="D56" s="54"/>
      <c r="E56" s="55"/>
      <c r="F56" s="56"/>
      <c r="G56" s="56"/>
      <c r="H56" s="57"/>
      <c r="I56" s="58"/>
      <c r="J56" s="58"/>
      <c r="K56" s="55"/>
      <c r="L56" s="59"/>
      <c r="M56" s="59"/>
      <c r="N56" s="59"/>
      <c r="O56" s="54"/>
      <c r="P56" s="60"/>
      <c r="Q56" s="66"/>
      <c r="R56" s="67"/>
      <c r="S56" s="56"/>
      <c r="T56" s="56"/>
      <c r="U56" s="63"/>
      <c r="V56" s="64"/>
      <c r="W56" s="55"/>
      <c r="X56" s="63"/>
      <c r="Y56" s="54"/>
      <c r="Z56" s="65"/>
      <c r="AA56" s="76"/>
      <c r="AB56" s="59"/>
      <c r="AC56" s="56"/>
      <c r="AD56" s="56"/>
      <c r="AE56" s="64"/>
      <c r="AF56" s="64"/>
      <c r="AG56" s="55"/>
      <c r="AH56" s="68"/>
      <c r="AI56" s="54"/>
      <c r="AJ56" s="69"/>
      <c r="AK56" s="61"/>
      <c r="AL56" s="62"/>
      <c r="AM56" s="56"/>
      <c r="AN56" s="56"/>
      <c r="AO56" s="64"/>
      <c r="AP56" s="64"/>
      <c r="AQ56" s="55"/>
      <c r="AR56" s="68"/>
      <c r="AS56" s="54"/>
      <c r="AT56" s="69"/>
      <c r="AU56" s="61"/>
      <c r="AV56" s="62"/>
      <c r="AW56" s="56"/>
      <c r="AX56" s="56"/>
      <c r="AY56" s="64"/>
      <c r="AZ56" s="64"/>
      <c r="BA56" s="55"/>
      <c r="BB56" s="72"/>
      <c r="BC56" s="68"/>
      <c r="BD56" s="69"/>
      <c r="BE56" s="70"/>
      <c r="BF56" s="71"/>
      <c r="BG56" s="56"/>
      <c r="BH56" s="56"/>
      <c r="BI56" s="64"/>
      <c r="BJ56" s="64"/>
      <c r="BK56" s="57"/>
      <c r="BL56" s="73"/>
      <c r="BM56" s="76"/>
      <c r="BN56" s="74"/>
      <c r="BO56" s="75"/>
      <c r="BP56" s="66"/>
      <c r="BQ56" s="74"/>
    </row>
    <row r="57" spans="1:69" s="44" customFormat="1" ht="22.35" customHeight="1" x14ac:dyDescent="0.2">
      <c r="A57" s="100"/>
      <c r="B57" s="100"/>
      <c r="C57" s="100"/>
      <c r="D57" s="54"/>
      <c r="E57" s="55"/>
      <c r="F57" s="56"/>
      <c r="G57" s="56"/>
      <c r="H57" s="57"/>
      <c r="I57" s="58"/>
      <c r="J57" s="58"/>
      <c r="K57" s="55"/>
      <c r="L57" s="59"/>
      <c r="M57" s="59"/>
      <c r="N57" s="59"/>
      <c r="O57" s="54"/>
      <c r="P57" s="60"/>
      <c r="Q57" s="66"/>
      <c r="R57" s="67"/>
      <c r="S57" s="56"/>
      <c r="T57" s="56"/>
      <c r="U57" s="63"/>
      <c r="V57" s="64"/>
      <c r="W57" s="55"/>
      <c r="X57" s="63"/>
      <c r="Y57" s="54"/>
      <c r="Z57" s="65"/>
      <c r="AA57" s="66"/>
      <c r="AB57" s="67"/>
      <c r="AC57" s="56"/>
      <c r="AD57" s="56"/>
      <c r="AE57" s="64"/>
      <c r="AF57" s="64"/>
      <c r="AG57" s="55"/>
      <c r="AH57" s="68"/>
      <c r="AI57" s="54"/>
      <c r="AJ57" s="69"/>
      <c r="AK57" s="70"/>
      <c r="AL57" s="71"/>
      <c r="AM57" s="56"/>
      <c r="AN57" s="56"/>
      <c r="AO57" s="64"/>
      <c r="AP57" s="64"/>
      <c r="AQ57" s="55"/>
      <c r="AR57" s="68"/>
      <c r="AS57" s="54"/>
      <c r="AT57" s="69"/>
      <c r="AU57" s="66"/>
      <c r="AV57" s="67"/>
      <c r="AW57" s="56"/>
      <c r="AX57" s="56"/>
      <c r="AY57" s="64"/>
      <c r="AZ57" s="64"/>
      <c r="BA57" s="55"/>
      <c r="BB57" s="72"/>
      <c r="BC57" s="68"/>
      <c r="BD57" s="69"/>
      <c r="BE57" s="66"/>
      <c r="BF57" s="67"/>
      <c r="BG57" s="56"/>
      <c r="BH57" s="56"/>
      <c r="BI57" s="64"/>
      <c r="BJ57" s="64"/>
      <c r="BK57" s="57"/>
      <c r="BL57" s="73"/>
      <c r="BM57" s="76"/>
      <c r="BN57" s="74"/>
      <c r="BO57" s="75"/>
      <c r="BP57" s="66"/>
      <c r="BQ57" s="74"/>
    </row>
    <row r="58" spans="1:69" s="44" customFormat="1" ht="22.35" customHeight="1" x14ac:dyDescent="0.2">
      <c r="A58" s="100"/>
      <c r="B58" s="100"/>
      <c r="C58" s="100"/>
      <c r="D58" s="54"/>
      <c r="E58" s="55"/>
      <c r="F58" s="56"/>
      <c r="G58" s="56"/>
      <c r="H58" s="57"/>
      <c r="I58" s="58"/>
      <c r="J58" s="58"/>
      <c r="K58" s="55"/>
      <c r="L58" s="59"/>
      <c r="M58" s="59"/>
      <c r="N58" s="59"/>
      <c r="O58" s="54"/>
      <c r="P58" s="60"/>
      <c r="Q58" s="66"/>
      <c r="R58" s="67"/>
      <c r="S58" s="56"/>
      <c r="T58" s="56"/>
      <c r="U58" s="63"/>
      <c r="V58" s="64"/>
      <c r="W58" s="55"/>
      <c r="X58" s="63"/>
      <c r="Y58" s="54"/>
      <c r="Z58" s="65"/>
      <c r="AA58" s="61"/>
      <c r="AB58" s="62"/>
      <c r="AC58" s="56"/>
      <c r="AD58" s="56"/>
      <c r="AE58" s="64"/>
      <c r="AF58" s="64"/>
      <c r="AG58" s="55"/>
      <c r="AH58" s="68"/>
      <c r="AI58" s="54"/>
      <c r="AJ58" s="69"/>
      <c r="AK58" s="61"/>
      <c r="AL58" s="62"/>
      <c r="AM58" s="56"/>
      <c r="AN58" s="56"/>
      <c r="AO58" s="64"/>
      <c r="AP58" s="64"/>
      <c r="AQ58" s="55"/>
      <c r="AR58" s="68"/>
      <c r="AS58" s="54"/>
      <c r="AT58" s="69"/>
      <c r="AU58" s="61"/>
      <c r="AV58" s="62"/>
      <c r="AW58" s="56"/>
      <c r="AX58" s="56"/>
      <c r="AY58" s="64"/>
      <c r="AZ58" s="64"/>
      <c r="BA58" s="55"/>
      <c r="BB58" s="72"/>
      <c r="BC58" s="68"/>
      <c r="BD58" s="69"/>
      <c r="BE58" s="70"/>
      <c r="BF58" s="71"/>
      <c r="BG58" s="56"/>
      <c r="BH58" s="56"/>
      <c r="BI58" s="64"/>
      <c r="BJ58" s="64"/>
      <c r="BK58" s="57"/>
      <c r="BL58" s="73"/>
      <c r="BM58" s="61"/>
      <c r="BN58" s="74"/>
      <c r="BO58" s="75"/>
      <c r="BP58" s="66"/>
      <c r="BQ58" s="74"/>
    </row>
    <row r="59" spans="1:69" s="44" customFormat="1" ht="22.35" customHeight="1" x14ac:dyDescent="0.2">
      <c r="A59" s="100"/>
      <c r="B59" s="100"/>
      <c r="C59" s="100"/>
      <c r="D59" s="54"/>
      <c r="E59" s="55"/>
      <c r="F59" s="56"/>
      <c r="G59" s="56"/>
      <c r="H59" s="57"/>
      <c r="I59" s="58"/>
      <c r="J59" s="58"/>
      <c r="K59" s="55"/>
      <c r="L59" s="59"/>
      <c r="M59" s="59"/>
      <c r="N59" s="59"/>
      <c r="O59" s="54"/>
      <c r="P59" s="60"/>
      <c r="Q59" s="66"/>
      <c r="R59" s="67"/>
      <c r="S59" s="56"/>
      <c r="T59" s="56"/>
      <c r="U59" s="63"/>
      <c r="V59" s="64"/>
      <c r="W59" s="55"/>
      <c r="X59" s="63"/>
      <c r="Y59" s="54"/>
      <c r="Z59" s="65"/>
      <c r="AA59" s="76"/>
      <c r="AB59" s="59"/>
      <c r="AC59" s="56"/>
      <c r="AD59" s="56"/>
      <c r="AE59" s="64"/>
      <c r="AF59" s="64"/>
      <c r="AG59" s="55"/>
      <c r="AH59" s="68"/>
      <c r="AI59" s="54"/>
      <c r="AJ59" s="69"/>
      <c r="AK59" s="61"/>
      <c r="AL59" s="62"/>
      <c r="AM59" s="56"/>
      <c r="AN59" s="56"/>
      <c r="AO59" s="64"/>
      <c r="AP59" s="64"/>
      <c r="AQ59" s="55"/>
      <c r="AR59" s="68"/>
      <c r="AS59" s="54"/>
      <c r="AT59" s="69"/>
      <c r="AU59" s="61"/>
      <c r="AV59" s="62"/>
      <c r="AW59" s="56"/>
      <c r="AX59" s="56"/>
      <c r="AY59" s="64"/>
      <c r="AZ59" s="64"/>
      <c r="BA59" s="55"/>
      <c r="BB59" s="72"/>
      <c r="BC59" s="68"/>
      <c r="BD59" s="69"/>
      <c r="BE59" s="76"/>
      <c r="BF59" s="59"/>
      <c r="BG59" s="56"/>
      <c r="BH59" s="56"/>
      <c r="BI59" s="64"/>
      <c r="BJ59" s="64"/>
      <c r="BK59" s="57"/>
      <c r="BL59" s="73"/>
      <c r="BM59" s="76"/>
      <c r="BN59" s="74"/>
      <c r="BO59" s="75"/>
      <c r="BP59" s="66"/>
      <c r="BQ59" s="74"/>
    </row>
    <row r="60" spans="1:69" s="44" customFormat="1" ht="22.35" customHeight="1" x14ac:dyDescent="0.2">
      <c r="A60" s="100"/>
      <c r="B60" s="100"/>
      <c r="C60" s="100"/>
      <c r="D60" s="54"/>
      <c r="E60" s="55"/>
      <c r="F60" s="56"/>
      <c r="G60" s="56"/>
      <c r="H60" s="57"/>
      <c r="I60" s="58"/>
      <c r="J60" s="58"/>
      <c r="K60" s="55"/>
      <c r="L60" s="59"/>
      <c r="M60" s="59"/>
      <c r="N60" s="59"/>
      <c r="O60" s="54"/>
      <c r="P60" s="60"/>
      <c r="Q60" s="66"/>
      <c r="R60" s="67"/>
      <c r="S60" s="56"/>
      <c r="T60" s="56"/>
      <c r="U60" s="63"/>
      <c r="V60" s="64"/>
      <c r="W60" s="55"/>
      <c r="X60" s="63"/>
      <c r="Y60" s="54"/>
      <c r="Z60" s="65"/>
      <c r="AA60" s="66"/>
      <c r="AB60" s="67"/>
      <c r="AC60" s="56"/>
      <c r="AD60" s="56"/>
      <c r="AE60" s="64"/>
      <c r="AF60" s="64"/>
      <c r="AG60" s="55"/>
      <c r="AH60" s="68"/>
      <c r="AI60" s="54"/>
      <c r="AJ60" s="69"/>
      <c r="AK60" s="76"/>
      <c r="AL60" s="59"/>
      <c r="AM60" s="56"/>
      <c r="AN60" s="56"/>
      <c r="AO60" s="64"/>
      <c r="AP60" s="64"/>
      <c r="AQ60" s="55"/>
      <c r="AR60" s="68"/>
      <c r="AS60" s="54"/>
      <c r="AT60" s="69"/>
      <c r="AU60" s="61"/>
      <c r="AV60" s="62"/>
      <c r="AW60" s="56"/>
      <c r="AX60" s="56"/>
      <c r="AY60" s="64"/>
      <c r="AZ60" s="64"/>
      <c r="BA60" s="55"/>
      <c r="BB60" s="72"/>
      <c r="BC60" s="68"/>
      <c r="BD60" s="69"/>
      <c r="BE60" s="66"/>
      <c r="BF60" s="67"/>
      <c r="BG60" s="56"/>
      <c r="BH60" s="56"/>
      <c r="BI60" s="64"/>
      <c r="BJ60" s="64"/>
      <c r="BK60" s="57"/>
      <c r="BL60" s="73"/>
      <c r="BM60" s="76"/>
      <c r="BN60" s="74"/>
      <c r="BO60" s="75"/>
      <c r="BP60" s="66"/>
      <c r="BQ60" s="74"/>
    </row>
    <row r="61" spans="1:69" s="44" customFormat="1" ht="22.35" customHeight="1" x14ac:dyDescent="0.2">
      <c r="A61" s="100"/>
      <c r="B61" s="100"/>
      <c r="C61" s="100"/>
      <c r="D61" s="54"/>
      <c r="E61" s="55"/>
      <c r="F61" s="56"/>
      <c r="G61" s="56"/>
      <c r="H61" s="57"/>
      <c r="I61" s="58"/>
      <c r="J61" s="58"/>
      <c r="K61" s="55"/>
      <c r="L61" s="59"/>
      <c r="M61" s="59"/>
      <c r="N61" s="59"/>
      <c r="O61" s="54"/>
      <c r="P61" s="60"/>
      <c r="Q61" s="66"/>
      <c r="R61" s="67"/>
      <c r="S61" s="56"/>
      <c r="T61" s="56"/>
      <c r="U61" s="63"/>
      <c r="V61" s="64"/>
      <c r="W61" s="55"/>
      <c r="X61" s="63"/>
      <c r="Y61" s="54"/>
      <c r="Z61" s="65"/>
      <c r="AA61" s="70"/>
      <c r="AB61" s="71"/>
      <c r="AC61" s="56"/>
      <c r="AD61" s="56"/>
      <c r="AE61" s="64"/>
      <c r="AF61" s="64"/>
      <c r="AG61" s="55"/>
      <c r="AH61" s="68"/>
      <c r="AI61" s="54"/>
      <c r="AJ61" s="69"/>
      <c r="AK61" s="76"/>
      <c r="AL61" s="59"/>
      <c r="AM61" s="56"/>
      <c r="AN61" s="56"/>
      <c r="AO61" s="64"/>
      <c r="AP61" s="64"/>
      <c r="AQ61" s="55"/>
      <c r="AR61" s="68"/>
      <c r="AS61" s="54"/>
      <c r="AT61" s="69"/>
      <c r="AU61" s="61"/>
      <c r="AV61" s="62"/>
      <c r="AW61" s="56"/>
      <c r="AX61" s="56"/>
      <c r="AY61" s="64"/>
      <c r="AZ61" s="64"/>
      <c r="BA61" s="55"/>
      <c r="BB61" s="72"/>
      <c r="BC61" s="68"/>
      <c r="BD61" s="69"/>
      <c r="BE61" s="66"/>
      <c r="BF61" s="67"/>
      <c r="BG61" s="56"/>
      <c r="BH61" s="56"/>
      <c r="BI61" s="64"/>
      <c r="BJ61" s="64"/>
      <c r="BK61" s="57"/>
      <c r="BL61" s="73"/>
      <c r="BM61" s="61"/>
      <c r="BN61" s="74"/>
      <c r="BO61" s="75"/>
      <c r="BP61" s="66"/>
      <c r="BQ61" s="74"/>
    </row>
    <row r="62" spans="1:69" s="44" customFormat="1" ht="22.35" customHeight="1" x14ac:dyDescent="0.2">
      <c r="A62" s="100"/>
      <c r="B62" s="100"/>
      <c r="C62" s="100"/>
      <c r="D62" s="54"/>
      <c r="E62" s="55"/>
      <c r="F62" s="56"/>
      <c r="G62" s="56"/>
      <c r="H62" s="57"/>
      <c r="I62" s="58"/>
      <c r="J62" s="58"/>
      <c r="K62" s="55"/>
      <c r="L62" s="59"/>
      <c r="M62" s="59"/>
      <c r="N62" s="59"/>
      <c r="O62" s="54"/>
      <c r="P62" s="60"/>
      <c r="Q62" s="66"/>
      <c r="R62" s="67"/>
      <c r="S62" s="56"/>
      <c r="T62" s="56"/>
      <c r="U62" s="63"/>
      <c r="V62" s="64"/>
      <c r="W62" s="55"/>
      <c r="X62" s="63"/>
      <c r="Y62" s="54"/>
      <c r="Z62" s="65"/>
      <c r="AA62" s="70"/>
      <c r="AB62" s="71"/>
      <c r="AC62" s="56"/>
      <c r="AD62" s="56"/>
      <c r="AE62" s="64"/>
      <c r="AF62" s="64"/>
      <c r="AG62" s="55"/>
      <c r="AH62" s="68"/>
      <c r="AI62" s="54"/>
      <c r="AJ62" s="69"/>
      <c r="AK62" s="66"/>
      <c r="AL62" s="67"/>
      <c r="AM62" s="56"/>
      <c r="AN62" s="56"/>
      <c r="AO62" s="64"/>
      <c r="AP62" s="64"/>
      <c r="AQ62" s="55"/>
      <c r="AR62" s="68"/>
      <c r="AS62" s="54"/>
      <c r="AT62" s="69"/>
      <c r="AU62" s="76"/>
      <c r="AV62" s="59"/>
      <c r="AW62" s="56"/>
      <c r="AX62" s="56"/>
      <c r="AY62" s="64"/>
      <c r="AZ62" s="64"/>
      <c r="BA62" s="55"/>
      <c r="BB62" s="72"/>
      <c r="BC62" s="68"/>
      <c r="BD62" s="69"/>
      <c r="BE62" s="66"/>
      <c r="BF62" s="67"/>
      <c r="BG62" s="56"/>
      <c r="BH62" s="56"/>
      <c r="BI62" s="64"/>
      <c r="BJ62" s="64"/>
      <c r="BK62" s="57"/>
      <c r="BL62" s="73"/>
      <c r="BM62" s="76"/>
      <c r="BN62" s="74"/>
      <c r="BO62" s="75"/>
      <c r="BP62" s="66"/>
      <c r="BQ62" s="74"/>
    </row>
    <row r="63" spans="1:69" s="44" customFormat="1" ht="22.35" customHeight="1" x14ac:dyDescent="0.2">
      <c r="A63" s="100"/>
      <c r="B63" s="100"/>
      <c r="C63" s="100"/>
      <c r="D63" s="54"/>
      <c r="E63" s="55"/>
      <c r="F63" s="56"/>
      <c r="G63" s="56"/>
      <c r="H63" s="57"/>
      <c r="I63" s="58"/>
      <c r="J63" s="58"/>
      <c r="K63" s="55"/>
      <c r="L63" s="59"/>
      <c r="M63" s="59"/>
      <c r="N63" s="59"/>
      <c r="O63" s="54"/>
      <c r="P63" s="60"/>
      <c r="Q63" s="66"/>
      <c r="R63" s="67"/>
      <c r="S63" s="56"/>
      <c r="T63" s="56"/>
      <c r="U63" s="63"/>
      <c r="V63" s="64"/>
      <c r="W63" s="55"/>
      <c r="X63" s="63"/>
      <c r="Y63" s="54"/>
      <c r="Z63" s="65"/>
      <c r="AA63" s="70"/>
      <c r="AB63" s="71"/>
      <c r="AC63" s="56"/>
      <c r="AD63" s="56"/>
      <c r="AE63" s="64"/>
      <c r="AF63" s="64"/>
      <c r="AG63" s="55"/>
      <c r="AH63" s="68"/>
      <c r="AI63" s="54"/>
      <c r="AJ63" s="69"/>
      <c r="AK63" s="70"/>
      <c r="AL63" s="71"/>
      <c r="AM63" s="56"/>
      <c r="AN63" s="56"/>
      <c r="AO63" s="64"/>
      <c r="AP63" s="64"/>
      <c r="AQ63" s="55"/>
      <c r="AR63" s="68"/>
      <c r="AS63" s="54"/>
      <c r="AT63" s="69"/>
      <c r="AU63" s="61"/>
      <c r="AV63" s="62"/>
      <c r="AW63" s="56"/>
      <c r="AX63" s="56"/>
      <c r="AY63" s="64"/>
      <c r="AZ63" s="64"/>
      <c r="BA63" s="55"/>
      <c r="BB63" s="72"/>
      <c r="BC63" s="68"/>
      <c r="BD63" s="69"/>
      <c r="BE63" s="66"/>
      <c r="BF63" s="67"/>
      <c r="BG63" s="56"/>
      <c r="BH63" s="56"/>
      <c r="BI63" s="64"/>
      <c r="BJ63" s="64"/>
      <c r="BK63" s="57"/>
      <c r="BL63" s="73"/>
      <c r="BM63" s="76"/>
      <c r="BN63" s="74"/>
      <c r="BO63" s="75"/>
      <c r="BP63" s="61"/>
      <c r="BQ63" s="74"/>
    </row>
    <row r="64" spans="1:69" s="44" customFormat="1" ht="22.35" customHeight="1" x14ac:dyDescent="0.2">
      <c r="A64" s="100"/>
      <c r="B64" s="100"/>
      <c r="C64" s="100"/>
      <c r="D64" s="54"/>
      <c r="E64" s="55"/>
      <c r="F64" s="56"/>
      <c r="G64" s="56"/>
      <c r="H64" s="57"/>
      <c r="I64" s="58"/>
      <c r="J64" s="58"/>
      <c r="K64" s="55"/>
      <c r="L64" s="59"/>
      <c r="M64" s="59"/>
      <c r="N64" s="59"/>
      <c r="O64" s="54"/>
      <c r="P64" s="60"/>
      <c r="Q64" s="66"/>
      <c r="R64" s="67"/>
      <c r="S64" s="56"/>
      <c r="T64" s="56"/>
      <c r="U64" s="63"/>
      <c r="V64" s="64"/>
      <c r="W64" s="55"/>
      <c r="X64" s="63"/>
      <c r="Y64" s="54"/>
      <c r="Z64" s="65"/>
      <c r="AA64" s="66"/>
      <c r="AB64" s="67"/>
      <c r="AC64" s="56"/>
      <c r="AD64" s="56"/>
      <c r="AE64" s="64"/>
      <c r="AF64" s="64"/>
      <c r="AG64" s="55"/>
      <c r="AH64" s="68"/>
      <c r="AI64" s="54"/>
      <c r="AJ64" s="69"/>
      <c r="AK64" s="76"/>
      <c r="AL64" s="59"/>
      <c r="AM64" s="56"/>
      <c r="AN64" s="56"/>
      <c r="AO64" s="64"/>
      <c r="AP64" s="64"/>
      <c r="AQ64" s="55"/>
      <c r="AR64" s="68"/>
      <c r="AS64" s="54"/>
      <c r="AT64" s="69"/>
      <c r="AU64" s="61"/>
      <c r="AV64" s="62"/>
      <c r="AW64" s="56"/>
      <c r="AX64" s="56"/>
      <c r="AY64" s="64"/>
      <c r="AZ64" s="64"/>
      <c r="BA64" s="55"/>
      <c r="BB64" s="72"/>
      <c r="BC64" s="68"/>
      <c r="BD64" s="69"/>
      <c r="BE64" s="66"/>
      <c r="BF64" s="67"/>
      <c r="BG64" s="56"/>
      <c r="BH64" s="56"/>
      <c r="BI64" s="64"/>
      <c r="BJ64" s="64"/>
      <c r="BK64" s="57"/>
      <c r="BL64" s="73"/>
      <c r="BM64" s="61"/>
      <c r="BN64" s="74"/>
      <c r="BO64" s="75"/>
      <c r="BP64" s="66"/>
      <c r="BQ64" s="74"/>
    </row>
    <row r="65" spans="1:69" s="44" customFormat="1" ht="22.35" customHeight="1" x14ac:dyDescent="0.2">
      <c r="A65" s="100"/>
      <c r="B65" s="100"/>
      <c r="C65" s="100"/>
      <c r="D65" s="54"/>
      <c r="E65" s="55"/>
      <c r="F65" s="56"/>
      <c r="G65" s="56"/>
      <c r="H65" s="57"/>
      <c r="I65" s="58"/>
      <c r="J65" s="58"/>
      <c r="K65" s="55"/>
      <c r="L65" s="59"/>
      <c r="M65" s="59"/>
      <c r="N65" s="59"/>
      <c r="O65" s="54"/>
      <c r="P65" s="60"/>
      <c r="Q65" s="66"/>
      <c r="R65" s="67"/>
      <c r="S65" s="56"/>
      <c r="T65" s="56"/>
      <c r="U65" s="63"/>
      <c r="V65" s="64"/>
      <c r="W65" s="55"/>
      <c r="X65" s="63"/>
      <c r="Y65" s="54"/>
      <c r="Z65" s="65"/>
      <c r="AA65" s="76"/>
      <c r="AB65" s="59"/>
      <c r="AC65" s="56"/>
      <c r="AD65" s="56"/>
      <c r="AE65" s="64"/>
      <c r="AF65" s="64"/>
      <c r="AG65" s="55"/>
      <c r="AH65" s="68"/>
      <c r="AI65" s="54"/>
      <c r="AJ65" s="69"/>
      <c r="AK65" s="76"/>
      <c r="AL65" s="59"/>
      <c r="AM65" s="56"/>
      <c r="AN65" s="56"/>
      <c r="AO65" s="64"/>
      <c r="AP65" s="64"/>
      <c r="AQ65" s="55"/>
      <c r="AR65" s="68"/>
      <c r="AS65" s="54"/>
      <c r="AT65" s="69"/>
      <c r="AU65" s="61"/>
      <c r="AV65" s="62"/>
      <c r="AW65" s="56"/>
      <c r="AX65" s="56"/>
      <c r="AY65" s="64"/>
      <c r="AZ65" s="64"/>
      <c r="BA65" s="55"/>
      <c r="BB65" s="72"/>
      <c r="BC65" s="68"/>
      <c r="BD65" s="69"/>
      <c r="BE65" s="66"/>
      <c r="BF65" s="67"/>
      <c r="BG65" s="56"/>
      <c r="BH65" s="56"/>
      <c r="BI65" s="64"/>
      <c r="BJ65" s="64"/>
      <c r="BK65" s="57"/>
      <c r="BL65" s="73"/>
      <c r="BM65" s="61"/>
      <c r="BN65" s="74"/>
      <c r="BO65" s="75"/>
      <c r="BP65" s="76"/>
      <c r="BQ65" s="74"/>
    </row>
    <row r="66" spans="1:69" s="44" customFormat="1" ht="22.35" customHeight="1" x14ac:dyDescent="0.2">
      <c r="A66" s="100"/>
      <c r="B66" s="100"/>
      <c r="C66" s="100"/>
      <c r="D66" s="54"/>
      <c r="E66" s="55"/>
      <c r="F66" s="56"/>
      <c r="G66" s="56"/>
      <c r="H66" s="57"/>
      <c r="I66" s="58"/>
      <c r="J66" s="58"/>
      <c r="K66" s="55"/>
      <c r="L66" s="59"/>
      <c r="M66" s="59"/>
      <c r="N66" s="59"/>
      <c r="O66" s="54"/>
      <c r="P66" s="60"/>
      <c r="Q66" s="66"/>
      <c r="R66" s="67"/>
      <c r="S66" s="56"/>
      <c r="T66" s="56"/>
      <c r="U66" s="63"/>
      <c r="V66" s="64"/>
      <c r="W66" s="55"/>
      <c r="X66" s="63"/>
      <c r="Y66" s="54"/>
      <c r="Z66" s="65"/>
      <c r="AA66" s="66"/>
      <c r="AB66" s="67"/>
      <c r="AC66" s="56"/>
      <c r="AD66" s="56"/>
      <c r="AE66" s="64"/>
      <c r="AF66" s="64"/>
      <c r="AG66" s="55"/>
      <c r="AH66" s="68"/>
      <c r="AI66" s="54"/>
      <c r="AJ66" s="69"/>
      <c r="AK66" s="61"/>
      <c r="AL66" s="62"/>
      <c r="AM66" s="56"/>
      <c r="AN66" s="56"/>
      <c r="AO66" s="64"/>
      <c r="AP66" s="64"/>
      <c r="AQ66" s="55"/>
      <c r="AR66" s="68"/>
      <c r="AS66" s="54"/>
      <c r="AT66" s="69"/>
      <c r="AU66" s="61"/>
      <c r="AV66" s="62"/>
      <c r="AW66" s="56"/>
      <c r="AX66" s="56"/>
      <c r="AY66" s="64"/>
      <c r="AZ66" s="64"/>
      <c r="BA66" s="55"/>
      <c r="BB66" s="72"/>
      <c r="BC66" s="68"/>
      <c r="BD66" s="69"/>
      <c r="BE66" s="76"/>
      <c r="BF66" s="59"/>
      <c r="BG66" s="56"/>
      <c r="BH66" s="56"/>
      <c r="BI66" s="64"/>
      <c r="BJ66" s="64"/>
      <c r="BK66" s="57"/>
      <c r="BL66" s="73"/>
      <c r="BM66" s="76"/>
      <c r="BN66" s="74"/>
      <c r="BO66" s="75"/>
      <c r="BP66" s="66"/>
      <c r="BQ66" s="74"/>
    </row>
    <row r="67" spans="1:69" s="44" customFormat="1" ht="22.35" customHeight="1" x14ac:dyDescent="0.2">
      <c r="A67" s="100"/>
      <c r="B67" s="100"/>
      <c r="C67" s="100"/>
      <c r="D67" s="54"/>
      <c r="E67" s="55"/>
      <c r="F67" s="56"/>
      <c r="G67" s="56"/>
      <c r="H67" s="57"/>
      <c r="I67" s="58"/>
      <c r="J67" s="58"/>
      <c r="K67" s="55"/>
      <c r="L67" s="59"/>
      <c r="M67" s="59"/>
      <c r="N67" s="59"/>
      <c r="O67" s="54"/>
      <c r="P67" s="60"/>
      <c r="Q67" s="66"/>
      <c r="R67" s="67"/>
      <c r="S67" s="56"/>
      <c r="T67" s="56"/>
      <c r="U67" s="63"/>
      <c r="V67" s="64"/>
      <c r="W67" s="55"/>
      <c r="X67" s="63"/>
      <c r="Y67" s="54"/>
      <c r="Z67" s="65"/>
      <c r="AA67" s="76"/>
      <c r="AB67" s="59"/>
      <c r="AC67" s="56"/>
      <c r="AD67" s="56"/>
      <c r="AE67" s="64"/>
      <c r="AF67" s="64"/>
      <c r="AG67" s="55"/>
      <c r="AH67" s="68"/>
      <c r="AI67" s="54"/>
      <c r="AJ67" s="69"/>
      <c r="AK67" s="61"/>
      <c r="AL67" s="62"/>
      <c r="AM67" s="56"/>
      <c r="AN67" s="56"/>
      <c r="AO67" s="64"/>
      <c r="AP67" s="64"/>
      <c r="AQ67" s="55"/>
      <c r="AR67" s="68"/>
      <c r="AS67" s="54"/>
      <c r="AT67" s="69"/>
      <c r="AU67" s="61"/>
      <c r="AV67" s="62"/>
      <c r="AW67" s="56"/>
      <c r="AX67" s="56"/>
      <c r="AY67" s="64"/>
      <c r="AZ67" s="64"/>
      <c r="BA67" s="55"/>
      <c r="BB67" s="72"/>
      <c r="BC67" s="68"/>
      <c r="BD67" s="69"/>
      <c r="BE67" s="66"/>
      <c r="BF67" s="67"/>
      <c r="BG67" s="56"/>
      <c r="BH67" s="56"/>
      <c r="BI67" s="64"/>
      <c r="BJ67" s="64"/>
      <c r="BK67" s="57"/>
      <c r="BL67" s="73"/>
      <c r="BM67" s="76"/>
      <c r="BN67" s="74"/>
      <c r="BO67" s="75"/>
      <c r="BP67" s="66"/>
      <c r="BQ67" s="74"/>
    </row>
    <row r="68" spans="1:69" s="44" customFormat="1" ht="22.35" customHeight="1" x14ac:dyDescent="0.2">
      <c r="A68" s="100"/>
      <c r="B68" s="100"/>
      <c r="C68" s="100"/>
      <c r="D68" s="54"/>
      <c r="E68" s="55"/>
      <c r="F68" s="56"/>
      <c r="G68" s="56"/>
      <c r="H68" s="57"/>
      <c r="I68" s="58"/>
      <c r="J68" s="58"/>
      <c r="K68" s="55"/>
      <c r="L68" s="59"/>
      <c r="M68" s="59"/>
      <c r="N68" s="59"/>
      <c r="O68" s="54"/>
      <c r="P68" s="60"/>
      <c r="Q68" s="66"/>
      <c r="R68" s="67"/>
      <c r="S68" s="56"/>
      <c r="T68" s="56"/>
      <c r="U68" s="63"/>
      <c r="V68" s="64"/>
      <c r="W68" s="55"/>
      <c r="X68" s="63"/>
      <c r="Y68" s="54"/>
      <c r="Z68" s="65"/>
      <c r="AA68" s="70"/>
      <c r="AB68" s="71"/>
      <c r="AC68" s="56"/>
      <c r="AD68" s="56"/>
      <c r="AE68" s="64"/>
      <c r="AF68" s="64"/>
      <c r="AG68" s="55"/>
      <c r="AH68" s="68"/>
      <c r="AI68" s="54"/>
      <c r="AJ68" s="69"/>
      <c r="AK68" s="70"/>
      <c r="AL68" s="71"/>
      <c r="AM68" s="56"/>
      <c r="AN68" s="56"/>
      <c r="AO68" s="64"/>
      <c r="AP68" s="64"/>
      <c r="AQ68" s="55"/>
      <c r="AR68" s="68"/>
      <c r="AS68" s="54"/>
      <c r="AT68" s="69"/>
      <c r="AU68" s="61"/>
      <c r="AV68" s="62"/>
      <c r="AW68" s="56"/>
      <c r="AX68" s="56"/>
      <c r="AY68" s="64"/>
      <c r="AZ68" s="64"/>
      <c r="BA68" s="55"/>
      <c r="BB68" s="72"/>
      <c r="BC68" s="68"/>
      <c r="BD68" s="69"/>
      <c r="BE68" s="66"/>
      <c r="BF68" s="67"/>
      <c r="BG68" s="56"/>
      <c r="BH68" s="56"/>
      <c r="BI68" s="64"/>
      <c r="BJ68" s="64"/>
      <c r="BK68" s="57"/>
      <c r="BL68" s="73"/>
      <c r="BM68" s="76"/>
      <c r="BN68" s="74"/>
      <c r="BO68" s="75"/>
      <c r="BP68" s="66"/>
      <c r="BQ68" s="74"/>
    </row>
    <row r="69" spans="1:69" s="44" customFormat="1" ht="22.35" customHeight="1" x14ac:dyDescent="0.2">
      <c r="A69" s="100"/>
      <c r="B69" s="100"/>
      <c r="C69" s="100"/>
      <c r="D69" s="54"/>
      <c r="E69" s="55"/>
      <c r="F69" s="56"/>
      <c r="G69" s="56"/>
      <c r="H69" s="57"/>
      <c r="I69" s="58"/>
      <c r="J69" s="58"/>
      <c r="K69" s="55"/>
      <c r="L69" s="59"/>
      <c r="M69" s="59"/>
      <c r="N69" s="59"/>
      <c r="O69" s="54"/>
      <c r="P69" s="60"/>
      <c r="Q69" s="61"/>
      <c r="R69" s="62"/>
      <c r="S69" s="56"/>
      <c r="T69" s="56"/>
      <c r="U69" s="63"/>
      <c r="V69" s="64"/>
      <c r="W69" s="55"/>
      <c r="X69" s="63"/>
      <c r="Y69" s="54"/>
      <c r="Z69" s="65"/>
      <c r="AA69" s="61"/>
      <c r="AB69" s="62"/>
      <c r="AC69" s="56"/>
      <c r="AD69" s="56"/>
      <c r="AE69" s="64"/>
      <c r="AF69" s="64"/>
      <c r="AG69" s="55"/>
      <c r="AH69" s="68"/>
      <c r="AI69" s="54"/>
      <c r="AJ69" s="69"/>
      <c r="AK69" s="70"/>
      <c r="AL69" s="71"/>
      <c r="AM69" s="56"/>
      <c r="AN69" s="56"/>
      <c r="AO69" s="64"/>
      <c r="AP69" s="64"/>
      <c r="AQ69" s="55"/>
      <c r="AR69" s="68"/>
      <c r="AS69" s="54"/>
      <c r="AT69" s="69"/>
      <c r="AU69" s="70"/>
      <c r="AV69" s="71"/>
      <c r="AW69" s="56"/>
      <c r="AX69" s="56"/>
      <c r="AY69" s="64"/>
      <c r="AZ69" s="64"/>
      <c r="BA69" s="55"/>
      <c r="BB69" s="72"/>
      <c r="BC69" s="68"/>
      <c r="BD69" s="69"/>
      <c r="BE69" s="66"/>
      <c r="BF69" s="67"/>
      <c r="BG69" s="56"/>
      <c r="BH69" s="56"/>
      <c r="BI69" s="64"/>
      <c r="BJ69" s="64"/>
      <c r="BK69" s="57"/>
      <c r="BL69" s="73"/>
      <c r="BM69" s="61"/>
      <c r="BN69" s="74"/>
      <c r="BO69" s="75"/>
      <c r="BP69" s="66"/>
      <c r="BQ69" s="74"/>
    </row>
    <row r="70" spans="1:69" s="44" customFormat="1" ht="22.35" customHeight="1" x14ac:dyDescent="0.2">
      <c r="A70" s="100"/>
      <c r="B70" s="100"/>
      <c r="C70" s="100"/>
      <c r="D70" s="54"/>
      <c r="E70" s="55"/>
      <c r="F70" s="56"/>
      <c r="G70" s="56"/>
      <c r="H70" s="57"/>
      <c r="I70" s="58"/>
      <c r="J70" s="58"/>
      <c r="K70" s="55"/>
      <c r="L70" s="59"/>
      <c r="M70" s="59"/>
      <c r="N70" s="59"/>
      <c r="O70" s="54"/>
      <c r="P70" s="60"/>
      <c r="Q70" s="66"/>
      <c r="R70" s="67"/>
      <c r="S70" s="56"/>
      <c r="T70" s="56"/>
      <c r="U70" s="63"/>
      <c r="V70" s="64"/>
      <c r="W70" s="55"/>
      <c r="X70" s="63"/>
      <c r="Y70" s="54"/>
      <c r="Z70" s="65"/>
      <c r="AA70" s="76"/>
      <c r="AB70" s="59"/>
      <c r="AC70" s="56"/>
      <c r="AD70" s="56"/>
      <c r="AE70" s="64"/>
      <c r="AF70" s="64"/>
      <c r="AG70" s="55"/>
      <c r="AH70" s="68"/>
      <c r="AI70" s="54"/>
      <c r="AJ70" s="69"/>
      <c r="AK70" s="61"/>
      <c r="AL70" s="62"/>
      <c r="AM70" s="56"/>
      <c r="AN70" s="56"/>
      <c r="AO70" s="64"/>
      <c r="AP70" s="64"/>
      <c r="AQ70" s="55"/>
      <c r="AR70" s="68"/>
      <c r="AS70" s="54"/>
      <c r="AT70" s="69"/>
      <c r="AU70" s="70"/>
      <c r="AV70" s="71"/>
      <c r="AW70" s="56"/>
      <c r="AX70" s="56"/>
      <c r="AY70" s="64"/>
      <c r="AZ70" s="64"/>
      <c r="BA70" s="55"/>
      <c r="BB70" s="72"/>
      <c r="BC70" s="68"/>
      <c r="BD70" s="69"/>
      <c r="BE70" s="66"/>
      <c r="BF70" s="67"/>
      <c r="BG70" s="56"/>
      <c r="BH70" s="56"/>
      <c r="BI70" s="64"/>
      <c r="BJ70" s="64"/>
      <c r="BK70" s="57"/>
      <c r="BL70" s="73"/>
      <c r="BM70" s="61"/>
      <c r="BN70" s="74"/>
      <c r="BO70" s="75"/>
      <c r="BP70" s="66"/>
      <c r="BQ70" s="74"/>
    </row>
    <row r="71" spans="1:69" s="44" customFormat="1" ht="22.35" customHeight="1" x14ac:dyDescent="0.2">
      <c r="A71" s="100"/>
      <c r="B71" s="100"/>
      <c r="C71" s="100"/>
      <c r="D71" s="54"/>
      <c r="E71" s="55"/>
      <c r="F71" s="56"/>
      <c r="G71" s="56"/>
      <c r="H71" s="57"/>
      <c r="I71" s="58"/>
      <c r="J71" s="58"/>
      <c r="K71" s="55"/>
      <c r="L71" s="59"/>
      <c r="M71" s="59"/>
      <c r="N71" s="59"/>
      <c r="O71" s="54"/>
      <c r="P71" s="60"/>
      <c r="Q71" s="66"/>
      <c r="R71" s="67"/>
      <c r="S71" s="56"/>
      <c r="T71" s="56"/>
      <c r="U71" s="63"/>
      <c r="V71" s="64"/>
      <c r="W71" s="55"/>
      <c r="X71" s="63"/>
      <c r="Y71" s="54"/>
      <c r="Z71" s="65"/>
      <c r="AA71" s="70"/>
      <c r="AB71" s="71"/>
      <c r="AC71" s="56"/>
      <c r="AD71" s="56"/>
      <c r="AE71" s="64"/>
      <c r="AF71" s="64"/>
      <c r="AG71" s="55"/>
      <c r="AH71" s="68"/>
      <c r="AI71" s="54"/>
      <c r="AJ71" s="69"/>
      <c r="AK71" s="76"/>
      <c r="AL71" s="59"/>
      <c r="AM71" s="56"/>
      <c r="AN71" s="56"/>
      <c r="AO71" s="64"/>
      <c r="AP71" s="64"/>
      <c r="AQ71" s="55"/>
      <c r="AR71" s="68"/>
      <c r="AS71" s="54"/>
      <c r="AT71" s="69"/>
      <c r="AU71" s="61"/>
      <c r="AV71" s="62"/>
      <c r="AW71" s="56"/>
      <c r="AX71" s="56"/>
      <c r="AY71" s="64"/>
      <c r="AZ71" s="64"/>
      <c r="BA71" s="55"/>
      <c r="BB71" s="72"/>
      <c r="BC71" s="68"/>
      <c r="BD71" s="69"/>
      <c r="BE71" s="66"/>
      <c r="BF71" s="67"/>
      <c r="BG71" s="56"/>
      <c r="BH71" s="56"/>
      <c r="BI71" s="64"/>
      <c r="BJ71" s="64"/>
      <c r="BK71" s="57"/>
      <c r="BL71" s="73"/>
      <c r="BM71" s="76"/>
      <c r="BN71" s="74"/>
      <c r="BO71" s="75"/>
      <c r="BP71" s="66"/>
      <c r="BQ71" s="74"/>
    </row>
    <row r="72" spans="1:69" s="44" customFormat="1" ht="22.35" customHeight="1" x14ac:dyDescent="0.2">
      <c r="A72" s="100"/>
      <c r="B72" s="100"/>
      <c r="C72" s="100"/>
      <c r="D72" s="54"/>
      <c r="E72" s="55"/>
      <c r="F72" s="56"/>
      <c r="G72" s="56"/>
      <c r="H72" s="57"/>
      <c r="I72" s="58"/>
      <c r="J72" s="58"/>
      <c r="K72" s="55"/>
      <c r="L72" s="59"/>
      <c r="M72" s="59"/>
      <c r="N72" s="59"/>
      <c r="O72" s="54"/>
      <c r="P72" s="60"/>
      <c r="Q72" s="66"/>
      <c r="R72" s="67"/>
      <c r="S72" s="56"/>
      <c r="T72" s="56"/>
      <c r="U72" s="63"/>
      <c r="V72" s="64"/>
      <c r="W72" s="55"/>
      <c r="X72" s="63"/>
      <c r="Y72" s="54"/>
      <c r="Z72" s="65"/>
      <c r="AA72" s="66"/>
      <c r="AB72" s="67"/>
      <c r="AC72" s="56"/>
      <c r="AD72" s="56"/>
      <c r="AE72" s="64"/>
      <c r="AF72" s="64"/>
      <c r="AG72" s="55"/>
      <c r="AH72" s="68"/>
      <c r="AI72" s="54"/>
      <c r="AJ72" s="69"/>
      <c r="AK72" s="66"/>
      <c r="AL72" s="67"/>
      <c r="AM72" s="56"/>
      <c r="AN72" s="56"/>
      <c r="AO72" s="64"/>
      <c r="AP72" s="64"/>
      <c r="AQ72" s="55"/>
      <c r="AR72" s="68"/>
      <c r="AS72" s="54"/>
      <c r="AT72" s="69"/>
      <c r="AU72" s="66"/>
      <c r="AV72" s="67"/>
      <c r="AW72" s="56"/>
      <c r="AX72" s="56"/>
      <c r="AY72" s="64"/>
      <c r="AZ72" s="64"/>
      <c r="BA72" s="55"/>
      <c r="BB72" s="72"/>
      <c r="BC72" s="68"/>
      <c r="BD72" s="69"/>
      <c r="BE72" s="66"/>
      <c r="BF72" s="67"/>
      <c r="BG72" s="56"/>
      <c r="BH72" s="56"/>
      <c r="BI72" s="64"/>
      <c r="BJ72" s="64"/>
      <c r="BK72" s="57"/>
      <c r="BL72" s="73"/>
      <c r="BM72" s="61"/>
      <c r="BN72" s="74"/>
      <c r="BO72" s="75"/>
      <c r="BP72" s="70"/>
      <c r="BQ72" s="74"/>
    </row>
    <row r="73" spans="1:69" s="44" customFormat="1" ht="22.35" customHeight="1" x14ac:dyDescent="0.2">
      <c r="A73" s="100"/>
      <c r="B73" s="100"/>
      <c r="C73" s="100"/>
      <c r="D73" s="54"/>
      <c r="E73" s="55"/>
      <c r="F73" s="56"/>
      <c r="G73" s="56"/>
      <c r="H73" s="57"/>
      <c r="I73" s="58"/>
      <c r="J73" s="58"/>
      <c r="K73" s="55"/>
      <c r="L73" s="59"/>
      <c r="M73" s="59"/>
      <c r="N73" s="59"/>
      <c r="O73" s="54"/>
      <c r="P73" s="60"/>
      <c r="Q73" s="66"/>
      <c r="R73" s="67"/>
      <c r="S73" s="56"/>
      <c r="T73" s="56"/>
      <c r="U73" s="63"/>
      <c r="V73" s="64"/>
      <c r="W73" s="55"/>
      <c r="X73" s="63"/>
      <c r="Y73" s="54"/>
      <c r="Z73" s="65"/>
      <c r="AA73" s="66"/>
      <c r="AB73" s="67"/>
      <c r="AC73" s="56"/>
      <c r="AD73" s="56"/>
      <c r="AE73" s="64"/>
      <c r="AF73" s="64"/>
      <c r="AG73" s="55"/>
      <c r="AH73" s="68"/>
      <c r="AI73" s="54"/>
      <c r="AJ73" s="69"/>
      <c r="AK73" s="70"/>
      <c r="AL73" s="71"/>
      <c r="AM73" s="56"/>
      <c r="AN73" s="56"/>
      <c r="AO73" s="64"/>
      <c r="AP73" s="64"/>
      <c r="AQ73" s="55"/>
      <c r="AR73" s="68"/>
      <c r="AS73" s="54"/>
      <c r="AT73" s="69"/>
      <c r="AU73" s="61"/>
      <c r="AV73" s="62"/>
      <c r="AW73" s="56"/>
      <c r="AX73" s="56"/>
      <c r="AY73" s="64"/>
      <c r="AZ73" s="64"/>
      <c r="BA73" s="55"/>
      <c r="BB73" s="72"/>
      <c r="BC73" s="68"/>
      <c r="BD73" s="69"/>
      <c r="BE73" s="66"/>
      <c r="BF73" s="67"/>
      <c r="BG73" s="56"/>
      <c r="BH73" s="56"/>
      <c r="BI73" s="64"/>
      <c r="BJ73" s="64"/>
      <c r="BK73" s="57"/>
      <c r="BL73" s="73"/>
      <c r="BM73" s="76"/>
      <c r="BN73" s="74"/>
      <c r="BO73" s="75"/>
      <c r="BP73" s="66"/>
      <c r="BQ73" s="74"/>
    </row>
    <row r="74" spans="1:69" s="44" customFormat="1" ht="22.35" customHeight="1" x14ac:dyDescent="0.2">
      <c r="A74" s="100"/>
      <c r="B74" s="100"/>
      <c r="C74" s="100"/>
      <c r="D74" s="54"/>
      <c r="E74" s="55"/>
      <c r="F74" s="56"/>
      <c r="G74" s="56"/>
      <c r="H74" s="57"/>
      <c r="I74" s="58"/>
      <c r="J74" s="58"/>
      <c r="K74" s="55"/>
      <c r="L74" s="59"/>
      <c r="M74" s="59"/>
      <c r="N74" s="59"/>
      <c r="O74" s="54"/>
      <c r="P74" s="60"/>
      <c r="Q74" s="66"/>
      <c r="R74" s="67"/>
      <c r="S74" s="56"/>
      <c r="T74" s="56"/>
      <c r="U74" s="63"/>
      <c r="V74" s="64"/>
      <c r="W74" s="55"/>
      <c r="X74" s="63"/>
      <c r="Y74" s="54"/>
      <c r="Z74" s="65"/>
      <c r="AA74" s="61"/>
      <c r="AB74" s="62"/>
      <c r="AC74" s="56"/>
      <c r="AD74" s="56"/>
      <c r="AE74" s="64"/>
      <c r="AF74" s="64"/>
      <c r="AG74" s="55"/>
      <c r="AH74" s="68"/>
      <c r="AI74" s="54"/>
      <c r="AJ74" s="69"/>
      <c r="AK74" s="76"/>
      <c r="AL74" s="59"/>
      <c r="AM74" s="56"/>
      <c r="AN74" s="56"/>
      <c r="AO74" s="64"/>
      <c r="AP74" s="64"/>
      <c r="AQ74" s="55"/>
      <c r="AR74" s="68"/>
      <c r="AS74" s="54"/>
      <c r="AT74" s="69"/>
      <c r="AU74" s="66"/>
      <c r="AV74" s="67"/>
      <c r="AW74" s="56"/>
      <c r="AX74" s="56"/>
      <c r="AY74" s="64"/>
      <c r="AZ74" s="64"/>
      <c r="BA74" s="55"/>
      <c r="BB74" s="72"/>
      <c r="BC74" s="68"/>
      <c r="BD74" s="69"/>
      <c r="BE74" s="66"/>
      <c r="BF74" s="67"/>
      <c r="BG74" s="56"/>
      <c r="BH74" s="56"/>
      <c r="BI74" s="64"/>
      <c r="BJ74" s="64"/>
      <c r="BK74" s="57"/>
      <c r="BL74" s="73"/>
      <c r="BM74" s="61"/>
      <c r="BN74" s="74"/>
      <c r="BO74" s="75"/>
      <c r="BP74" s="66"/>
      <c r="BQ74" s="74"/>
    </row>
    <row r="75" spans="1:69" s="44" customFormat="1" ht="22.35" customHeight="1" x14ac:dyDescent="0.2">
      <c r="A75" s="100"/>
      <c r="B75" s="100"/>
      <c r="C75" s="100"/>
      <c r="D75" s="54"/>
      <c r="E75" s="55"/>
      <c r="F75" s="56"/>
      <c r="G75" s="56"/>
      <c r="H75" s="57"/>
      <c r="I75" s="58"/>
      <c r="J75" s="58"/>
      <c r="K75" s="55"/>
      <c r="L75" s="59"/>
      <c r="M75" s="59"/>
      <c r="N75" s="59"/>
      <c r="O75" s="54"/>
      <c r="P75" s="60"/>
      <c r="Q75" s="61"/>
      <c r="R75" s="62"/>
      <c r="S75" s="56"/>
      <c r="T75" s="56"/>
      <c r="U75" s="63"/>
      <c r="V75" s="64"/>
      <c r="W75" s="55"/>
      <c r="X75" s="63"/>
      <c r="Y75" s="54"/>
      <c r="Z75" s="65"/>
      <c r="AA75" s="70"/>
      <c r="AB75" s="71"/>
      <c r="AC75" s="56"/>
      <c r="AD75" s="56"/>
      <c r="AE75" s="64"/>
      <c r="AF75" s="64"/>
      <c r="AG75" s="55"/>
      <c r="AH75" s="68"/>
      <c r="AI75" s="54"/>
      <c r="AJ75" s="69"/>
      <c r="AK75" s="61"/>
      <c r="AL75" s="62"/>
      <c r="AM75" s="56"/>
      <c r="AN75" s="56"/>
      <c r="AO75" s="64"/>
      <c r="AP75" s="64"/>
      <c r="AQ75" s="55"/>
      <c r="AR75" s="68"/>
      <c r="AS75" s="54"/>
      <c r="AT75" s="69"/>
      <c r="AU75" s="61"/>
      <c r="AV75" s="62"/>
      <c r="AW75" s="56"/>
      <c r="AX75" s="56"/>
      <c r="AY75" s="64"/>
      <c r="AZ75" s="64"/>
      <c r="BA75" s="55"/>
      <c r="BB75" s="72"/>
      <c r="BC75" s="68"/>
      <c r="BD75" s="69"/>
      <c r="BE75" s="76"/>
      <c r="BF75" s="59"/>
      <c r="BG75" s="56"/>
      <c r="BH75" s="56"/>
      <c r="BI75" s="64"/>
      <c r="BJ75" s="64"/>
      <c r="BK75" s="57"/>
      <c r="BL75" s="73"/>
      <c r="BM75" s="76"/>
      <c r="BN75" s="74"/>
      <c r="BO75" s="75"/>
      <c r="BP75" s="76"/>
      <c r="BQ75" s="74"/>
    </row>
    <row r="76" spans="1:69" s="44" customFormat="1" ht="22.35" customHeight="1" x14ac:dyDescent="0.2">
      <c r="A76" s="100"/>
      <c r="B76" s="100"/>
      <c r="C76" s="100"/>
      <c r="D76" s="54"/>
      <c r="E76" s="55"/>
      <c r="F76" s="56"/>
      <c r="G76" s="56"/>
      <c r="H76" s="57"/>
      <c r="I76" s="58"/>
      <c r="J76" s="58"/>
      <c r="K76" s="55"/>
      <c r="L76" s="59"/>
      <c r="M76" s="59"/>
      <c r="N76" s="59"/>
      <c r="O76" s="54"/>
      <c r="P76" s="60"/>
      <c r="Q76" s="66"/>
      <c r="R76" s="67"/>
      <c r="S76" s="56"/>
      <c r="T76" s="56"/>
      <c r="U76" s="63"/>
      <c r="V76" s="64"/>
      <c r="W76" s="55"/>
      <c r="X76" s="63"/>
      <c r="Y76" s="54"/>
      <c r="Z76" s="65"/>
      <c r="AA76" s="70"/>
      <c r="AB76" s="71"/>
      <c r="AC76" s="56"/>
      <c r="AD76" s="56"/>
      <c r="AE76" s="64"/>
      <c r="AF76" s="64"/>
      <c r="AG76" s="55"/>
      <c r="AH76" s="68"/>
      <c r="AI76" s="54"/>
      <c r="AJ76" s="69"/>
      <c r="AK76" s="61"/>
      <c r="AL76" s="62"/>
      <c r="AM76" s="56"/>
      <c r="AN76" s="56"/>
      <c r="AO76" s="64"/>
      <c r="AP76" s="64"/>
      <c r="AQ76" s="55"/>
      <c r="AR76" s="68"/>
      <c r="AS76" s="54"/>
      <c r="AT76" s="69"/>
      <c r="AU76" s="61"/>
      <c r="AV76" s="62"/>
      <c r="AW76" s="56"/>
      <c r="AX76" s="56"/>
      <c r="AY76" s="64"/>
      <c r="AZ76" s="64"/>
      <c r="BA76" s="55"/>
      <c r="BB76" s="72"/>
      <c r="BC76" s="68"/>
      <c r="BD76" s="69"/>
      <c r="BE76" s="70"/>
      <c r="BF76" s="71"/>
      <c r="BG76" s="56"/>
      <c r="BH76" s="56"/>
      <c r="BI76" s="64"/>
      <c r="BJ76" s="64"/>
      <c r="BK76" s="57"/>
      <c r="BL76" s="73"/>
      <c r="BM76" s="61"/>
      <c r="BN76" s="74"/>
      <c r="BO76" s="75"/>
      <c r="BP76" s="66"/>
      <c r="BQ76" s="74"/>
    </row>
    <row r="77" spans="1:69" s="44" customFormat="1" ht="22.35" customHeight="1" x14ac:dyDescent="0.2">
      <c r="A77" s="100"/>
      <c r="B77" s="100"/>
      <c r="C77" s="100"/>
      <c r="D77" s="54"/>
      <c r="E77" s="55"/>
      <c r="F77" s="56"/>
      <c r="G77" s="56"/>
      <c r="H77" s="57"/>
      <c r="I77" s="58"/>
      <c r="J77" s="58"/>
      <c r="K77" s="55"/>
      <c r="L77" s="59"/>
      <c r="M77" s="59"/>
      <c r="N77" s="59"/>
      <c r="O77" s="54"/>
      <c r="P77" s="60"/>
      <c r="Q77" s="66"/>
      <c r="R77" s="67"/>
      <c r="S77" s="56"/>
      <c r="T77" s="56"/>
      <c r="U77" s="63"/>
      <c r="V77" s="64"/>
      <c r="W77" s="55"/>
      <c r="X77" s="63"/>
      <c r="Y77" s="54"/>
      <c r="Z77" s="65"/>
      <c r="AA77" s="61"/>
      <c r="AB77" s="62"/>
      <c r="AC77" s="56"/>
      <c r="AD77" s="56"/>
      <c r="AE77" s="64"/>
      <c r="AF77" s="64"/>
      <c r="AG77" s="55"/>
      <c r="AH77" s="68"/>
      <c r="AI77" s="54"/>
      <c r="AJ77" s="69"/>
      <c r="AK77" s="70"/>
      <c r="AL77" s="71"/>
      <c r="AM77" s="56"/>
      <c r="AN77" s="56"/>
      <c r="AO77" s="64"/>
      <c r="AP77" s="64"/>
      <c r="AQ77" s="55"/>
      <c r="AR77" s="68"/>
      <c r="AS77" s="54"/>
      <c r="AT77" s="69"/>
      <c r="AU77" s="70"/>
      <c r="AV77" s="71"/>
      <c r="AW77" s="56"/>
      <c r="AX77" s="56"/>
      <c r="AY77" s="64"/>
      <c r="AZ77" s="64"/>
      <c r="BA77" s="55"/>
      <c r="BB77" s="72"/>
      <c r="BC77" s="68"/>
      <c r="BD77" s="69"/>
      <c r="BE77" s="66"/>
      <c r="BF77" s="67"/>
      <c r="BG77" s="56"/>
      <c r="BH77" s="56"/>
      <c r="BI77" s="64"/>
      <c r="BJ77" s="64"/>
      <c r="BK77" s="57"/>
      <c r="BL77" s="73"/>
      <c r="BM77" s="61"/>
      <c r="BN77" s="74"/>
      <c r="BO77" s="75"/>
      <c r="BP77" s="66"/>
      <c r="BQ77" s="74"/>
    </row>
    <row r="78" spans="1:69" s="44" customFormat="1" ht="22.35" customHeight="1" x14ac:dyDescent="0.2">
      <c r="A78" s="100"/>
      <c r="B78" s="100"/>
      <c r="C78" s="100"/>
      <c r="D78" s="54"/>
      <c r="E78" s="55"/>
      <c r="F78" s="56"/>
      <c r="G78" s="56"/>
      <c r="H78" s="57"/>
      <c r="I78" s="58"/>
      <c r="J78" s="58"/>
      <c r="K78" s="55"/>
      <c r="L78" s="59"/>
      <c r="M78" s="59"/>
      <c r="N78" s="59"/>
      <c r="O78" s="54"/>
      <c r="P78" s="60"/>
      <c r="Q78" s="61"/>
      <c r="R78" s="62"/>
      <c r="S78" s="56"/>
      <c r="T78" s="56"/>
      <c r="U78" s="63"/>
      <c r="V78" s="64"/>
      <c r="W78" s="55"/>
      <c r="X78" s="63"/>
      <c r="Y78" s="54"/>
      <c r="Z78" s="65"/>
      <c r="AA78" s="61"/>
      <c r="AB78" s="62"/>
      <c r="AC78" s="56"/>
      <c r="AD78" s="56"/>
      <c r="AE78" s="64"/>
      <c r="AF78" s="64"/>
      <c r="AG78" s="55"/>
      <c r="AH78" s="68"/>
      <c r="AI78" s="54"/>
      <c r="AJ78" s="69"/>
      <c r="AK78" s="76"/>
      <c r="AL78" s="59"/>
      <c r="AM78" s="56"/>
      <c r="AN78" s="56"/>
      <c r="AO78" s="64"/>
      <c r="AP78" s="64"/>
      <c r="AQ78" s="55"/>
      <c r="AR78" s="68"/>
      <c r="AS78" s="54"/>
      <c r="AT78" s="69"/>
      <c r="AU78" s="61"/>
      <c r="AV78" s="62"/>
      <c r="AW78" s="56"/>
      <c r="AX78" s="56"/>
      <c r="AY78" s="64"/>
      <c r="AZ78" s="64"/>
      <c r="BA78" s="55"/>
      <c r="BB78" s="72"/>
      <c r="BC78" s="68"/>
      <c r="BD78" s="69"/>
      <c r="BE78" s="70"/>
      <c r="BF78" s="71"/>
      <c r="BG78" s="56"/>
      <c r="BH78" s="56"/>
      <c r="BI78" s="64"/>
      <c r="BJ78" s="64"/>
      <c r="BK78" s="57"/>
      <c r="BL78" s="73"/>
      <c r="BM78" s="76"/>
      <c r="BN78" s="74"/>
      <c r="BO78" s="75"/>
      <c r="BP78" s="76"/>
      <c r="BQ78" s="74"/>
    </row>
    <row r="79" spans="1:69" s="44" customFormat="1" ht="22.35" customHeight="1" x14ac:dyDescent="0.2">
      <c r="A79" s="100"/>
      <c r="B79" s="100"/>
      <c r="C79" s="100"/>
      <c r="D79" s="54"/>
      <c r="E79" s="55"/>
      <c r="F79" s="56"/>
      <c r="G79" s="56"/>
      <c r="H79" s="57"/>
      <c r="I79" s="58"/>
      <c r="J79" s="58"/>
      <c r="K79" s="55"/>
      <c r="L79" s="59"/>
      <c r="M79" s="59"/>
      <c r="N79" s="59"/>
      <c r="O79" s="54"/>
      <c r="P79" s="60"/>
      <c r="Q79" s="76"/>
      <c r="R79" s="59"/>
      <c r="S79" s="56"/>
      <c r="T79" s="56"/>
      <c r="U79" s="63"/>
      <c r="V79" s="64"/>
      <c r="W79" s="55"/>
      <c r="X79" s="63"/>
      <c r="Y79" s="54"/>
      <c r="Z79" s="65"/>
      <c r="AA79" s="66"/>
      <c r="AB79" s="67"/>
      <c r="AC79" s="56"/>
      <c r="AD79" s="56"/>
      <c r="AE79" s="64"/>
      <c r="AF79" s="64"/>
      <c r="AG79" s="55"/>
      <c r="AH79" s="68"/>
      <c r="AI79" s="54"/>
      <c r="AJ79" s="69"/>
      <c r="AK79" s="66"/>
      <c r="AL79" s="67"/>
      <c r="AM79" s="56"/>
      <c r="AN79" s="56"/>
      <c r="AO79" s="64"/>
      <c r="AP79" s="64"/>
      <c r="AQ79" s="55"/>
      <c r="AR79" s="68"/>
      <c r="AS79" s="54"/>
      <c r="AT79" s="69"/>
      <c r="AU79" s="61"/>
      <c r="AV79" s="62"/>
      <c r="AW79" s="56"/>
      <c r="AX79" s="56"/>
      <c r="AY79" s="64"/>
      <c r="AZ79" s="64"/>
      <c r="BA79" s="55"/>
      <c r="BB79" s="72"/>
      <c r="BC79" s="68"/>
      <c r="BD79" s="69"/>
      <c r="BE79" s="66"/>
      <c r="BF79" s="67"/>
      <c r="BG79" s="56"/>
      <c r="BH79" s="56"/>
      <c r="BI79" s="64"/>
      <c r="BJ79" s="64"/>
      <c r="BK79" s="57"/>
      <c r="BL79" s="73"/>
      <c r="BM79" s="61"/>
      <c r="BN79" s="74"/>
      <c r="BO79" s="75"/>
      <c r="BP79" s="66"/>
      <c r="BQ79" s="74"/>
    </row>
    <row r="80" spans="1:69" s="44" customFormat="1" ht="22.35" customHeight="1" x14ac:dyDescent="0.2">
      <c r="A80" s="100"/>
      <c r="B80" s="100"/>
      <c r="C80" s="100"/>
      <c r="D80" s="54"/>
      <c r="E80" s="55"/>
      <c r="F80" s="56"/>
      <c r="G80" s="56"/>
      <c r="H80" s="57"/>
      <c r="I80" s="58"/>
      <c r="J80" s="58"/>
      <c r="K80" s="55"/>
      <c r="L80" s="59"/>
      <c r="M80" s="59"/>
      <c r="N80" s="59"/>
      <c r="O80" s="54"/>
      <c r="P80" s="60"/>
      <c r="Q80" s="66"/>
      <c r="R80" s="67"/>
      <c r="S80" s="56"/>
      <c r="T80" s="56"/>
      <c r="U80" s="63"/>
      <c r="V80" s="64"/>
      <c r="W80" s="55"/>
      <c r="X80" s="63"/>
      <c r="Y80" s="54"/>
      <c r="Z80" s="65"/>
      <c r="AA80" s="70"/>
      <c r="AB80" s="71"/>
      <c r="AC80" s="56"/>
      <c r="AD80" s="56"/>
      <c r="AE80" s="64"/>
      <c r="AF80" s="64"/>
      <c r="AG80" s="55"/>
      <c r="AH80" s="68"/>
      <c r="AI80" s="54"/>
      <c r="AJ80" s="69"/>
      <c r="AK80" s="66"/>
      <c r="AL80" s="67"/>
      <c r="AM80" s="56"/>
      <c r="AN80" s="56"/>
      <c r="AO80" s="64"/>
      <c r="AP80" s="64"/>
      <c r="AQ80" s="55"/>
      <c r="AR80" s="68"/>
      <c r="AS80" s="54"/>
      <c r="AT80" s="69"/>
      <c r="AU80" s="61"/>
      <c r="AV80" s="62"/>
      <c r="AW80" s="56"/>
      <c r="AX80" s="56"/>
      <c r="AY80" s="64"/>
      <c r="AZ80" s="64"/>
      <c r="BA80" s="55"/>
      <c r="BB80" s="72"/>
      <c r="BC80" s="68"/>
      <c r="BD80" s="69"/>
      <c r="BE80" s="66"/>
      <c r="BF80" s="67"/>
      <c r="BG80" s="56"/>
      <c r="BH80" s="56"/>
      <c r="BI80" s="64"/>
      <c r="BJ80" s="64"/>
      <c r="BK80" s="57"/>
      <c r="BL80" s="73"/>
      <c r="BM80" s="61"/>
      <c r="BN80" s="74"/>
      <c r="BO80" s="75"/>
      <c r="BP80" s="66"/>
      <c r="BQ80" s="74"/>
    </row>
    <row r="81" spans="1:69" s="44" customFormat="1" ht="22.35" customHeight="1" x14ac:dyDescent="0.2">
      <c r="A81" s="100"/>
      <c r="B81" s="100"/>
      <c r="C81" s="100"/>
      <c r="D81" s="54"/>
      <c r="E81" s="55"/>
      <c r="F81" s="56"/>
      <c r="G81" s="56"/>
      <c r="H81" s="57"/>
      <c r="I81" s="58"/>
      <c r="J81" s="58"/>
      <c r="K81" s="55"/>
      <c r="L81" s="59"/>
      <c r="M81" s="59"/>
      <c r="N81" s="59"/>
      <c r="O81" s="54"/>
      <c r="P81" s="60"/>
      <c r="Q81" s="66"/>
      <c r="R81" s="67"/>
      <c r="S81" s="56"/>
      <c r="T81" s="56"/>
      <c r="U81" s="63"/>
      <c r="V81" s="64"/>
      <c r="W81" s="55"/>
      <c r="X81" s="63"/>
      <c r="Y81" s="54"/>
      <c r="Z81" s="65"/>
      <c r="AA81" s="76"/>
      <c r="AB81" s="59"/>
      <c r="AC81" s="56"/>
      <c r="AD81" s="56"/>
      <c r="AE81" s="64"/>
      <c r="AF81" s="64"/>
      <c r="AG81" s="55"/>
      <c r="AH81" s="68"/>
      <c r="AI81" s="54"/>
      <c r="AJ81" s="69"/>
      <c r="AK81" s="76"/>
      <c r="AL81" s="59"/>
      <c r="AM81" s="56"/>
      <c r="AN81" s="56"/>
      <c r="AO81" s="64"/>
      <c r="AP81" s="64"/>
      <c r="AQ81" s="55"/>
      <c r="AR81" s="68"/>
      <c r="AS81" s="54"/>
      <c r="AT81" s="69"/>
      <c r="AU81" s="61"/>
      <c r="AV81" s="62"/>
      <c r="AW81" s="56"/>
      <c r="AX81" s="56"/>
      <c r="AY81" s="64"/>
      <c r="AZ81" s="64"/>
      <c r="BA81" s="55"/>
      <c r="BB81" s="72"/>
      <c r="BC81" s="68"/>
      <c r="BD81" s="69"/>
      <c r="BE81" s="66"/>
      <c r="BF81" s="67"/>
      <c r="BG81" s="56"/>
      <c r="BH81" s="56"/>
      <c r="BI81" s="64"/>
      <c r="BJ81" s="64"/>
      <c r="BK81" s="57"/>
      <c r="BL81" s="73"/>
      <c r="BM81" s="61"/>
      <c r="BN81" s="74"/>
      <c r="BO81" s="75"/>
      <c r="BP81" s="66"/>
      <c r="BQ81" s="74"/>
    </row>
    <row r="82" spans="1:69" s="44" customFormat="1" ht="22.35" customHeight="1" x14ac:dyDescent="0.2">
      <c r="A82" s="100"/>
      <c r="B82" s="100"/>
      <c r="C82" s="100"/>
      <c r="D82" s="54"/>
      <c r="E82" s="55"/>
      <c r="F82" s="56"/>
      <c r="G82" s="56"/>
      <c r="H82" s="57"/>
      <c r="I82" s="58"/>
      <c r="J82" s="58"/>
      <c r="K82" s="55"/>
      <c r="L82" s="59"/>
      <c r="M82" s="59"/>
      <c r="N82" s="59"/>
      <c r="O82" s="54"/>
      <c r="P82" s="60"/>
      <c r="Q82" s="66"/>
      <c r="R82" s="67"/>
      <c r="S82" s="56"/>
      <c r="T82" s="56"/>
      <c r="U82" s="63"/>
      <c r="V82" s="64"/>
      <c r="W82" s="55"/>
      <c r="X82" s="63"/>
      <c r="Y82" s="54"/>
      <c r="Z82" s="65"/>
      <c r="AA82" s="76"/>
      <c r="AB82" s="59"/>
      <c r="AC82" s="56"/>
      <c r="AD82" s="56"/>
      <c r="AE82" s="64"/>
      <c r="AF82" s="64"/>
      <c r="AG82" s="55"/>
      <c r="AH82" s="68"/>
      <c r="AI82" s="54"/>
      <c r="AJ82" s="69"/>
      <c r="AK82" s="61"/>
      <c r="AL82" s="62"/>
      <c r="AM82" s="56"/>
      <c r="AN82" s="56"/>
      <c r="AO82" s="64"/>
      <c r="AP82" s="64"/>
      <c r="AQ82" s="55"/>
      <c r="AR82" s="68"/>
      <c r="AS82" s="54"/>
      <c r="AT82" s="69"/>
      <c r="AU82" s="76"/>
      <c r="AV82" s="59"/>
      <c r="AW82" s="56"/>
      <c r="AX82" s="56"/>
      <c r="AY82" s="64"/>
      <c r="AZ82" s="64"/>
      <c r="BA82" s="55"/>
      <c r="BB82" s="72"/>
      <c r="BC82" s="68"/>
      <c r="BD82" s="69"/>
      <c r="BE82" s="66"/>
      <c r="BF82" s="67"/>
      <c r="BG82" s="56"/>
      <c r="BH82" s="56"/>
      <c r="BI82" s="64"/>
      <c r="BJ82" s="64"/>
      <c r="BK82" s="57"/>
      <c r="BL82" s="73"/>
      <c r="BM82" s="61"/>
      <c r="BN82" s="74"/>
      <c r="BO82" s="75"/>
      <c r="BP82" s="66"/>
      <c r="BQ82" s="74"/>
    </row>
    <row r="83" spans="1:69" s="44" customFormat="1" ht="22.35" customHeight="1" x14ac:dyDescent="0.2">
      <c r="A83" s="100"/>
      <c r="B83" s="100"/>
      <c r="C83" s="100"/>
      <c r="D83" s="54"/>
      <c r="E83" s="55"/>
      <c r="F83" s="56"/>
      <c r="G83" s="56"/>
      <c r="H83" s="57"/>
      <c r="I83" s="58"/>
      <c r="J83" s="58"/>
      <c r="K83" s="55"/>
      <c r="L83" s="59"/>
      <c r="M83" s="59"/>
      <c r="N83" s="59"/>
      <c r="O83" s="54"/>
      <c r="P83" s="60"/>
      <c r="Q83" s="66"/>
      <c r="R83" s="67"/>
      <c r="S83" s="56"/>
      <c r="T83" s="56"/>
      <c r="U83" s="63"/>
      <c r="V83" s="64"/>
      <c r="W83" s="55"/>
      <c r="X83" s="63"/>
      <c r="Y83" s="54"/>
      <c r="Z83" s="65"/>
      <c r="AA83" s="61"/>
      <c r="AB83" s="62"/>
      <c r="AC83" s="56"/>
      <c r="AD83" s="56"/>
      <c r="AE83" s="64"/>
      <c r="AF83" s="64"/>
      <c r="AG83" s="55"/>
      <c r="AH83" s="68"/>
      <c r="AI83" s="54"/>
      <c r="AJ83" s="69"/>
      <c r="AK83" s="76"/>
      <c r="AL83" s="59"/>
      <c r="AM83" s="56"/>
      <c r="AN83" s="56"/>
      <c r="AO83" s="64"/>
      <c r="AP83" s="64"/>
      <c r="AQ83" s="55"/>
      <c r="AR83" s="68"/>
      <c r="AS83" s="54"/>
      <c r="AT83" s="69"/>
      <c r="AU83" s="61"/>
      <c r="AV83" s="62"/>
      <c r="AW83" s="56"/>
      <c r="AX83" s="56"/>
      <c r="AY83" s="64"/>
      <c r="AZ83" s="64"/>
      <c r="BA83" s="55"/>
      <c r="BB83" s="72"/>
      <c r="BC83" s="68"/>
      <c r="BD83" s="69"/>
      <c r="BE83" s="66"/>
      <c r="BF83" s="67"/>
      <c r="BG83" s="56"/>
      <c r="BH83" s="56"/>
      <c r="BI83" s="64"/>
      <c r="BJ83" s="64"/>
      <c r="BK83" s="57"/>
      <c r="BL83" s="73"/>
      <c r="BM83" s="61"/>
      <c r="BN83" s="74"/>
      <c r="BO83" s="75"/>
      <c r="BP83" s="66"/>
      <c r="BQ83" s="74"/>
    </row>
    <row r="84" spans="1:69" s="44" customFormat="1" ht="22.35" customHeight="1" x14ac:dyDescent="0.2">
      <c r="A84" s="100"/>
      <c r="B84" s="100"/>
      <c r="C84" s="100"/>
      <c r="D84" s="54"/>
      <c r="E84" s="55"/>
      <c r="F84" s="56"/>
      <c r="G84" s="56"/>
      <c r="H84" s="57"/>
      <c r="I84" s="58"/>
      <c r="J84" s="58"/>
      <c r="K84" s="55"/>
      <c r="L84" s="59"/>
      <c r="M84" s="59"/>
      <c r="N84" s="59"/>
      <c r="O84" s="54"/>
      <c r="P84" s="60"/>
      <c r="Q84" s="66"/>
      <c r="R84" s="67"/>
      <c r="S84" s="56"/>
      <c r="T84" s="56"/>
      <c r="U84" s="63"/>
      <c r="V84" s="64"/>
      <c r="W84" s="55"/>
      <c r="X84" s="63"/>
      <c r="Y84" s="54"/>
      <c r="Z84" s="65"/>
      <c r="AA84" s="61"/>
      <c r="AB84" s="62"/>
      <c r="AC84" s="56"/>
      <c r="AD84" s="56"/>
      <c r="AE84" s="64"/>
      <c r="AF84" s="64"/>
      <c r="AG84" s="55"/>
      <c r="AH84" s="68"/>
      <c r="AI84" s="54"/>
      <c r="AJ84" s="69"/>
      <c r="AK84" s="61"/>
      <c r="AL84" s="62"/>
      <c r="AM84" s="56"/>
      <c r="AN84" s="56"/>
      <c r="AO84" s="64"/>
      <c r="AP84" s="64"/>
      <c r="AQ84" s="55"/>
      <c r="AR84" s="68"/>
      <c r="AS84" s="54"/>
      <c r="AT84" s="69"/>
      <c r="AU84" s="61"/>
      <c r="AV84" s="62"/>
      <c r="AW84" s="56"/>
      <c r="AX84" s="56"/>
      <c r="AY84" s="64"/>
      <c r="AZ84" s="64"/>
      <c r="BA84" s="55"/>
      <c r="BB84" s="72"/>
      <c r="BC84" s="68"/>
      <c r="BD84" s="69"/>
      <c r="BE84" s="76"/>
      <c r="BF84" s="59"/>
      <c r="BG84" s="56"/>
      <c r="BH84" s="56"/>
      <c r="BI84" s="64"/>
      <c r="BJ84" s="64"/>
      <c r="BK84" s="57"/>
      <c r="BL84" s="73"/>
      <c r="BM84" s="61"/>
      <c r="BN84" s="74"/>
      <c r="BO84" s="75"/>
      <c r="BP84" s="61"/>
      <c r="BQ84" s="74"/>
    </row>
    <row r="85" spans="1:69" s="44" customFormat="1" ht="22.35" customHeight="1" x14ac:dyDescent="0.2">
      <c r="A85" s="100"/>
      <c r="B85" s="100"/>
      <c r="C85" s="100"/>
      <c r="D85" s="54"/>
      <c r="E85" s="55"/>
      <c r="F85" s="56"/>
      <c r="G85" s="56"/>
      <c r="H85" s="57"/>
      <c r="I85" s="58"/>
      <c r="J85" s="58"/>
      <c r="K85" s="55"/>
      <c r="L85" s="59"/>
      <c r="M85" s="59"/>
      <c r="N85" s="59"/>
      <c r="O85" s="54"/>
      <c r="P85" s="60"/>
      <c r="Q85" s="66"/>
      <c r="R85" s="67"/>
      <c r="S85" s="56"/>
      <c r="T85" s="56"/>
      <c r="U85" s="63"/>
      <c r="V85" s="64"/>
      <c r="W85" s="55"/>
      <c r="X85" s="63"/>
      <c r="Y85" s="54"/>
      <c r="Z85" s="65"/>
      <c r="AA85" s="70"/>
      <c r="AB85" s="71"/>
      <c r="AC85" s="56"/>
      <c r="AD85" s="56"/>
      <c r="AE85" s="64"/>
      <c r="AF85" s="64"/>
      <c r="AG85" s="55"/>
      <c r="AH85" s="68"/>
      <c r="AI85" s="54"/>
      <c r="AJ85" s="69"/>
      <c r="AK85" s="61"/>
      <c r="AL85" s="62"/>
      <c r="AM85" s="56"/>
      <c r="AN85" s="56"/>
      <c r="AO85" s="64"/>
      <c r="AP85" s="64"/>
      <c r="AQ85" s="55"/>
      <c r="AR85" s="68"/>
      <c r="AS85" s="54"/>
      <c r="AT85" s="69"/>
      <c r="AU85" s="61"/>
      <c r="AV85" s="62"/>
      <c r="AW85" s="56"/>
      <c r="AX85" s="56"/>
      <c r="AY85" s="64"/>
      <c r="AZ85" s="64"/>
      <c r="BA85" s="55"/>
      <c r="BB85" s="72"/>
      <c r="BC85" s="68"/>
      <c r="BD85" s="69"/>
      <c r="BE85" s="76"/>
      <c r="BF85" s="59"/>
      <c r="BG85" s="56"/>
      <c r="BH85" s="56"/>
      <c r="BI85" s="64"/>
      <c r="BJ85" s="64"/>
      <c r="BK85" s="57"/>
      <c r="BL85" s="73"/>
      <c r="BM85" s="76"/>
      <c r="BN85" s="74"/>
      <c r="BO85" s="75"/>
      <c r="BP85" s="66"/>
      <c r="BQ85" s="74"/>
    </row>
    <row r="86" spans="1:69" s="44" customFormat="1" ht="22.35" customHeight="1" x14ac:dyDescent="0.2">
      <c r="A86" s="100"/>
      <c r="B86" s="100"/>
      <c r="C86" s="100"/>
      <c r="D86" s="54"/>
      <c r="E86" s="55"/>
      <c r="F86" s="56"/>
      <c r="G86" s="56"/>
      <c r="H86" s="57"/>
      <c r="I86" s="58"/>
      <c r="J86" s="58"/>
      <c r="K86" s="55"/>
      <c r="L86" s="59"/>
      <c r="M86" s="59"/>
      <c r="N86" s="59"/>
      <c r="O86" s="54"/>
      <c r="P86" s="60"/>
      <c r="Q86" s="66"/>
      <c r="R86" s="67"/>
      <c r="S86" s="56"/>
      <c r="T86" s="56"/>
      <c r="U86" s="63"/>
      <c r="V86" s="64"/>
      <c r="W86" s="55"/>
      <c r="X86" s="63"/>
      <c r="Y86" s="54"/>
      <c r="Z86" s="65"/>
      <c r="AA86" s="61"/>
      <c r="AB86" s="62"/>
      <c r="AC86" s="56"/>
      <c r="AD86" s="56"/>
      <c r="AE86" s="64"/>
      <c r="AF86" s="64"/>
      <c r="AG86" s="55"/>
      <c r="AH86" s="68"/>
      <c r="AI86" s="54"/>
      <c r="AJ86" s="69"/>
      <c r="AK86" s="61"/>
      <c r="AL86" s="62"/>
      <c r="AM86" s="56"/>
      <c r="AN86" s="56"/>
      <c r="AO86" s="64"/>
      <c r="AP86" s="64"/>
      <c r="AQ86" s="55"/>
      <c r="AR86" s="68"/>
      <c r="AS86" s="54"/>
      <c r="AT86" s="69"/>
      <c r="AU86" s="61"/>
      <c r="AV86" s="62"/>
      <c r="AW86" s="56"/>
      <c r="AX86" s="56"/>
      <c r="AY86" s="64"/>
      <c r="AZ86" s="64"/>
      <c r="BA86" s="55"/>
      <c r="BB86" s="72"/>
      <c r="BC86" s="68"/>
      <c r="BD86" s="69"/>
      <c r="BE86" s="70"/>
      <c r="BF86" s="71"/>
      <c r="BG86" s="56"/>
      <c r="BH86" s="56"/>
      <c r="BI86" s="64"/>
      <c r="BJ86" s="64"/>
      <c r="BK86" s="57"/>
      <c r="BL86" s="73"/>
      <c r="BM86" s="61"/>
      <c r="BN86" s="74"/>
      <c r="BO86" s="75"/>
      <c r="BP86" s="66"/>
      <c r="BQ86" s="74"/>
    </row>
    <row r="87" spans="1:69" s="44" customFormat="1" ht="22.35" customHeight="1" x14ac:dyDescent="0.2">
      <c r="A87" s="100"/>
      <c r="B87" s="100"/>
      <c r="C87" s="100"/>
      <c r="D87" s="54"/>
      <c r="E87" s="55"/>
      <c r="F87" s="56"/>
      <c r="G87" s="56"/>
      <c r="H87" s="57"/>
      <c r="I87" s="58"/>
      <c r="J87" s="58"/>
      <c r="K87" s="55"/>
      <c r="L87" s="59"/>
      <c r="M87" s="59"/>
      <c r="N87" s="59"/>
      <c r="O87" s="54"/>
      <c r="P87" s="60"/>
      <c r="Q87" s="66"/>
      <c r="R87" s="67"/>
      <c r="S87" s="56"/>
      <c r="T87" s="56"/>
      <c r="U87" s="63"/>
      <c r="V87" s="64"/>
      <c r="W87" s="55"/>
      <c r="X87" s="63"/>
      <c r="Y87" s="54"/>
      <c r="Z87" s="65"/>
      <c r="AA87" s="76"/>
      <c r="AB87" s="59"/>
      <c r="AC87" s="56"/>
      <c r="AD87" s="56"/>
      <c r="AE87" s="64"/>
      <c r="AF87" s="64"/>
      <c r="AG87" s="55"/>
      <c r="AH87" s="68"/>
      <c r="AI87" s="54"/>
      <c r="AJ87" s="69"/>
      <c r="AK87" s="76"/>
      <c r="AL87" s="59"/>
      <c r="AM87" s="56"/>
      <c r="AN87" s="56"/>
      <c r="AO87" s="64"/>
      <c r="AP87" s="64"/>
      <c r="AQ87" s="55"/>
      <c r="AR87" s="68"/>
      <c r="AS87" s="54"/>
      <c r="AT87" s="69"/>
      <c r="AU87" s="61"/>
      <c r="AV87" s="62"/>
      <c r="AW87" s="56"/>
      <c r="AX87" s="56"/>
      <c r="AY87" s="64"/>
      <c r="AZ87" s="64"/>
      <c r="BA87" s="55"/>
      <c r="BB87" s="72"/>
      <c r="BC87" s="68"/>
      <c r="BD87" s="69"/>
      <c r="BE87" s="66"/>
      <c r="BF87" s="67"/>
      <c r="BG87" s="56"/>
      <c r="BH87" s="56"/>
      <c r="BI87" s="64"/>
      <c r="BJ87" s="64"/>
      <c r="BK87" s="57"/>
      <c r="BL87" s="73"/>
      <c r="BM87" s="76"/>
      <c r="BN87" s="74"/>
      <c r="BO87" s="75"/>
      <c r="BP87" s="66"/>
      <c r="BQ87" s="74"/>
    </row>
    <row r="88" spans="1:69" s="44" customFormat="1" ht="22.35" customHeight="1" x14ac:dyDescent="0.2">
      <c r="A88" s="100"/>
      <c r="B88" s="100"/>
      <c r="C88" s="100"/>
      <c r="D88" s="54"/>
      <c r="E88" s="55"/>
      <c r="F88" s="56"/>
      <c r="G88" s="56"/>
      <c r="H88" s="57"/>
      <c r="I88" s="58"/>
      <c r="J88" s="58"/>
      <c r="K88" s="55"/>
      <c r="L88" s="59"/>
      <c r="M88" s="59"/>
      <c r="N88" s="59"/>
      <c r="O88" s="54"/>
      <c r="P88" s="60"/>
      <c r="Q88" s="61"/>
      <c r="R88" s="62"/>
      <c r="S88" s="56"/>
      <c r="T88" s="56"/>
      <c r="U88" s="63"/>
      <c r="V88" s="64"/>
      <c r="W88" s="55"/>
      <c r="X88" s="63"/>
      <c r="Y88" s="54"/>
      <c r="Z88" s="65"/>
      <c r="AA88" s="61"/>
      <c r="AB88" s="62"/>
      <c r="AC88" s="56"/>
      <c r="AD88" s="56"/>
      <c r="AE88" s="64"/>
      <c r="AF88" s="64"/>
      <c r="AG88" s="55"/>
      <c r="AH88" s="68"/>
      <c r="AI88" s="54"/>
      <c r="AJ88" s="69"/>
      <c r="AK88" s="61"/>
      <c r="AL88" s="62"/>
      <c r="AM88" s="56"/>
      <c r="AN88" s="56"/>
      <c r="AO88" s="64"/>
      <c r="AP88" s="64"/>
      <c r="AQ88" s="55"/>
      <c r="AR88" s="68"/>
      <c r="AS88" s="54"/>
      <c r="AT88" s="69"/>
      <c r="AU88" s="61"/>
      <c r="AV88" s="62"/>
      <c r="AW88" s="56"/>
      <c r="AX88" s="56"/>
      <c r="AY88" s="64"/>
      <c r="AZ88" s="64"/>
      <c r="BA88" s="55"/>
      <c r="BB88" s="72"/>
      <c r="BC88" s="68"/>
      <c r="BD88" s="69"/>
      <c r="BE88" s="66"/>
      <c r="BF88" s="67"/>
      <c r="BG88" s="56"/>
      <c r="BH88" s="56"/>
      <c r="BI88" s="64"/>
      <c r="BJ88" s="64"/>
      <c r="BK88" s="57"/>
      <c r="BL88" s="73"/>
      <c r="BM88" s="61"/>
      <c r="BN88" s="74"/>
      <c r="BO88" s="75"/>
      <c r="BP88" s="66"/>
      <c r="BQ88" s="74"/>
    </row>
    <row r="89" spans="1:69" s="44" customFormat="1" ht="22.35" customHeight="1" x14ac:dyDescent="0.2">
      <c r="A89" s="100"/>
      <c r="B89" s="100"/>
      <c r="C89" s="100"/>
      <c r="D89" s="54"/>
      <c r="E89" s="55"/>
      <c r="F89" s="56"/>
      <c r="G89" s="56"/>
      <c r="H89" s="57"/>
      <c r="I89" s="58"/>
      <c r="J89" s="58"/>
      <c r="K89" s="55"/>
      <c r="L89" s="59"/>
      <c r="M89" s="59"/>
      <c r="N89" s="59"/>
      <c r="O89" s="54"/>
      <c r="P89" s="60"/>
      <c r="Q89" s="61"/>
      <c r="R89" s="62"/>
      <c r="S89" s="56"/>
      <c r="T89" s="56"/>
      <c r="U89" s="63"/>
      <c r="V89" s="64"/>
      <c r="W89" s="55"/>
      <c r="X89" s="63"/>
      <c r="Y89" s="54"/>
      <c r="Z89" s="65"/>
      <c r="AA89" s="61"/>
      <c r="AB89" s="62"/>
      <c r="AC89" s="56"/>
      <c r="AD89" s="56"/>
      <c r="AE89" s="64"/>
      <c r="AF89" s="64"/>
      <c r="AG89" s="55"/>
      <c r="AH89" s="68"/>
      <c r="AI89" s="54"/>
      <c r="AJ89" s="69"/>
      <c r="AK89" s="61"/>
      <c r="AL89" s="62"/>
      <c r="AM89" s="56"/>
      <c r="AN89" s="56"/>
      <c r="AO89" s="64"/>
      <c r="AP89" s="64"/>
      <c r="AQ89" s="55"/>
      <c r="AR89" s="68"/>
      <c r="AS89" s="54"/>
      <c r="AT89" s="69"/>
      <c r="AU89" s="61"/>
      <c r="AV89" s="62"/>
      <c r="AW89" s="56"/>
      <c r="AX89" s="56"/>
      <c r="AY89" s="64"/>
      <c r="AZ89" s="64"/>
      <c r="BA89" s="55"/>
      <c r="BB89" s="72"/>
      <c r="BC89" s="68"/>
      <c r="BD89" s="69"/>
      <c r="BE89" s="61"/>
      <c r="BF89" s="62"/>
      <c r="BG89" s="56"/>
      <c r="BH89" s="56"/>
      <c r="BI89" s="64"/>
      <c r="BJ89" s="64"/>
      <c r="BK89" s="57"/>
      <c r="BL89" s="73"/>
      <c r="BM89" s="66"/>
      <c r="BN89" s="74"/>
      <c r="BO89" s="75"/>
      <c r="BP89" s="66"/>
      <c r="BQ89" s="74"/>
    </row>
    <row r="90" spans="1:69" s="44" customFormat="1" ht="22.35" customHeight="1" x14ac:dyDescent="0.2">
      <c r="A90" s="100"/>
      <c r="B90" s="100"/>
      <c r="C90" s="100"/>
      <c r="D90" s="54"/>
      <c r="E90" s="55"/>
      <c r="F90" s="56"/>
      <c r="G90" s="56"/>
      <c r="H90" s="57"/>
      <c r="I90" s="58"/>
      <c r="J90" s="58"/>
      <c r="K90" s="55"/>
      <c r="L90" s="59"/>
      <c r="M90" s="59"/>
      <c r="N90" s="59"/>
      <c r="O90" s="54"/>
      <c r="P90" s="60"/>
      <c r="Q90" s="66"/>
      <c r="R90" s="67"/>
      <c r="S90" s="56"/>
      <c r="T90" s="56"/>
      <c r="U90" s="63"/>
      <c r="V90" s="64"/>
      <c r="W90" s="55"/>
      <c r="X90" s="63"/>
      <c r="Y90" s="54"/>
      <c r="Z90" s="65"/>
      <c r="AA90" s="76"/>
      <c r="AB90" s="59"/>
      <c r="AC90" s="56"/>
      <c r="AD90" s="56"/>
      <c r="AE90" s="64"/>
      <c r="AF90" s="64"/>
      <c r="AG90" s="55"/>
      <c r="AH90" s="68"/>
      <c r="AI90" s="54"/>
      <c r="AJ90" s="69"/>
      <c r="AK90" s="70"/>
      <c r="AL90" s="71"/>
      <c r="AM90" s="56"/>
      <c r="AN90" s="56"/>
      <c r="AO90" s="64"/>
      <c r="AP90" s="64"/>
      <c r="AQ90" s="55"/>
      <c r="AR90" s="68"/>
      <c r="AS90" s="54"/>
      <c r="AT90" s="69"/>
      <c r="AU90" s="76"/>
      <c r="AV90" s="59"/>
      <c r="AW90" s="56"/>
      <c r="AX90" s="56"/>
      <c r="AY90" s="64"/>
      <c r="AZ90" s="64"/>
      <c r="BA90" s="55"/>
      <c r="BB90" s="72"/>
      <c r="BC90" s="68"/>
      <c r="BD90" s="69"/>
      <c r="BE90" s="66"/>
      <c r="BF90" s="67"/>
      <c r="BG90" s="56"/>
      <c r="BH90" s="56"/>
      <c r="BI90" s="64"/>
      <c r="BJ90" s="64"/>
      <c r="BK90" s="57"/>
      <c r="BL90" s="73"/>
      <c r="BM90" s="76"/>
      <c r="BN90" s="74"/>
      <c r="BO90" s="75"/>
      <c r="BP90" s="66"/>
      <c r="BQ90" s="74"/>
    </row>
    <row r="91" spans="1:69" s="44" customFormat="1" ht="22.35" customHeight="1" x14ac:dyDescent="0.2">
      <c r="A91" s="100"/>
      <c r="B91" s="100"/>
      <c r="C91" s="100"/>
      <c r="D91" s="54"/>
      <c r="E91" s="55"/>
      <c r="F91" s="56"/>
      <c r="G91" s="56"/>
      <c r="H91" s="57"/>
      <c r="I91" s="58"/>
      <c r="J91" s="58"/>
      <c r="K91" s="55"/>
      <c r="L91" s="59"/>
      <c r="M91" s="59"/>
      <c r="N91" s="59"/>
      <c r="O91" s="54"/>
      <c r="P91" s="60"/>
      <c r="Q91" s="61"/>
      <c r="R91" s="62"/>
      <c r="S91" s="56"/>
      <c r="T91" s="56"/>
      <c r="U91" s="63"/>
      <c r="V91" s="64"/>
      <c r="W91" s="55"/>
      <c r="X91" s="63"/>
      <c r="Y91" s="54"/>
      <c r="Z91" s="65"/>
      <c r="AA91" s="76"/>
      <c r="AB91" s="59"/>
      <c r="AC91" s="56"/>
      <c r="AD91" s="56"/>
      <c r="AE91" s="64"/>
      <c r="AF91" s="64"/>
      <c r="AG91" s="55"/>
      <c r="AH91" s="68"/>
      <c r="AI91" s="54"/>
      <c r="AJ91" s="69"/>
      <c r="AK91" s="76"/>
      <c r="AL91" s="59"/>
      <c r="AM91" s="56"/>
      <c r="AN91" s="56"/>
      <c r="AO91" s="64"/>
      <c r="AP91" s="64"/>
      <c r="AQ91" s="55"/>
      <c r="AR91" s="68"/>
      <c r="AS91" s="54"/>
      <c r="AT91" s="69"/>
      <c r="AU91" s="61"/>
      <c r="AV91" s="62"/>
      <c r="AW91" s="56"/>
      <c r="AX91" s="56"/>
      <c r="AY91" s="64"/>
      <c r="AZ91" s="64"/>
      <c r="BA91" s="55"/>
      <c r="BB91" s="72"/>
      <c r="BC91" s="68"/>
      <c r="BD91" s="69"/>
      <c r="BE91" s="66"/>
      <c r="BF91" s="67"/>
      <c r="BG91" s="56"/>
      <c r="BH91" s="56"/>
      <c r="BI91" s="64"/>
      <c r="BJ91" s="64"/>
      <c r="BK91" s="57"/>
      <c r="BL91" s="73"/>
      <c r="BM91" s="76"/>
      <c r="BN91" s="74"/>
      <c r="BO91" s="75"/>
      <c r="BP91" s="66"/>
      <c r="BQ91" s="74"/>
    </row>
    <row r="92" spans="1:69" s="44" customFormat="1" ht="22.35" customHeight="1" x14ac:dyDescent="0.2">
      <c r="A92" s="100"/>
      <c r="B92" s="100"/>
      <c r="C92" s="100"/>
      <c r="D92" s="54"/>
      <c r="E92" s="55"/>
      <c r="F92" s="56"/>
      <c r="G92" s="56"/>
      <c r="H92" s="57"/>
      <c r="I92" s="58"/>
      <c r="J92" s="58"/>
      <c r="K92" s="55"/>
      <c r="L92" s="59"/>
      <c r="M92" s="59"/>
      <c r="N92" s="59"/>
      <c r="O92" s="54"/>
      <c r="P92" s="60"/>
      <c r="Q92" s="66"/>
      <c r="R92" s="67"/>
      <c r="S92" s="56"/>
      <c r="T92" s="56"/>
      <c r="U92" s="63"/>
      <c r="V92" s="64"/>
      <c r="W92" s="55"/>
      <c r="X92" s="63"/>
      <c r="Y92" s="54"/>
      <c r="Z92" s="65"/>
      <c r="AA92" s="70"/>
      <c r="AB92" s="71"/>
      <c r="AC92" s="56"/>
      <c r="AD92" s="56"/>
      <c r="AE92" s="64"/>
      <c r="AF92" s="64"/>
      <c r="AG92" s="55"/>
      <c r="AH92" s="68"/>
      <c r="AI92" s="54"/>
      <c r="AJ92" s="69"/>
      <c r="AK92" s="70"/>
      <c r="AL92" s="71"/>
      <c r="AM92" s="56"/>
      <c r="AN92" s="56"/>
      <c r="AO92" s="64"/>
      <c r="AP92" s="64"/>
      <c r="AQ92" s="55"/>
      <c r="AR92" s="68"/>
      <c r="AS92" s="54"/>
      <c r="AT92" s="69"/>
      <c r="AU92" s="61"/>
      <c r="AV92" s="62"/>
      <c r="AW92" s="56"/>
      <c r="AX92" s="56"/>
      <c r="AY92" s="64"/>
      <c r="AZ92" s="64"/>
      <c r="BA92" s="55"/>
      <c r="BB92" s="72"/>
      <c r="BC92" s="68"/>
      <c r="BD92" s="69"/>
      <c r="BE92" s="66"/>
      <c r="BF92" s="67"/>
      <c r="BG92" s="56"/>
      <c r="BH92" s="56"/>
      <c r="BI92" s="64"/>
      <c r="BJ92" s="64"/>
      <c r="BK92" s="57"/>
      <c r="BL92" s="73"/>
      <c r="BM92" s="76"/>
      <c r="BN92" s="74"/>
      <c r="BO92" s="75"/>
      <c r="BP92" s="66"/>
      <c r="BQ92" s="74"/>
    </row>
    <row r="93" spans="1:69" s="44" customFormat="1" ht="22.35" customHeight="1" x14ac:dyDescent="0.2">
      <c r="A93" s="100"/>
      <c r="B93" s="100"/>
      <c r="C93" s="100"/>
      <c r="D93" s="54"/>
      <c r="E93" s="55"/>
      <c r="F93" s="56"/>
      <c r="G93" s="56"/>
      <c r="H93" s="57"/>
      <c r="I93" s="58"/>
      <c r="J93" s="58"/>
      <c r="K93" s="55"/>
      <c r="L93" s="59"/>
      <c r="M93" s="59"/>
      <c r="N93" s="59"/>
      <c r="O93" s="54"/>
      <c r="P93" s="60"/>
      <c r="Q93" s="66"/>
      <c r="R93" s="67"/>
      <c r="S93" s="56"/>
      <c r="T93" s="56"/>
      <c r="U93" s="63"/>
      <c r="V93" s="64"/>
      <c r="W93" s="55"/>
      <c r="X93" s="63"/>
      <c r="Y93" s="54"/>
      <c r="Z93" s="65"/>
      <c r="AA93" s="61"/>
      <c r="AB93" s="62"/>
      <c r="AC93" s="56"/>
      <c r="AD93" s="56"/>
      <c r="AE93" s="64"/>
      <c r="AF93" s="64"/>
      <c r="AG93" s="55"/>
      <c r="AH93" s="68"/>
      <c r="AI93" s="54"/>
      <c r="AJ93" s="69"/>
      <c r="AK93" s="76"/>
      <c r="AL93" s="59"/>
      <c r="AM93" s="56"/>
      <c r="AN93" s="56"/>
      <c r="AO93" s="64"/>
      <c r="AP93" s="64"/>
      <c r="AQ93" s="55"/>
      <c r="AR93" s="68"/>
      <c r="AS93" s="54"/>
      <c r="AT93" s="69"/>
      <c r="AU93" s="61"/>
      <c r="AV93" s="62"/>
      <c r="AW93" s="56"/>
      <c r="AX93" s="56"/>
      <c r="AY93" s="64"/>
      <c r="AZ93" s="64"/>
      <c r="BA93" s="55"/>
      <c r="BB93" s="72"/>
      <c r="BC93" s="68"/>
      <c r="BD93" s="69"/>
      <c r="BE93" s="76"/>
      <c r="BF93" s="59"/>
      <c r="BG93" s="56"/>
      <c r="BH93" s="56"/>
      <c r="BI93" s="64"/>
      <c r="BJ93" s="64"/>
      <c r="BK93" s="57"/>
      <c r="BL93" s="73"/>
      <c r="BM93" s="76"/>
      <c r="BN93" s="74"/>
      <c r="BO93" s="75"/>
      <c r="BP93" s="66"/>
      <c r="BQ93" s="74"/>
    </row>
    <row r="94" spans="1:69" s="44" customFormat="1" ht="22.35" customHeight="1" x14ac:dyDescent="0.2">
      <c r="A94" s="100"/>
      <c r="B94" s="100"/>
      <c r="C94" s="100"/>
      <c r="D94" s="54"/>
      <c r="E94" s="55"/>
      <c r="F94" s="56"/>
      <c r="G94" s="56"/>
      <c r="H94" s="57"/>
      <c r="I94" s="58"/>
      <c r="J94" s="58"/>
      <c r="K94" s="55"/>
      <c r="L94" s="59"/>
      <c r="M94" s="59"/>
      <c r="N94" s="59"/>
      <c r="O94" s="54"/>
      <c r="P94" s="60"/>
      <c r="Q94" s="66"/>
      <c r="R94" s="67"/>
      <c r="S94" s="56"/>
      <c r="T94" s="56"/>
      <c r="U94" s="63"/>
      <c r="V94" s="64"/>
      <c r="W94" s="55"/>
      <c r="X94" s="63"/>
      <c r="Y94" s="54"/>
      <c r="Z94" s="65"/>
      <c r="AA94" s="76"/>
      <c r="AB94" s="59"/>
      <c r="AC94" s="56"/>
      <c r="AD94" s="56"/>
      <c r="AE94" s="64"/>
      <c r="AF94" s="64"/>
      <c r="AG94" s="55"/>
      <c r="AH94" s="68"/>
      <c r="AI94" s="54"/>
      <c r="AJ94" s="69"/>
      <c r="AK94" s="76"/>
      <c r="AL94" s="59"/>
      <c r="AM94" s="56"/>
      <c r="AN94" s="56"/>
      <c r="AO94" s="64"/>
      <c r="AP94" s="64"/>
      <c r="AQ94" s="55"/>
      <c r="AR94" s="68"/>
      <c r="AS94" s="54"/>
      <c r="AT94" s="69"/>
      <c r="AU94" s="61"/>
      <c r="AV94" s="62"/>
      <c r="AW94" s="56"/>
      <c r="AX94" s="56"/>
      <c r="AY94" s="64"/>
      <c r="AZ94" s="64"/>
      <c r="BA94" s="55"/>
      <c r="BB94" s="72"/>
      <c r="BC94" s="68"/>
      <c r="BD94" s="69"/>
      <c r="BE94" s="76"/>
      <c r="BF94" s="59"/>
      <c r="BG94" s="56"/>
      <c r="BH94" s="56"/>
      <c r="BI94" s="64"/>
      <c r="BJ94" s="64"/>
      <c r="BK94" s="57"/>
      <c r="BL94" s="73"/>
      <c r="BM94" s="76"/>
      <c r="BN94" s="74"/>
      <c r="BO94" s="75"/>
      <c r="BP94" s="66"/>
      <c r="BQ94" s="74"/>
    </row>
    <row r="95" spans="1:69" s="44" customFormat="1" ht="22.35" customHeight="1" x14ac:dyDescent="0.2">
      <c r="A95" s="100"/>
      <c r="B95" s="100"/>
      <c r="C95" s="100"/>
      <c r="D95" s="54"/>
      <c r="E95" s="55"/>
      <c r="F95" s="56"/>
      <c r="G95" s="56"/>
      <c r="H95" s="57"/>
      <c r="I95" s="58"/>
      <c r="J95" s="58"/>
      <c r="K95" s="55"/>
      <c r="L95" s="59"/>
      <c r="M95" s="59"/>
      <c r="N95" s="59"/>
      <c r="O95" s="54"/>
      <c r="P95" s="60"/>
      <c r="Q95" s="66"/>
      <c r="R95" s="67"/>
      <c r="S95" s="56"/>
      <c r="T95" s="56"/>
      <c r="U95" s="63"/>
      <c r="V95" s="64"/>
      <c r="W95" s="55"/>
      <c r="X95" s="63"/>
      <c r="Y95" s="54"/>
      <c r="Z95" s="65"/>
      <c r="AA95" s="70"/>
      <c r="AB95" s="71"/>
      <c r="AC95" s="56"/>
      <c r="AD95" s="56"/>
      <c r="AE95" s="64"/>
      <c r="AF95" s="64"/>
      <c r="AG95" s="55"/>
      <c r="AH95" s="68"/>
      <c r="AI95" s="54"/>
      <c r="AJ95" s="69"/>
      <c r="AK95" s="76"/>
      <c r="AL95" s="59"/>
      <c r="AM95" s="56"/>
      <c r="AN95" s="56"/>
      <c r="AO95" s="64"/>
      <c r="AP95" s="64"/>
      <c r="AQ95" s="55"/>
      <c r="AR95" s="68"/>
      <c r="AS95" s="54"/>
      <c r="AT95" s="69"/>
      <c r="AU95" s="76"/>
      <c r="AV95" s="59"/>
      <c r="AW95" s="56"/>
      <c r="AX95" s="56"/>
      <c r="AY95" s="64"/>
      <c r="AZ95" s="64"/>
      <c r="BA95" s="55"/>
      <c r="BB95" s="72"/>
      <c r="BC95" s="68"/>
      <c r="BD95" s="69"/>
      <c r="BE95" s="66"/>
      <c r="BF95" s="67"/>
      <c r="BG95" s="56"/>
      <c r="BH95" s="56"/>
      <c r="BI95" s="64"/>
      <c r="BJ95" s="64"/>
      <c r="BK95" s="57"/>
      <c r="BL95" s="73"/>
      <c r="BM95" s="76"/>
      <c r="BN95" s="74"/>
      <c r="BO95" s="75"/>
      <c r="BP95" s="66"/>
      <c r="BQ95" s="74"/>
    </row>
    <row r="96" spans="1:69" s="44" customFormat="1" ht="22.35" customHeight="1" x14ac:dyDescent="0.2">
      <c r="A96" s="100"/>
      <c r="B96" s="100"/>
      <c r="C96" s="100"/>
      <c r="D96" s="54"/>
      <c r="E96" s="55"/>
      <c r="F96" s="56"/>
      <c r="G96" s="56"/>
      <c r="H96" s="57"/>
      <c r="I96" s="58"/>
      <c r="J96" s="58"/>
      <c r="K96" s="55"/>
      <c r="L96" s="59"/>
      <c r="M96" s="59"/>
      <c r="N96" s="59"/>
      <c r="O96" s="54"/>
      <c r="P96" s="60"/>
      <c r="Q96" s="66"/>
      <c r="R96" s="67"/>
      <c r="S96" s="56"/>
      <c r="T96" s="56"/>
      <c r="U96" s="63"/>
      <c r="V96" s="64"/>
      <c r="W96" s="55"/>
      <c r="X96" s="63"/>
      <c r="Y96" s="54"/>
      <c r="Z96" s="65"/>
      <c r="AA96" s="70"/>
      <c r="AB96" s="71"/>
      <c r="AC96" s="56"/>
      <c r="AD96" s="56"/>
      <c r="AE96" s="64"/>
      <c r="AF96" s="64"/>
      <c r="AG96" s="55"/>
      <c r="AH96" s="68"/>
      <c r="AI96" s="54"/>
      <c r="AJ96" s="69"/>
      <c r="AK96" s="70"/>
      <c r="AL96" s="71"/>
      <c r="AM96" s="56"/>
      <c r="AN96" s="56"/>
      <c r="AO96" s="64"/>
      <c r="AP96" s="64"/>
      <c r="AQ96" s="55"/>
      <c r="AR96" s="68"/>
      <c r="AS96" s="54"/>
      <c r="AT96" s="69"/>
      <c r="AU96" s="61"/>
      <c r="AV96" s="62"/>
      <c r="AW96" s="56"/>
      <c r="AX96" s="56"/>
      <c r="AY96" s="64"/>
      <c r="AZ96" s="64"/>
      <c r="BA96" s="55"/>
      <c r="BB96" s="72"/>
      <c r="BC96" s="68"/>
      <c r="BD96" s="69"/>
      <c r="BE96" s="66"/>
      <c r="BF96" s="67"/>
      <c r="BG96" s="56"/>
      <c r="BH96" s="56"/>
      <c r="BI96" s="64"/>
      <c r="BJ96" s="64"/>
      <c r="BK96" s="57"/>
      <c r="BL96" s="73"/>
      <c r="BM96" s="76"/>
      <c r="BN96" s="74"/>
      <c r="BO96" s="75"/>
      <c r="BP96" s="66"/>
      <c r="BQ96" s="74"/>
    </row>
    <row r="97" spans="1:69" s="44" customFormat="1" ht="22.35" customHeight="1" x14ac:dyDescent="0.2">
      <c r="A97" s="100"/>
      <c r="B97" s="100"/>
      <c r="C97" s="100"/>
      <c r="D97" s="54"/>
      <c r="E97" s="55"/>
      <c r="F97" s="56"/>
      <c r="G97" s="56"/>
      <c r="H97" s="57"/>
      <c r="I97" s="58"/>
      <c r="J97" s="58"/>
      <c r="K97" s="55"/>
      <c r="L97" s="59"/>
      <c r="M97" s="59"/>
      <c r="N97" s="59"/>
      <c r="O97" s="54"/>
      <c r="P97" s="60"/>
      <c r="Q97" s="66"/>
      <c r="R97" s="67"/>
      <c r="S97" s="56"/>
      <c r="T97" s="56"/>
      <c r="U97" s="63"/>
      <c r="V97" s="64"/>
      <c r="W97" s="55"/>
      <c r="X97" s="63"/>
      <c r="Y97" s="54"/>
      <c r="Z97" s="65"/>
      <c r="AA97" s="61"/>
      <c r="AB97" s="62"/>
      <c r="AC97" s="56"/>
      <c r="AD97" s="56"/>
      <c r="AE97" s="64"/>
      <c r="AF97" s="64"/>
      <c r="AG97" s="55"/>
      <c r="AH97" s="68"/>
      <c r="AI97" s="54"/>
      <c r="AJ97" s="69"/>
      <c r="AK97" s="76"/>
      <c r="AL97" s="59"/>
      <c r="AM97" s="56"/>
      <c r="AN97" s="56"/>
      <c r="AO97" s="64"/>
      <c r="AP97" s="64"/>
      <c r="AQ97" s="55"/>
      <c r="AR97" s="68"/>
      <c r="AS97" s="54"/>
      <c r="AT97" s="69"/>
      <c r="AU97" s="61"/>
      <c r="AV97" s="62"/>
      <c r="AW97" s="56"/>
      <c r="AX97" s="56"/>
      <c r="AY97" s="64"/>
      <c r="AZ97" s="64"/>
      <c r="BA97" s="55"/>
      <c r="BB97" s="72"/>
      <c r="BC97" s="68"/>
      <c r="BD97" s="69"/>
      <c r="BE97" s="70"/>
      <c r="BF97" s="71"/>
      <c r="BG97" s="56"/>
      <c r="BH97" s="56"/>
      <c r="BI97" s="64"/>
      <c r="BJ97" s="64"/>
      <c r="BK97" s="57"/>
      <c r="BL97" s="73"/>
      <c r="BM97" s="76"/>
      <c r="BN97" s="74"/>
      <c r="BO97" s="75"/>
      <c r="BP97" s="66"/>
      <c r="BQ97" s="74"/>
    </row>
    <row r="98" spans="1:69" s="44" customFormat="1" ht="22.35" customHeight="1" x14ac:dyDescent="0.2">
      <c r="A98" s="100"/>
      <c r="B98" s="100"/>
      <c r="C98" s="100"/>
      <c r="D98" s="54"/>
      <c r="E98" s="55"/>
      <c r="F98" s="56"/>
      <c r="G98" s="56"/>
      <c r="H98" s="57"/>
      <c r="I98" s="58"/>
      <c r="J98" s="58"/>
      <c r="K98" s="55"/>
      <c r="L98" s="59"/>
      <c r="M98" s="59"/>
      <c r="N98" s="59"/>
      <c r="O98" s="54"/>
      <c r="P98" s="60"/>
      <c r="Q98" s="66"/>
      <c r="R98" s="67"/>
      <c r="S98" s="56"/>
      <c r="T98" s="56"/>
      <c r="U98" s="63"/>
      <c r="V98" s="64"/>
      <c r="W98" s="55"/>
      <c r="X98" s="63"/>
      <c r="Y98" s="54"/>
      <c r="Z98" s="65"/>
      <c r="AA98" s="61"/>
      <c r="AB98" s="62"/>
      <c r="AC98" s="56"/>
      <c r="AD98" s="56"/>
      <c r="AE98" s="64"/>
      <c r="AF98" s="64"/>
      <c r="AG98" s="55"/>
      <c r="AH98" s="68"/>
      <c r="AI98" s="54"/>
      <c r="AJ98" s="69"/>
      <c r="AK98" s="70"/>
      <c r="AL98" s="71"/>
      <c r="AM98" s="56"/>
      <c r="AN98" s="56"/>
      <c r="AO98" s="64"/>
      <c r="AP98" s="64"/>
      <c r="AQ98" s="55"/>
      <c r="AR98" s="68"/>
      <c r="AS98" s="54"/>
      <c r="AT98" s="69"/>
      <c r="AU98" s="61"/>
      <c r="AV98" s="62"/>
      <c r="AW98" s="56"/>
      <c r="AX98" s="56"/>
      <c r="AY98" s="64"/>
      <c r="AZ98" s="64"/>
      <c r="BA98" s="55"/>
      <c r="BB98" s="72"/>
      <c r="BC98" s="68"/>
      <c r="BD98" s="69"/>
      <c r="BE98" s="66"/>
      <c r="BF98" s="67"/>
      <c r="BG98" s="56"/>
      <c r="BH98" s="56"/>
      <c r="BI98" s="64"/>
      <c r="BJ98" s="64"/>
      <c r="BK98" s="57"/>
      <c r="BL98" s="73"/>
      <c r="BM98" s="76"/>
      <c r="BN98" s="74"/>
      <c r="BO98" s="75"/>
      <c r="BP98" s="66"/>
      <c r="BQ98" s="74"/>
    </row>
    <row r="99" spans="1:69" s="44" customFormat="1" ht="22.35" customHeight="1" x14ac:dyDescent="0.2">
      <c r="A99" s="100"/>
      <c r="B99" s="100"/>
      <c r="C99" s="100"/>
      <c r="D99" s="54"/>
      <c r="E99" s="55"/>
      <c r="F99" s="56"/>
      <c r="G99" s="56"/>
      <c r="H99" s="57"/>
      <c r="I99" s="58"/>
      <c r="J99" s="58"/>
      <c r="K99" s="55"/>
      <c r="L99" s="59"/>
      <c r="M99" s="59"/>
      <c r="N99" s="59"/>
      <c r="O99" s="54"/>
      <c r="P99" s="60"/>
      <c r="Q99" s="66"/>
      <c r="R99" s="67"/>
      <c r="S99" s="56"/>
      <c r="T99" s="56"/>
      <c r="U99" s="63"/>
      <c r="V99" s="64"/>
      <c r="W99" s="55"/>
      <c r="X99" s="63"/>
      <c r="Y99" s="54"/>
      <c r="Z99" s="65"/>
      <c r="AA99" s="70"/>
      <c r="AB99" s="71"/>
      <c r="AC99" s="56"/>
      <c r="AD99" s="56"/>
      <c r="AE99" s="64"/>
      <c r="AF99" s="64"/>
      <c r="AG99" s="55"/>
      <c r="AH99" s="68"/>
      <c r="AI99" s="54"/>
      <c r="AJ99" s="69"/>
      <c r="AK99" s="70"/>
      <c r="AL99" s="71"/>
      <c r="AM99" s="56"/>
      <c r="AN99" s="56"/>
      <c r="AO99" s="64"/>
      <c r="AP99" s="64"/>
      <c r="AQ99" s="55"/>
      <c r="AR99" s="68"/>
      <c r="AS99" s="54"/>
      <c r="AT99" s="69"/>
      <c r="AU99" s="61"/>
      <c r="AV99" s="62"/>
      <c r="AW99" s="56"/>
      <c r="AX99" s="56"/>
      <c r="AY99" s="64"/>
      <c r="AZ99" s="64"/>
      <c r="BA99" s="55"/>
      <c r="BB99" s="72"/>
      <c r="BC99" s="68"/>
      <c r="BD99" s="69"/>
      <c r="BE99" s="66"/>
      <c r="BF99" s="67"/>
      <c r="BG99" s="56"/>
      <c r="BH99" s="56"/>
      <c r="BI99" s="64"/>
      <c r="BJ99" s="64"/>
      <c r="BK99" s="57"/>
      <c r="BL99" s="73"/>
      <c r="BM99" s="76"/>
      <c r="BN99" s="74"/>
      <c r="BO99" s="75"/>
      <c r="BP99" s="66"/>
      <c r="BQ99" s="74"/>
    </row>
    <row r="100" spans="1:69" s="44" customFormat="1" ht="22.35" customHeight="1" x14ac:dyDescent="0.2">
      <c r="A100" s="100"/>
      <c r="B100" s="100"/>
      <c r="C100" s="100"/>
      <c r="D100" s="54"/>
      <c r="E100" s="55"/>
      <c r="F100" s="56"/>
      <c r="G100" s="56"/>
      <c r="H100" s="57"/>
      <c r="I100" s="58"/>
      <c r="J100" s="58"/>
      <c r="K100" s="55"/>
      <c r="L100" s="59"/>
      <c r="M100" s="59"/>
      <c r="N100" s="59"/>
      <c r="O100" s="54"/>
      <c r="P100" s="60"/>
      <c r="Q100" s="66"/>
      <c r="R100" s="67"/>
      <c r="S100" s="56"/>
      <c r="T100" s="56"/>
      <c r="U100" s="63"/>
      <c r="V100" s="64"/>
      <c r="W100" s="55"/>
      <c r="X100" s="63"/>
      <c r="Y100" s="54"/>
      <c r="Z100" s="65"/>
      <c r="AA100" s="61"/>
      <c r="AB100" s="62"/>
      <c r="AC100" s="56"/>
      <c r="AD100" s="56"/>
      <c r="AE100" s="64"/>
      <c r="AF100" s="64"/>
      <c r="AG100" s="55"/>
      <c r="AH100" s="68"/>
      <c r="AI100" s="54"/>
      <c r="AJ100" s="69"/>
      <c r="AK100" s="61"/>
      <c r="AL100" s="62"/>
      <c r="AM100" s="56"/>
      <c r="AN100" s="56"/>
      <c r="AO100" s="64"/>
      <c r="AP100" s="64"/>
      <c r="AQ100" s="55"/>
      <c r="AR100" s="68"/>
      <c r="AS100" s="54"/>
      <c r="AT100" s="69"/>
      <c r="AU100" s="61"/>
      <c r="AV100" s="62"/>
      <c r="AW100" s="56"/>
      <c r="AX100" s="56"/>
      <c r="AY100" s="64"/>
      <c r="AZ100" s="64"/>
      <c r="BA100" s="55"/>
      <c r="BB100" s="72"/>
      <c r="BC100" s="68"/>
      <c r="BD100" s="69"/>
      <c r="BE100" s="61"/>
      <c r="BF100" s="62"/>
      <c r="BG100" s="56"/>
      <c r="BH100" s="56"/>
      <c r="BI100" s="64"/>
      <c r="BJ100" s="64"/>
      <c r="BK100" s="57"/>
      <c r="BL100" s="73"/>
      <c r="BM100" s="76"/>
      <c r="BN100" s="74"/>
      <c r="BO100" s="75"/>
      <c r="BP100" s="66"/>
      <c r="BQ100" s="74"/>
    </row>
    <row r="101" spans="1:69" s="44" customFormat="1" ht="22.35" customHeight="1" x14ac:dyDescent="0.2">
      <c r="A101" s="100"/>
      <c r="B101" s="100"/>
      <c r="C101" s="100"/>
      <c r="D101" s="54"/>
      <c r="E101" s="55"/>
      <c r="F101" s="56"/>
      <c r="G101" s="56"/>
      <c r="H101" s="57"/>
      <c r="I101" s="58"/>
      <c r="J101" s="58"/>
      <c r="K101" s="55"/>
      <c r="L101" s="59"/>
      <c r="M101" s="59"/>
      <c r="N101" s="59"/>
      <c r="O101" s="54"/>
      <c r="P101" s="60"/>
      <c r="Q101" s="66"/>
      <c r="R101" s="67"/>
      <c r="S101" s="56"/>
      <c r="T101" s="56"/>
      <c r="U101" s="63"/>
      <c r="V101" s="64"/>
      <c r="W101" s="55"/>
      <c r="X101" s="63"/>
      <c r="Y101" s="54"/>
      <c r="Z101" s="65"/>
      <c r="AA101" s="61"/>
      <c r="AB101" s="62"/>
      <c r="AC101" s="56"/>
      <c r="AD101" s="56"/>
      <c r="AE101" s="64"/>
      <c r="AF101" s="64"/>
      <c r="AG101" s="55"/>
      <c r="AH101" s="68"/>
      <c r="AI101" s="54"/>
      <c r="AJ101" s="69"/>
      <c r="AK101" s="61"/>
      <c r="AL101" s="62"/>
      <c r="AM101" s="56"/>
      <c r="AN101" s="56"/>
      <c r="AO101" s="64"/>
      <c r="AP101" s="64"/>
      <c r="AQ101" s="55"/>
      <c r="AR101" s="68"/>
      <c r="AS101" s="54"/>
      <c r="AT101" s="69"/>
      <c r="AU101" s="61"/>
      <c r="AV101" s="62"/>
      <c r="AW101" s="56"/>
      <c r="AX101" s="56"/>
      <c r="AY101" s="64"/>
      <c r="AZ101" s="64"/>
      <c r="BA101" s="55"/>
      <c r="BB101" s="72"/>
      <c r="BC101" s="68"/>
      <c r="BD101" s="69"/>
      <c r="BE101" s="76"/>
      <c r="BF101" s="59"/>
      <c r="BG101" s="56"/>
      <c r="BH101" s="56"/>
      <c r="BI101" s="64"/>
      <c r="BJ101" s="64"/>
      <c r="BK101" s="57"/>
      <c r="BL101" s="73"/>
      <c r="BM101" s="76"/>
      <c r="BN101" s="74"/>
      <c r="BO101" s="75"/>
      <c r="BP101" s="66"/>
      <c r="BQ101" s="74"/>
    </row>
    <row r="102" spans="1:69" s="44" customFormat="1" ht="22.35" customHeight="1" x14ac:dyDescent="0.2">
      <c r="A102" s="100"/>
      <c r="B102" s="100"/>
      <c r="C102" s="100"/>
      <c r="D102" s="54"/>
      <c r="E102" s="55"/>
      <c r="F102" s="56"/>
      <c r="G102" s="56"/>
      <c r="H102" s="57"/>
      <c r="I102" s="58"/>
      <c r="J102" s="58"/>
      <c r="K102" s="55"/>
      <c r="L102" s="59"/>
      <c r="M102" s="59"/>
      <c r="N102" s="59"/>
      <c r="O102" s="54"/>
      <c r="P102" s="60"/>
      <c r="Q102" s="66"/>
      <c r="R102" s="67"/>
      <c r="S102" s="56"/>
      <c r="T102" s="56"/>
      <c r="U102" s="63"/>
      <c r="V102" s="64"/>
      <c r="W102" s="55"/>
      <c r="X102" s="63"/>
      <c r="Y102" s="54"/>
      <c r="Z102" s="65"/>
      <c r="AA102" s="76"/>
      <c r="AB102" s="59"/>
      <c r="AC102" s="56"/>
      <c r="AD102" s="56"/>
      <c r="AE102" s="64"/>
      <c r="AF102" s="64"/>
      <c r="AG102" s="55"/>
      <c r="AH102" s="68"/>
      <c r="AI102" s="54"/>
      <c r="AJ102" s="69"/>
      <c r="AK102" s="61"/>
      <c r="AL102" s="62"/>
      <c r="AM102" s="56"/>
      <c r="AN102" s="56"/>
      <c r="AO102" s="64"/>
      <c r="AP102" s="64"/>
      <c r="AQ102" s="55"/>
      <c r="AR102" s="68"/>
      <c r="AS102" s="54"/>
      <c r="AT102" s="69"/>
      <c r="AU102" s="61"/>
      <c r="AV102" s="62"/>
      <c r="AW102" s="56"/>
      <c r="AX102" s="56"/>
      <c r="AY102" s="64"/>
      <c r="AZ102" s="64"/>
      <c r="BA102" s="55"/>
      <c r="BB102" s="72"/>
      <c r="BC102" s="68"/>
      <c r="BD102" s="69"/>
      <c r="BE102" s="76"/>
      <c r="BF102" s="59"/>
      <c r="BG102" s="56"/>
      <c r="BH102" s="56"/>
      <c r="BI102" s="64"/>
      <c r="BJ102" s="64"/>
      <c r="BK102" s="57"/>
      <c r="BL102" s="73"/>
      <c r="BM102" s="76"/>
      <c r="BN102" s="74"/>
      <c r="BO102" s="75"/>
      <c r="BP102" s="66"/>
      <c r="BQ102" s="74"/>
    </row>
    <row r="103" spans="1:69" s="44" customFormat="1" ht="22.35" customHeight="1" x14ac:dyDescent="0.2">
      <c r="A103" s="100"/>
      <c r="B103" s="100"/>
      <c r="C103" s="100"/>
      <c r="D103" s="54"/>
      <c r="E103" s="55"/>
      <c r="F103" s="56"/>
      <c r="G103" s="56"/>
      <c r="H103" s="57"/>
      <c r="I103" s="58"/>
      <c r="J103" s="58"/>
      <c r="K103" s="55"/>
      <c r="L103" s="59"/>
      <c r="M103" s="59"/>
      <c r="N103" s="59"/>
      <c r="O103" s="54"/>
      <c r="P103" s="60"/>
      <c r="Q103" s="66"/>
      <c r="R103" s="67"/>
      <c r="S103" s="56"/>
      <c r="T103" s="56"/>
      <c r="U103" s="63"/>
      <c r="V103" s="64"/>
      <c r="W103" s="55"/>
      <c r="X103" s="63"/>
      <c r="Y103" s="54"/>
      <c r="Z103" s="65"/>
      <c r="AA103" s="76"/>
      <c r="AB103" s="59"/>
      <c r="AC103" s="56"/>
      <c r="AD103" s="56"/>
      <c r="AE103" s="64"/>
      <c r="AF103" s="64"/>
      <c r="AG103" s="55"/>
      <c r="AH103" s="68"/>
      <c r="AI103" s="54"/>
      <c r="AJ103" s="69"/>
      <c r="AK103" s="61"/>
      <c r="AL103" s="62"/>
      <c r="AM103" s="56"/>
      <c r="AN103" s="56"/>
      <c r="AO103" s="64"/>
      <c r="AP103" s="64"/>
      <c r="AQ103" s="55"/>
      <c r="AR103" s="68"/>
      <c r="AS103" s="54"/>
      <c r="AT103" s="69"/>
      <c r="AU103" s="61"/>
      <c r="AV103" s="62"/>
      <c r="AW103" s="56"/>
      <c r="AX103" s="56"/>
      <c r="AY103" s="64"/>
      <c r="AZ103" s="64"/>
      <c r="BA103" s="55"/>
      <c r="BB103" s="72"/>
      <c r="BC103" s="68"/>
      <c r="BD103" s="69"/>
      <c r="BE103" s="70"/>
      <c r="BF103" s="71"/>
      <c r="BG103" s="56"/>
      <c r="BH103" s="56"/>
      <c r="BI103" s="64"/>
      <c r="BJ103" s="64"/>
      <c r="BK103" s="57"/>
      <c r="BL103" s="73"/>
      <c r="BM103" s="76"/>
      <c r="BN103" s="74"/>
      <c r="BO103" s="75"/>
      <c r="BP103" s="66"/>
      <c r="BQ103" s="74"/>
    </row>
    <row r="104" spans="1:69" s="44" customFormat="1" ht="22.35" customHeight="1" x14ac:dyDescent="0.2">
      <c r="A104" s="100"/>
      <c r="B104" s="100"/>
      <c r="C104" s="100"/>
      <c r="D104" s="54"/>
      <c r="E104" s="55"/>
      <c r="F104" s="56"/>
      <c r="G104" s="56"/>
      <c r="H104" s="57"/>
      <c r="I104" s="58"/>
      <c r="J104" s="58"/>
      <c r="K104" s="55"/>
      <c r="L104" s="59"/>
      <c r="M104" s="59"/>
      <c r="N104" s="59"/>
      <c r="O104" s="54"/>
      <c r="P104" s="60"/>
      <c r="Q104" s="66"/>
      <c r="R104" s="67"/>
      <c r="S104" s="56"/>
      <c r="T104" s="56"/>
      <c r="U104" s="63"/>
      <c r="V104" s="64"/>
      <c r="W104" s="55"/>
      <c r="X104" s="63"/>
      <c r="Y104" s="54"/>
      <c r="Z104" s="65"/>
      <c r="AA104" s="66"/>
      <c r="AB104" s="67"/>
      <c r="AC104" s="56"/>
      <c r="AD104" s="56"/>
      <c r="AE104" s="64"/>
      <c r="AF104" s="64"/>
      <c r="AG104" s="55"/>
      <c r="AH104" s="68"/>
      <c r="AI104" s="54"/>
      <c r="AJ104" s="69"/>
      <c r="AK104" s="70"/>
      <c r="AL104" s="71"/>
      <c r="AM104" s="56"/>
      <c r="AN104" s="56"/>
      <c r="AO104" s="64"/>
      <c r="AP104" s="64"/>
      <c r="AQ104" s="55"/>
      <c r="AR104" s="68"/>
      <c r="AS104" s="54"/>
      <c r="AT104" s="69"/>
      <c r="AU104" s="61"/>
      <c r="AV104" s="62"/>
      <c r="AW104" s="56"/>
      <c r="AX104" s="56"/>
      <c r="AY104" s="64"/>
      <c r="AZ104" s="64"/>
      <c r="BA104" s="55"/>
      <c r="BB104" s="72"/>
      <c r="BC104" s="68"/>
      <c r="BD104" s="69"/>
      <c r="BE104" s="70"/>
      <c r="BF104" s="71"/>
      <c r="BG104" s="56"/>
      <c r="BH104" s="56"/>
      <c r="BI104" s="64"/>
      <c r="BJ104" s="64"/>
      <c r="BK104" s="57"/>
      <c r="BL104" s="73"/>
      <c r="BM104" s="61"/>
      <c r="BN104" s="74"/>
      <c r="BO104" s="75"/>
      <c r="BP104" s="66"/>
      <c r="BQ104" s="74"/>
    </row>
    <row r="105" spans="1:69" s="44" customFormat="1" ht="22.35" customHeight="1" x14ac:dyDescent="0.2">
      <c r="A105" s="100"/>
      <c r="B105" s="100"/>
      <c r="C105" s="100"/>
      <c r="D105" s="54"/>
      <c r="E105" s="55"/>
      <c r="F105" s="56"/>
      <c r="G105" s="56"/>
      <c r="H105" s="57"/>
      <c r="I105" s="58"/>
      <c r="J105" s="58"/>
      <c r="K105" s="55"/>
      <c r="L105" s="59"/>
      <c r="M105" s="59"/>
      <c r="N105" s="59"/>
      <c r="O105" s="54"/>
      <c r="P105" s="60"/>
      <c r="Q105" s="66"/>
      <c r="R105" s="67"/>
      <c r="S105" s="56"/>
      <c r="T105" s="56"/>
      <c r="U105" s="63"/>
      <c r="V105" s="64"/>
      <c r="W105" s="55"/>
      <c r="X105" s="63"/>
      <c r="Y105" s="54"/>
      <c r="Z105" s="65"/>
      <c r="AA105" s="70"/>
      <c r="AB105" s="71"/>
      <c r="AC105" s="56"/>
      <c r="AD105" s="56"/>
      <c r="AE105" s="64"/>
      <c r="AF105" s="64"/>
      <c r="AG105" s="55"/>
      <c r="AH105" s="68"/>
      <c r="AI105" s="54"/>
      <c r="AJ105" s="69"/>
      <c r="AK105" s="61"/>
      <c r="AL105" s="62"/>
      <c r="AM105" s="56"/>
      <c r="AN105" s="56"/>
      <c r="AO105" s="64"/>
      <c r="AP105" s="64"/>
      <c r="AQ105" s="55"/>
      <c r="AR105" s="68"/>
      <c r="AS105" s="54"/>
      <c r="AT105" s="69"/>
      <c r="AU105" s="61"/>
      <c r="AV105" s="62"/>
      <c r="AW105" s="56"/>
      <c r="AX105" s="56"/>
      <c r="AY105" s="64"/>
      <c r="AZ105" s="64"/>
      <c r="BA105" s="55"/>
      <c r="BB105" s="72"/>
      <c r="BC105" s="68"/>
      <c r="BD105" s="69"/>
      <c r="BE105" s="70"/>
      <c r="BF105" s="71"/>
      <c r="BG105" s="56"/>
      <c r="BH105" s="56"/>
      <c r="BI105" s="64"/>
      <c r="BJ105" s="64"/>
      <c r="BK105" s="57"/>
      <c r="BL105" s="73"/>
      <c r="BM105" s="76"/>
      <c r="BN105" s="74"/>
      <c r="BO105" s="75"/>
      <c r="BP105" s="66"/>
      <c r="BQ105" s="74"/>
    </row>
    <row r="106" spans="1:69" s="44" customFormat="1" ht="22.35" customHeight="1" x14ac:dyDescent="0.2">
      <c r="A106" s="100"/>
      <c r="B106" s="100"/>
      <c r="C106" s="100"/>
      <c r="D106" s="54"/>
      <c r="E106" s="55"/>
      <c r="F106" s="56"/>
      <c r="G106" s="56"/>
      <c r="H106" s="57"/>
      <c r="I106" s="58"/>
      <c r="J106" s="58"/>
      <c r="K106" s="55"/>
      <c r="L106" s="59"/>
      <c r="M106" s="59"/>
      <c r="N106" s="59"/>
      <c r="O106" s="54"/>
      <c r="P106" s="60"/>
      <c r="Q106" s="66"/>
      <c r="R106" s="67"/>
      <c r="S106" s="56"/>
      <c r="T106" s="56"/>
      <c r="U106" s="63"/>
      <c r="V106" s="64"/>
      <c r="W106" s="55"/>
      <c r="X106" s="63"/>
      <c r="Y106" s="54"/>
      <c r="Z106" s="65"/>
      <c r="AA106" s="76"/>
      <c r="AB106" s="59"/>
      <c r="AC106" s="56"/>
      <c r="AD106" s="56"/>
      <c r="AE106" s="64"/>
      <c r="AF106" s="64"/>
      <c r="AG106" s="55"/>
      <c r="AH106" s="68"/>
      <c r="AI106" s="54"/>
      <c r="AJ106" s="69"/>
      <c r="AK106" s="61"/>
      <c r="AL106" s="62"/>
      <c r="AM106" s="56"/>
      <c r="AN106" s="56"/>
      <c r="AO106" s="64"/>
      <c r="AP106" s="64"/>
      <c r="AQ106" s="55"/>
      <c r="AR106" s="68"/>
      <c r="AS106" s="54"/>
      <c r="AT106" s="69"/>
      <c r="AU106" s="61"/>
      <c r="AV106" s="62"/>
      <c r="AW106" s="56"/>
      <c r="AX106" s="56"/>
      <c r="AY106" s="64"/>
      <c r="AZ106" s="64"/>
      <c r="BA106" s="55"/>
      <c r="BB106" s="72"/>
      <c r="BC106" s="68"/>
      <c r="BD106" s="69"/>
      <c r="BE106" s="61"/>
      <c r="BF106" s="62"/>
      <c r="BG106" s="56"/>
      <c r="BH106" s="56"/>
      <c r="BI106" s="64"/>
      <c r="BJ106" s="64"/>
      <c r="BK106" s="57"/>
      <c r="BL106" s="73"/>
      <c r="BM106" s="76"/>
      <c r="BN106" s="74"/>
      <c r="BO106" s="75"/>
      <c r="BP106" s="66"/>
      <c r="BQ106" s="74"/>
    </row>
    <row r="107" spans="1:69" s="44" customFormat="1" ht="22.35" customHeight="1" x14ac:dyDescent="0.2">
      <c r="A107" s="100"/>
      <c r="B107" s="100"/>
      <c r="C107" s="100"/>
      <c r="D107" s="54"/>
      <c r="E107" s="55"/>
      <c r="F107" s="56"/>
      <c r="G107" s="56"/>
      <c r="H107" s="57"/>
      <c r="I107" s="58"/>
      <c r="J107" s="58"/>
      <c r="K107" s="55"/>
      <c r="L107" s="59"/>
      <c r="M107" s="59"/>
      <c r="N107" s="59"/>
      <c r="O107" s="54"/>
      <c r="P107" s="60"/>
      <c r="Q107" s="66"/>
      <c r="R107" s="67"/>
      <c r="S107" s="56"/>
      <c r="T107" s="56"/>
      <c r="U107" s="63"/>
      <c r="V107" s="64"/>
      <c r="W107" s="55"/>
      <c r="X107" s="63"/>
      <c r="Y107" s="54"/>
      <c r="Z107" s="65"/>
      <c r="AA107" s="61"/>
      <c r="AB107" s="62"/>
      <c r="AC107" s="56"/>
      <c r="AD107" s="56"/>
      <c r="AE107" s="64"/>
      <c r="AF107" s="64"/>
      <c r="AG107" s="55"/>
      <c r="AH107" s="68"/>
      <c r="AI107" s="54"/>
      <c r="AJ107" s="69"/>
      <c r="AK107" s="61"/>
      <c r="AL107" s="62"/>
      <c r="AM107" s="56"/>
      <c r="AN107" s="56"/>
      <c r="AO107" s="64"/>
      <c r="AP107" s="64"/>
      <c r="AQ107" s="55"/>
      <c r="AR107" s="68"/>
      <c r="AS107" s="54"/>
      <c r="AT107" s="69"/>
      <c r="AU107" s="61"/>
      <c r="AV107" s="62"/>
      <c r="AW107" s="56"/>
      <c r="AX107" s="56"/>
      <c r="AY107" s="64"/>
      <c r="AZ107" s="64"/>
      <c r="BA107" s="55"/>
      <c r="BB107" s="72"/>
      <c r="BC107" s="68"/>
      <c r="BD107" s="69"/>
      <c r="BE107" s="70"/>
      <c r="BF107" s="71"/>
      <c r="BG107" s="56"/>
      <c r="BH107" s="56"/>
      <c r="BI107" s="64"/>
      <c r="BJ107" s="64"/>
      <c r="BK107" s="57"/>
      <c r="BL107" s="73"/>
      <c r="BM107" s="76"/>
      <c r="BN107" s="74"/>
      <c r="BO107" s="75"/>
      <c r="BP107" s="66"/>
      <c r="BQ107" s="74"/>
    </row>
    <row r="108" spans="1:69" s="44" customFormat="1" ht="22.35" customHeight="1" x14ac:dyDescent="0.2">
      <c r="A108" s="100"/>
      <c r="B108" s="100"/>
      <c r="C108" s="100"/>
      <c r="D108" s="54"/>
      <c r="E108" s="55"/>
      <c r="F108" s="56"/>
      <c r="G108" s="56"/>
      <c r="H108" s="57"/>
      <c r="I108" s="58"/>
      <c r="J108" s="58"/>
      <c r="K108" s="55"/>
      <c r="L108" s="59"/>
      <c r="M108" s="59"/>
      <c r="N108" s="59"/>
      <c r="O108" s="54"/>
      <c r="P108" s="60"/>
      <c r="Q108" s="61"/>
      <c r="R108" s="62"/>
      <c r="S108" s="56"/>
      <c r="T108" s="56"/>
      <c r="U108" s="63"/>
      <c r="V108" s="64"/>
      <c r="W108" s="55"/>
      <c r="X108" s="63"/>
      <c r="Y108" s="54"/>
      <c r="Z108" s="65"/>
      <c r="AA108" s="76"/>
      <c r="AB108" s="59"/>
      <c r="AC108" s="56"/>
      <c r="AD108" s="56"/>
      <c r="AE108" s="64"/>
      <c r="AF108" s="64"/>
      <c r="AG108" s="55"/>
      <c r="AH108" s="68"/>
      <c r="AI108" s="54"/>
      <c r="AJ108" s="69"/>
      <c r="AK108" s="61"/>
      <c r="AL108" s="62"/>
      <c r="AM108" s="56"/>
      <c r="AN108" s="56"/>
      <c r="AO108" s="64"/>
      <c r="AP108" s="64"/>
      <c r="AQ108" s="55"/>
      <c r="AR108" s="68"/>
      <c r="AS108" s="54"/>
      <c r="AT108" s="69"/>
      <c r="AU108" s="61"/>
      <c r="AV108" s="62"/>
      <c r="AW108" s="56"/>
      <c r="AX108" s="56"/>
      <c r="AY108" s="64"/>
      <c r="AZ108" s="64"/>
      <c r="BA108" s="55"/>
      <c r="BB108" s="72"/>
      <c r="BC108" s="68"/>
      <c r="BD108" s="69"/>
      <c r="BE108" s="66"/>
      <c r="BF108" s="67"/>
      <c r="BG108" s="56"/>
      <c r="BH108" s="56"/>
      <c r="BI108" s="64"/>
      <c r="BJ108" s="64"/>
      <c r="BK108" s="57"/>
      <c r="BL108" s="73"/>
      <c r="BM108" s="61"/>
      <c r="BN108" s="74"/>
      <c r="BO108" s="75"/>
      <c r="BP108" s="66"/>
      <c r="BQ108" s="74"/>
    </row>
    <row r="109" spans="1:69" s="44" customFormat="1" ht="22.35" customHeight="1" x14ac:dyDescent="0.2">
      <c r="A109" s="100"/>
      <c r="B109" s="100"/>
      <c r="C109" s="100"/>
      <c r="D109" s="54"/>
      <c r="E109" s="55"/>
      <c r="F109" s="56"/>
      <c r="G109" s="56"/>
      <c r="H109" s="57"/>
      <c r="I109" s="58"/>
      <c r="J109" s="58"/>
      <c r="K109" s="55"/>
      <c r="L109" s="59"/>
      <c r="M109" s="59"/>
      <c r="N109" s="59"/>
      <c r="O109" s="54"/>
      <c r="P109" s="60"/>
      <c r="Q109" s="61"/>
      <c r="R109" s="62"/>
      <c r="S109" s="56"/>
      <c r="T109" s="56"/>
      <c r="U109" s="63"/>
      <c r="V109" s="64"/>
      <c r="W109" s="55"/>
      <c r="X109" s="63"/>
      <c r="Y109" s="54"/>
      <c r="Z109" s="65"/>
      <c r="AA109" s="76"/>
      <c r="AB109" s="59"/>
      <c r="AC109" s="56"/>
      <c r="AD109" s="56"/>
      <c r="AE109" s="64"/>
      <c r="AF109" s="64"/>
      <c r="AG109" s="55"/>
      <c r="AH109" s="68"/>
      <c r="AI109" s="54"/>
      <c r="AJ109" s="69"/>
      <c r="AK109" s="76"/>
      <c r="AL109" s="59"/>
      <c r="AM109" s="56"/>
      <c r="AN109" s="56"/>
      <c r="AO109" s="64"/>
      <c r="AP109" s="64"/>
      <c r="AQ109" s="55"/>
      <c r="AR109" s="68"/>
      <c r="AS109" s="54"/>
      <c r="AT109" s="69"/>
      <c r="AU109" s="61"/>
      <c r="AV109" s="62"/>
      <c r="AW109" s="56"/>
      <c r="AX109" s="56"/>
      <c r="AY109" s="64"/>
      <c r="AZ109" s="64"/>
      <c r="BA109" s="55"/>
      <c r="BB109" s="72"/>
      <c r="BC109" s="68"/>
      <c r="BD109" s="69"/>
      <c r="BE109" s="76"/>
      <c r="BF109" s="59"/>
      <c r="BG109" s="56"/>
      <c r="BH109" s="56"/>
      <c r="BI109" s="64"/>
      <c r="BJ109" s="64"/>
      <c r="BK109" s="57"/>
      <c r="BL109" s="73"/>
      <c r="BM109" s="61"/>
      <c r="BN109" s="74"/>
      <c r="BO109" s="75"/>
      <c r="BP109" s="66"/>
      <c r="BQ109" s="74"/>
    </row>
    <row r="110" spans="1:69" s="44" customFormat="1" ht="22.35" customHeight="1" x14ac:dyDescent="0.2">
      <c r="A110" s="100"/>
      <c r="B110" s="100"/>
      <c r="C110" s="100"/>
      <c r="D110" s="54"/>
      <c r="E110" s="55"/>
      <c r="F110" s="56"/>
      <c r="G110" s="56"/>
      <c r="H110" s="57"/>
      <c r="I110" s="58"/>
      <c r="J110" s="58"/>
      <c r="K110" s="55"/>
      <c r="L110" s="59"/>
      <c r="M110" s="59"/>
      <c r="N110" s="59"/>
      <c r="O110" s="54"/>
      <c r="P110" s="60"/>
      <c r="Q110" s="66"/>
      <c r="R110" s="67"/>
      <c r="S110" s="56"/>
      <c r="T110" s="56"/>
      <c r="U110" s="63"/>
      <c r="V110" s="64"/>
      <c r="W110" s="55"/>
      <c r="X110" s="63"/>
      <c r="Y110" s="54"/>
      <c r="Z110" s="65"/>
      <c r="AA110" s="70"/>
      <c r="AB110" s="71"/>
      <c r="AC110" s="56"/>
      <c r="AD110" s="56"/>
      <c r="AE110" s="64"/>
      <c r="AF110" s="64"/>
      <c r="AG110" s="55"/>
      <c r="AH110" s="68"/>
      <c r="AI110" s="54"/>
      <c r="AJ110" s="69"/>
      <c r="AK110" s="61"/>
      <c r="AL110" s="62"/>
      <c r="AM110" s="56"/>
      <c r="AN110" s="56"/>
      <c r="AO110" s="64"/>
      <c r="AP110" s="64"/>
      <c r="AQ110" s="55"/>
      <c r="AR110" s="68"/>
      <c r="AS110" s="54"/>
      <c r="AT110" s="69"/>
      <c r="AU110" s="61"/>
      <c r="AV110" s="62"/>
      <c r="AW110" s="56"/>
      <c r="AX110" s="56"/>
      <c r="AY110" s="64"/>
      <c r="AZ110" s="64"/>
      <c r="BA110" s="55"/>
      <c r="BB110" s="72"/>
      <c r="BC110" s="68"/>
      <c r="BD110" s="69"/>
      <c r="BE110" s="70"/>
      <c r="BF110" s="71"/>
      <c r="BG110" s="56"/>
      <c r="BH110" s="56"/>
      <c r="BI110" s="64"/>
      <c r="BJ110" s="64"/>
      <c r="BK110" s="57"/>
      <c r="BL110" s="73"/>
      <c r="BM110" s="76"/>
      <c r="BN110" s="74"/>
      <c r="BO110" s="75"/>
      <c r="BP110" s="66"/>
      <c r="BQ110" s="74"/>
    </row>
    <row r="111" spans="1:69" s="44" customFormat="1" ht="22.35" customHeight="1" x14ac:dyDescent="0.2">
      <c r="A111" s="100"/>
      <c r="B111" s="100"/>
      <c r="C111" s="100"/>
      <c r="D111" s="54"/>
      <c r="E111" s="55"/>
      <c r="F111" s="56"/>
      <c r="G111" s="56"/>
      <c r="H111" s="57"/>
      <c r="I111" s="58"/>
      <c r="J111" s="58"/>
      <c r="K111" s="55"/>
      <c r="L111" s="59"/>
      <c r="M111" s="59"/>
      <c r="N111" s="59"/>
      <c r="O111" s="54"/>
      <c r="P111" s="60"/>
      <c r="Q111" s="66"/>
      <c r="R111" s="67"/>
      <c r="S111" s="56"/>
      <c r="T111" s="56"/>
      <c r="U111" s="63"/>
      <c r="V111" s="64"/>
      <c r="W111" s="55"/>
      <c r="X111" s="63"/>
      <c r="Y111" s="54"/>
      <c r="Z111" s="65"/>
      <c r="AA111" s="76"/>
      <c r="AB111" s="59"/>
      <c r="AC111" s="56"/>
      <c r="AD111" s="56"/>
      <c r="AE111" s="64"/>
      <c r="AF111" s="64"/>
      <c r="AG111" s="55"/>
      <c r="AH111" s="68"/>
      <c r="AI111" s="54"/>
      <c r="AJ111" s="69"/>
      <c r="AK111" s="76"/>
      <c r="AL111" s="59"/>
      <c r="AM111" s="56"/>
      <c r="AN111" s="56"/>
      <c r="AO111" s="64"/>
      <c r="AP111" s="64"/>
      <c r="AQ111" s="55"/>
      <c r="AR111" s="68"/>
      <c r="AS111" s="54"/>
      <c r="AT111" s="69"/>
      <c r="AU111" s="61"/>
      <c r="AV111" s="62"/>
      <c r="AW111" s="56"/>
      <c r="AX111" s="56"/>
      <c r="AY111" s="64"/>
      <c r="AZ111" s="64"/>
      <c r="BA111" s="55"/>
      <c r="BB111" s="72"/>
      <c r="BC111" s="68"/>
      <c r="BD111" s="69"/>
      <c r="BE111" s="70"/>
      <c r="BF111" s="71"/>
      <c r="BG111" s="56"/>
      <c r="BH111" s="56"/>
      <c r="BI111" s="64"/>
      <c r="BJ111" s="64"/>
      <c r="BK111" s="57"/>
      <c r="BL111" s="73"/>
      <c r="BM111" s="76"/>
      <c r="BN111" s="74"/>
      <c r="BO111" s="75"/>
      <c r="BP111" s="66"/>
      <c r="BQ111" s="74"/>
    </row>
    <row r="112" spans="1:69" s="44" customFormat="1" ht="22.35" customHeight="1" x14ac:dyDescent="0.2">
      <c r="A112" s="100"/>
      <c r="B112" s="100"/>
      <c r="C112" s="100"/>
      <c r="D112" s="54"/>
      <c r="E112" s="55"/>
      <c r="F112" s="56"/>
      <c r="G112" s="56"/>
      <c r="H112" s="57"/>
      <c r="I112" s="58"/>
      <c r="J112" s="58"/>
      <c r="K112" s="55"/>
      <c r="L112" s="59"/>
      <c r="M112" s="59"/>
      <c r="N112" s="59"/>
      <c r="O112" s="54"/>
      <c r="P112" s="60"/>
      <c r="Q112" s="66"/>
      <c r="R112" s="67"/>
      <c r="S112" s="56"/>
      <c r="T112" s="56"/>
      <c r="U112" s="63"/>
      <c r="V112" s="64"/>
      <c r="W112" s="55"/>
      <c r="X112" s="63"/>
      <c r="Y112" s="54"/>
      <c r="Z112" s="65"/>
      <c r="AA112" s="76"/>
      <c r="AB112" s="59"/>
      <c r="AC112" s="56"/>
      <c r="AD112" s="56"/>
      <c r="AE112" s="64"/>
      <c r="AF112" s="64"/>
      <c r="AG112" s="55"/>
      <c r="AH112" s="68"/>
      <c r="AI112" s="54"/>
      <c r="AJ112" s="69"/>
      <c r="AK112" s="61"/>
      <c r="AL112" s="62"/>
      <c r="AM112" s="56"/>
      <c r="AN112" s="56"/>
      <c r="AO112" s="64"/>
      <c r="AP112" s="64"/>
      <c r="AQ112" s="55"/>
      <c r="AR112" s="68"/>
      <c r="AS112" s="54"/>
      <c r="AT112" s="69"/>
      <c r="AU112" s="61"/>
      <c r="AV112" s="62"/>
      <c r="AW112" s="56"/>
      <c r="AX112" s="56"/>
      <c r="AY112" s="64"/>
      <c r="AZ112" s="64"/>
      <c r="BA112" s="55"/>
      <c r="BB112" s="72"/>
      <c r="BC112" s="68"/>
      <c r="BD112" s="69"/>
      <c r="BE112" s="70"/>
      <c r="BF112" s="71"/>
      <c r="BG112" s="56"/>
      <c r="BH112" s="56"/>
      <c r="BI112" s="64"/>
      <c r="BJ112" s="64"/>
      <c r="BK112" s="57"/>
      <c r="BL112" s="73"/>
      <c r="BM112" s="76"/>
      <c r="BN112" s="74"/>
      <c r="BO112" s="75"/>
      <c r="BP112" s="66"/>
      <c r="BQ112" s="74"/>
    </row>
    <row r="113" spans="1:69" s="44" customFormat="1" ht="22.35" customHeight="1" x14ac:dyDescent="0.2">
      <c r="A113" s="100"/>
      <c r="B113" s="100"/>
      <c r="C113" s="100"/>
      <c r="D113" s="54"/>
      <c r="E113" s="55"/>
      <c r="F113" s="56"/>
      <c r="G113" s="56"/>
      <c r="H113" s="57"/>
      <c r="I113" s="58"/>
      <c r="J113" s="58"/>
      <c r="K113" s="55"/>
      <c r="L113" s="59"/>
      <c r="M113" s="59"/>
      <c r="N113" s="59"/>
      <c r="O113" s="54"/>
      <c r="P113" s="60"/>
      <c r="Q113" s="66"/>
      <c r="R113" s="67"/>
      <c r="S113" s="56"/>
      <c r="T113" s="56"/>
      <c r="U113" s="63"/>
      <c r="V113" s="64"/>
      <c r="W113" s="55"/>
      <c r="X113" s="63"/>
      <c r="Y113" s="54"/>
      <c r="Z113" s="65"/>
      <c r="AA113" s="70"/>
      <c r="AB113" s="71"/>
      <c r="AC113" s="56"/>
      <c r="AD113" s="56"/>
      <c r="AE113" s="64"/>
      <c r="AF113" s="64"/>
      <c r="AG113" s="55"/>
      <c r="AH113" s="68"/>
      <c r="AI113" s="54"/>
      <c r="AJ113" s="69"/>
      <c r="AK113" s="61"/>
      <c r="AL113" s="62"/>
      <c r="AM113" s="56"/>
      <c r="AN113" s="56"/>
      <c r="AO113" s="64"/>
      <c r="AP113" s="64"/>
      <c r="AQ113" s="55"/>
      <c r="AR113" s="68"/>
      <c r="AS113" s="54"/>
      <c r="AT113" s="69"/>
      <c r="AU113" s="61"/>
      <c r="AV113" s="62"/>
      <c r="AW113" s="56"/>
      <c r="AX113" s="56"/>
      <c r="AY113" s="64"/>
      <c r="AZ113" s="64"/>
      <c r="BA113" s="55"/>
      <c r="BB113" s="72"/>
      <c r="BC113" s="68"/>
      <c r="BD113" s="69"/>
      <c r="BE113" s="76"/>
      <c r="BF113" s="59"/>
      <c r="BG113" s="56"/>
      <c r="BH113" s="56"/>
      <c r="BI113" s="64"/>
      <c r="BJ113" s="64"/>
      <c r="BK113" s="57"/>
      <c r="BL113" s="73"/>
      <c r="BM113" s="76"/>
      <c r="BN113" s="74"/>
      <c r="BO113" s="75"/>
      <c r="BP113" s="66"/>
      <c r="BQ113" s="74"/>
    </row>
    <row r="114" spans="1:69" s="44" customFormat="1" ht="22.35" customHeight="1" x14ac:dyDescent="0.2">
      <c r="A114" s="100"/>
      <c r="B114" s="100"/>
      <c r="C114" s="100"/>
      <c r="D114" s="54"/>
      <c r="E114" s="55"/>
      <c r="F114" s="56"/>
      <c r="G114" s="56"/>
      <c r="H114" s="57"/>
      <c r="I114" s="58"/>
      <c r="J114" s="58"/>
      <c r="K114" s="55"/>
      <c r="L114" s="59"/>
      <c r="M114" s="59"/>
      <c r="N114" s="59"/>
      <c r="O114" s="54"/>
      <c r="P114" s="60"/>
      <c r="Q114" s="66"/>
      <c r="R114" s="67"/>
      <c r="S114" s="56"/>
      <c r="T114" s="56"/>
      <c r="U114" s="63"/>
      <c r="V114" s="64"/>
      <c r="W114" s="55"/>
      <c r="X114" s="63"/>
      <c r="Y114" s="54"/>
      <c r="Z114" s="65"/>
      <c r="AA114" s="66"/>
      <c r="AB114" s="67"/>
      <c r="AC114" s="56"/>
      <c r="AD114" s="56"/>
      <c r="AE114" s="64"/>
      <c r="AF114" s="64"/>
      <c r="AG114" s="55"/>
      <c r="AH114" s="68"/>
      <c r="AI114" s="54"/>
      <c r="AJ114" s="69"/>
      <c r="AK114" s="61"/>
      <c r="AL114" s="62"/>
      <c r="AM114" s="56"/>
      <c r="AN114" s="56"/>
      <c r="AO114" s="64"/>
      <c r="AP114" s="64"/>
      <c r="AQ114" s="55"/>
      <c r="AR114" s="68"/>
      <c r="AS114" s="54"/>
      <c r="AT114" s="69"/>
      <c r="AU114" s="61"/>
      <c r="AV114" s="62"/>
      <c r="AW114" s="56"/>
      <c r="AX114" s="56"/>
      <c r="AY114" s="64"/>
      <c r="AZ114" s="64"/>
      <c r="BA114" s="55"/>
      <c r="BB114" s="72"/>
      <c r="BC114" s="68"/>
      <c r="BD114" s="69"/>
      <c r="BE114" s="70"/>
      <c r="BF114" s="71"/>
      <c r="BG114" s="56"/>
      <c r="BH114" s="56"/>
      <c r="BI114" s="64"/>
      <c r="BJ114" s="64"/>
      <c r="BK114" s="57"/>
      <c r="BL114" s="73"/>
      <c r="BM114" s="76"/>
      <c r="BN114" s="74"/>
      <c r="BO114" s="75"/>
      <c r="BP114" s="66"/>
      <c r="BQ114" s="74"/>
    </row>
    <row r="115" spans="1:69" s="44" customFormat="1" ht="22.35" customHeight="1" x14ac:dyDescent="0.2">
      <c r="A115" s="100"/>
      <c r="B115" s="100"/>
      <c r="C115" s="100"/>
      <c r="D115" s="54"/>
      <c r="E115" s="55"/>
      <c r="F115" s="56"/>
      <c r="G115" s="56"/>
      <c r="H115" s="57"/>
      <c r="I115" s="58"/>
      <c r="J115" s="58"/>
      <c r="K115" s="55"/>
      <c r="L115" s="59"/>
      <c r="M115" s="59"/>
      <c r="N115" s="59"/>
      <c r="O115" s="54"/>
      <c r="P115" s="60"/>
      <c r="Q115" s="66"/>
      <c r="R115" s="67"/>
      <c r="S115" s="56"/>
      <c r="T115" s="56"/>
      <c r="U115" s="63"/>
      <c r="V115" s="64"/>
      <c r="W115" s="55"/>
      <c r="X115" s="63"/>
      <c r="Y115" s="54"/>
      <c r="Z115" s="65"/>
      <c r="AA115" s="66"/>
      <c r="AB115" s="67"/>
      <c r="AC115" s="56"/>
      <c r="AD115" s="56"/>
      <c r="AE115" s="64"/>
      <c r="AF115" s="64"/>
      <c r="AG115" s="55"/>
      <c r="AH115" s="68"/>
      <c r="AI115" s="54"/>
      <c r="AJ115" s="69"/>
      <c r="AK115" s="70"/>
      <c r="AL115" s="71"/>
      <c r="AM115" s="56"/>
      <c r="AN115" s="56"/>
      <c r="AO115" s="64"/>
      <c r="AP115" s="64"/>
      <c r="AQ115" s="55"/>
      <c r="AR115" s="68"/>
      <c r="AS115" s="54"/>
      <c r="AT115" s="69"/>
      <c r="AU115" s="61"/>
      <c r="AV115" s="62"/>
      <c r="AW115" s="56"/>
      <c r="AX115" s="56"/>
      <c r="AY115" s="64"/>
      <c r="AZ115" s="64"/>
      <c r="BA115" s="55"/>
      <c r="BB115" s="72"/>
      <c r="BC115" s="68"/>
      <c r="BD115" s="69"/>
      <c r="BE115" s="70"/>
      <c r="BF115" s="71"/>
      <c r="BG115" s="56"/>
      <c r="BH115" s="56"/>
      <c r="BI115" s="64"/>
      <c r="BJ115" s="64"/>
      <c r="BK115" s="57"/>
      <c r="BL115" s="73"/>
      <c r="BM115" s="76"/>
      <c r="BN115" s="74"/>
      <c r="BO115" s="75"/>
      <c r="BP115" s="66"/>
      <c r="BQ115" s="74"/>
    </row>
    <row r="116" spans="1:69" s="44" customFormat="1" ht="22.35" customHeight="1" x14ac:dyDescent="0.2">
      <c r="A116" s="100"/>
      <c r="B116" s="100"/>
      <c r="C116" s="100"/>
      <c r="D116" s="54"/>
      <c r="E116" s="55"/>
      <c r="F116" s="56"/>
      <c r="G116" s="56"/>
      <c r="H116" s="57"/>
      <c r="I116" s="58"/>
      <c r="J116" s="58"/>
      <c r="K116" s="55"/>
      <c r="L116" s="59"/>
      <c r="M116" s="59"/>
      <c r="N116" s="59"/>
      <c r="O116" s="54"/>
      <c r="P116" s="60"/>
      <c r="Q116" s="66"/>
      <c r="R116" s="67"/>
      <c r="S116" s="56"/>
      <c r="T116" s="56"/>
      <c r="U116" s="63"/>
      <c r="V116" s="64"/>
      <c r="W116" s="55"/>
      <c r="X116" s="63"/>
      <c r="Y116" s="54"/>
      <c r="Z116" s="65"/>
      <c r="AA116" s="70"/>
      <c r="AB116" s="71"/>
      <c r="AC116" s="56"/>
      <c r="AD116" s="56"/>
      <c r="AE116" s="64"/>
      <c r="AF116" s="64"/>
      <c r="AG116" s="55"/>
      <c r="AH116" s="68"/>
      <c r="AI116" s="54"/>
      <c r="AJ116" s="69"/>
      <c r="AK116" s="76"/>
      <c r="AL116" s="59"/>
      <c r="AM116" s="56"/>
      <c r="AN116" s="56"/>
      <c r="AO116" s="64"/>
      <c r="AP116" s="64"/>
      <c r="AQ116" s="55"/>
      <c r="AR116" s="68"/>
      <c r="AS116" s="54"/>
      <c r="AT116" s="69"/>
      <c r="AU116" s="61"/>
      <c r="AV116" s="62"/>
      <c r="AW116" s="56"/>
      <c r="AX116" s="56"/>
      <c r="AY116" s="64"/>
      <c r="AZ116" s="64"/>
      <c r="BA116" s="55"/>
      <c r="BB116" s="72"/>
      <c r="BC116" s="68"/>
      <c r="BD116" s="69"/>
      <c r="BE116" s="76"/>
      <c r="BF116" s="59"/>
      <c r="BG116" s="56"/>
      <c r="BH116" s="56"/>
      <c r="BI116" s="64"/>
      <c r="BJ116" s="64"/>
      <c r="BK116" s="57"/>
      <c r="BL116" s="73"/>
      <c r="BM116" s="76"/>
      <c r="BN116" s="74"/>
      <c r="BO116" s="75"/>
      <c r="BP116" s="66"/>
      <c r="BQ116" s="74"/>
    </row>
    <row r="117" spans="1:69" s="44" customFormat="1" ht="22.35" customHeight="1" x14ac:dyDescent="0.2">
      <c r="A117" s="100"/>
      <c r="B117" s="100"/>
      <c r="C117" s="100"/>
      <c r="D117" s="54"/>
      <c r="E117" s="55"/>
      <c r="F117" s="56"/>
      <c r="G117" s="56"/>
      <c r="H117" s="57"/>
      <c r="I117" s="58"/>
      <c r="J117" s="58"/>
      <c r="K117" s="55"/>
      <c r="L117" s="59"/>
      <c r="M117" s="59"/>
      <c r="N117" s="59"/>
      <c r="O117" s="54"/>
      <c r="P117" s="60"/>
      <c r="Q117" s="66"/>
      <c r="R117" s="67"/>
      <c r="S117" s="56"/>
      <c r="T117" s="56"/>
      <c r="U117" s="63"/>
      <c r="V117" s="64"/>
      <c r="W117" s="55"/>
      <c r="X117" s="63"/>
      <c r="Y117" s="54"/>
      <c r="Z117" s="65"/>
      <c r="AA117" s="76"/>
      <c r="AB117" s="59"/>
      <c r="AC117" s="56"/>
      <c r="AD117" s="56"/>
      <c r="AE117" s="64"/>
      <c r="AF117" s="64"/>
      <c r="AG117" s="55"/>
      <c r="AH117" s="68"/>
      <c r="AI117" s="54"/>
      <c r="AJ117" s="69"/>
      <c r="AK117" s="70"/>
      <c r="AL117" s="71"/>
      <c r="AM117" s="56"/>
      <c r="AN117" s="56"/>
      <c r="AO117" s="64"/>
      <c r="AP117" s="64"/>
      <c r="AQ117" s="55"/>
      <c r="AR117" s="68"/>
      <c r="AS117" s="54"/>
      <c r="AT117" s="69"/>
      <c r="AU117" s="61"/>
      <c r="AV117" s="62"/>
      <c r="AW117" s="56"/>
      <c r="AX117" s="56"/>
      <c r="AY117" s="64"/>
      <c r="AZ117" s="64"/>
      <c r="BA117" s="55"/>
      <c r="BB117" s="72"/>
      <c r="BC117" s="68"/>
      <c r="BD117" s="69"/>
      <c r="BE117" s="66"/>
      <c r="BF117" s="67"/>
      <c r="BG117" s="56"/>
      <c r="BH117" s="56"/>
      <c r="BI117" s="64"/>
      <c r="BJ117" s="64"/>
      <c r="BK117" s="57"/>
      <c r="BL117" s="73"/>
      <c r="BM117" s="70"/>
      <c r="BN117" s="74"/>
      <c r="BO117" s="75"/>
      <c r="BP117" s="66"/>
      <c r="BQ117" s="74"/>
    </row>
    <row r="118" spans="1:69" s="44" customFormat="1" ht="22.35" customHeight="1" x14ac:dyDescent="0.2">
      <c r="A118" s="100"/>
      <c r="B118" s="100"/>
      <c r="C118" s="100"/>
      <c r="D118" s="54"/>
      <c r="E118" s="55"/>
      <c r="F118" s="56"/>
      <c r="G118" s="56"/>
      <c r="H118" s="57"/>
      <c r="I118" s="58"/>
      <c r="J118" s="58"/>
      <c r="K118" s="55"/>
      <c r="L118" s="59"/>
      <c r="M118" s="59"/>
      <c r="N118" s="59"/>
      <c r="O118" s="54"/>
      <c r="P118" s="60"/>
      <c r="Q118" s="66"/>
      <c r="R118" s="67"/>
      <c r="S118" s="56"/>
      <c r="T118" s="56"/>
      <c r="U118" s="63"/>
      <c r="V118" s="64"/>
      <c r="W118" s="55"/>
      <c r="X118" s="63"/>
      <c r="Y118" s="54"/>
      <c r="Z118" s="65"/>
      <c r="AA118" s="66"/>
      <c r="AB118" s="67"/>
      <c r="AC118" s="56"/>
      <c r="AD118" s="56"/>
      <c r="AE118" s="64"/>
      <c r="AF118" s="64"/>
      <c r="AG118" s="55"/>
      <c r="AH118" s="68"/>
      <c r="AI118" s="54"/>
      <c r="AJ118" s="69"/>
      <c r="AK118" s="66"/>
      <c r="AL118" s="67"/>
      <c r="AM118" s="56"/>
      <c r="AN118" s="56"/>
      <c r="AO118" s="64"/>
      <c r="AP118" s="64"/>
      <c r="AQ118" s="55"/>
      <c r="AR118" s="68"/>
      <c r="AS118" s="54"/>
      <c r="AT118" s="69"/>
      <c r="AU118" s="70"/>
      <c r="AV118" s="71"/>
      <c r="AW118" s="56"/>
      <c r="AX118" s="56"/>
      <c r="AY118" s="64"/>
      <c r="AZ118" s="64"/>
      <c r="BA118" s="55"/>
      <c r="BB118" s="72"/>
      <c r="BC118" s="68"/>
      <c r="BD118" s="69"/>
      <c r="BE118" s="66"/>
      <c r="BF118" s="67"/>
      <c r="BG118" s="56"/>
      <c r="BH118" s="56"/>
      <c r="BI118" s="64"/>
      <c r="BJ118" s="64"/>
      <c r="BK118" s="57"/>
      <c r="BL118" s="73"/>
      <c r="BM118" s="76"/>
      <c r="BN118" s="74"/>
      <c r="BO118" s="75"/>
      <c r="BP118" s="66"/>
      <c r="BQ118" s="74"/>
    </row>
    <row r="119" spans="1:69" s="44" customFormat="1" ht="22.35" customHeight="1" x14ac:dyDescent="0.2">
      <c r="A119" s="100"/>
      <c r="B119" s="100"/>
      <c r="C119" s="100"/>
      <c r="D119" s="54"/>
      <c r="E119" s="55"/>
      <c r="F119" s="56"/>
      <c r="G119" s="56"/>
      <c r="H119" s="57"/>
      <c r="I119" s="58"/>
      <c r="J119" s="58"/>
      <c r="K119" s="55"/>
      <c r="L119" s="59"/>
      <c r="M119" s="59"/>
      <c r="N119" s="59"/>
      <c r="O119" s="54"/>
      <c r="P119" s="60"/>
      <c r="Q119" s="66"/>
      <c r="R119" s="67"/>
      <c r="S119" s="56"/>
      <c r="T119" s="56"/>
      <c r="U119" s="63"/>
      <c r="V119" s="64"/>
      <c r="W119" s="55"/>
      <c r="X119" s="63"/>
      <c r="Y119" s="54"/>
      <c r="Z119" s="65"/>
      <c r="AA119" s="66"/>
      <c r="AB119" s="67"/>
      <c r="AC119" s="56"/>
      <c r="AD119" s="56"/>
      <c r="AE119" s="64"/>
      <c r="AF119" s="64"/>
      <c r="AG119" s="55"/>
      <c r="AH119" s="68"/>
      <c r="AI119" s="54"/>
      <c r="AJ119" s="69"/>
      <c r="AK119" s="66"/>
      <c r="AL119" s="67"/>
      <c r="AM119" s="56"/>
      <c r="AN119" s="56"/>
      <c r="AO119" s="64"/>
      <c r="AP119" s="64"/>
      <c r="AQ119" s="55"/>
      <c r="AR119" s="68"/>
      <c r="AS119" s="54"/>
      <c r="AT119" s="69"/>
      <c r="AU119" s="66"/>
      <c r="AV119" s="67"/>
      <c r="AW119" s="56"/>
      <c r="AX119" s="56"/>
      <c r="AY119" s="64"/>
      <c r="AZ119" s="64"/>
      <c r="BA119" s="55"/>
      <c r="BB119" s="72"/>
      <c r="BC119" s="68"/>
      <c r="BD119" s="69"/>
      <c r="BE119" s="66"/>
      <c r="BF119" s="67"/>
      <c r="BG119" s="56"/>
      <c r="BH119" s="56"/>
      <c r="BI119" s="64"/>
      <c r="BJ119" s="64"/>
      <c r="BK119" s="57"/>
      <c r="BL119" s="73"/>
      <c r="BM119" s="70"/>
      <c r="BN119" s="74"/>
      <c r="BO119" s="75"/>
      <c r="BP119" s="66"/>
      <c r="BQ119" s="74"/>
    </row>
    <row r="120" spans="1:69" s="44" customFormat="1" ht="22.35" customHeight="1" x14ac:dyDescent="0.2">
      <c r="A120" s="100"/>
      <c r="B120" s="100"/>
      <c r="C120" s="100"/>
      <c r="D120" s="54"/>
      <c r="E120" s="55"/>
      <c r="F120" s="56"/>
      <c r="G120" s="56"/>
      <c r="H120" s="57"/>
      <c r="I120" s="58"/>
      <c r="J120" s="58"/>
      <c r="K120" s="55"/>
      <c r="L120" s="59"/>
      <c r="M120" s="59"/>
      <c r="N120" s="59"/>
      <c r="O120" s="54"/>
      <c r="P120" s="60"/>
      <c r="Q120" s="66"/>
      <c r="R120" s="67"/>
      <c r="S120" s="56"/>
      <c r="T120" s="56"/>
      <c r="U120" s="63"/>
      <c r="V120" s="64"/>
      <c r="W120" s="55"/>
      <c r="X120" s="63"/>
      <c r="Y120" s="54"/>
      <c r="Z120" s="65"/>
      <c r="AA120" s="76"/>
      <c r="AB120" s="59"/>
      <c r="AC120" s="56"/>
      <c r="AD120" s="56"/>
      <c r="AE120" s="64"/>
      <c r="AF120" s="64"/>
      <c r="AG120" s="55"/>
      <c r="AH120" s="68"/>
      <c r="AI120" s="54"/>
      <c r="AJ120" s="69"/>
      <c r="AK120" s="76"/>
      <c r="AL120" s="59"/>
      <c r="AM120" s="56"/>
      <c r="AN120" s="56"/>
      <c r="AO120" s="64"/>
      <c r="AP120" s="64"/>
      <c r="AQ120" s="55"/>
      <c r="AR120" s="68"/>
      <c r="AS120" s="54"/>
      <c r="AT120" s="69"/>
      <c r="AU120" s="70"/>
      <c r="AV120" s="71"/>
      <c r="AW120" s="56"/>
      <c r="AX120" s="56"/>
      <c r="AY120" s="64"/>
      <c r="AZ120" s="64"/>
      <c r="BA120" s="55"/>
      <c r="BB120" s="72"/>
      <c r="BC120" s="68"/>
      <c r="BD120" s="69"/>
      <c r="BE120" s="70"/>
      <c r="BF120" s="71"/>
      <c r="BG120" s="56"/>
      <c r="BH120" s="56"/>
      <c r="BI120" s="64"/>
      <c r="BJ120" s="64"/>
      <c r="BK120" s="57"/>
      <c r="BL120" s="73"/>
      <c r="BM120" s="70"/>
      <c r="BN120" s="74"/>
      <c r="BO120" s="75"/>
      <c r="BP120" s="66"/>
      <c r="BQ120" s="74"/>
    </row>
    <row r="121" spans="1:69" s="44" customFormat="1" ht="22.35" customHeight="1" x14ac:dyDescent="0.2">
      <c r="A121" s="100"/>
      <c r="B121" s="100"/>
      <c r="C121" s="100"/>
      <c r="D121" s="54"/>
      <c r="E121" s="55"/>
      <c r="F121" s="56"/>
      <c r="G121" s="56"/>
      <c r="H121" s="57"/>
      <c r="I121" s="58"/>
      <c r="J121" s="58"/>
      <c r="K121" s="55"/>
      <c r="L121" s="59"/>
      <c r="M121" s="59"/>
      <c r="N121" s="59"/>
      <c r="O121" s="54"/>
      <c r="P121" s="60"/>
      <c r="Q121" s="66"/>
      <c r="R121" s="67"/>
      <c r="S121" s="56"/>
      <c r="T121" s="56"/>
      <c r="U121" s="63"/>
      <c r="V121" s="64"/>
      <c r="W121" s="55"/>
      <c r="X121" s="63"/>
      <c r="Y121" s="54"/>
      <c r="Z121" s="65"/>
      <c r="AA121" s="66"/>
      <c r="AB121" s="67"/>
      <c r="AC121" s="56"/>
      <c r="AD121" s="56"/>
      <c r="AE121" s="64"/>
      <c r="AF121" s="64"/>
      <c r="AG121" s="55"/>
      <c r="AH121" s="68"/>
      <c r="AI121" s="54"/>
      <c r="AJ121" s="69"/>
      <c r="AK121" s="66"/>
      <c r="AL121" s="67"/>
      <c r="AM121" s="56"/>
      <c r="AN121" s="56"/>
      <c r="AO121" s="64"/>
      <c r="AP121" s="64"/>
      <c r="AQ121" s="55"/>
      <c r="AR121" s="68"/>
      <c r="AS121" s="54"/>
      <c r="AT121" s="69"/>
      <c r="AU121" s="66"/>
      <c r="AV121" s="67"/>
      <c r="AW121" s="56"/>
      <c r="AX121" s="56"/>
      <c r="AY121" s="64"/>
      <c r="AZ121" s="64"/>
      <c r="BA121" s="55"/>
      <c r="BB121" s="72"/>
      <c r="BC121" s="68"/>
      <c r="BD121" s="69"/>
      <c r="BE121" s="66"/>
      <c r="BF121" s="67"/>
      <c r="BG121" s="56"/>
      <c r="BH121" s="56"/>
      <c r="BI121" s="64"/>
      <c r="BJ121" s="64"/>
      <c r="BK121" s="57"/>
      <c r="BL121" s="73"/>
      <c r="BM121" s="70"/>
      <c r="BN121" s="74"/>
      <c r="BO121" s="75"/>
      <c r="BP121" s="66"/>
      <c r="BQ121" s="74"/>
    </row>
    <row r="122" spans="1:69" s="44" customFormat="1" ht="22.35" customHeight="1" x14ac:dyDescent="0.2">
      <c r="A122" s="100"/>
      <c r="B122" s="100"/>
      <c r="C122" s="100"/>
      <c r="D122" s="54"/>
      <c r="E122" s="55"/>
      <c r="F122" s="56"/>
      <c r="G122" s="56"/>
      <c r="H122" s="57"/>
      <c r="I122" s="58"/>
      <c r="J122" s="58"/>
      <c r="K122" s="55"/>
      <c r="L122" s="59"/>
      <c r="M122" s="59"/>
      <c r="N122" s="59"/>
      <c r="O122" s="54"/>
      <c r="P122" s="60"/>
      <c r="Q122" s="66"/>
      <c r="R122" s="67"/>
      <c r="S122" s="56"/>
      <c r="T122" s="56"/>
      <c r="U122" s="63"/>
      <c r="V122" s="64"/>
      <c r="W122" s="55"/>
      <c r="X122" s="63"/>
      <c r="Y122" s="54"/>
      <c r="Z122" s="65"/>
      <c r="AA122" s="70"/>
      <c r="AB122" s="71"/>
      <c r="AC122" s="56"/>
      <c r="AD122" s="56"/>
      <c r="AE122" s="64"/>
      <c r="AF122" s="64"/>
      <c r="AG122" s="55"/>
      <c r="AH122" s="68"/>
      <c r="AI122" s="54"/>
      <c r="AJ122" s="69"/>
      <c r="AK122" s="76"/>
      <c r="AL122" s="59"/>
      <c r="AM122" s="56"/>
      <c r="AN122" s="56"/>
      <c r="AO122" s="64"/>
      <c r="AP122" s="64"/>
      <c r="AQ122" s="55"/>
      <c r="AR122" s="68"/>
      <c r="AS122" s="54"/>
      <c r="AT122" s="69"/>
      <c r="AU122" s="61"/>
      <c r="AV122" s="62"/>
      <c r="AW122" s="56"/>
      <c r="AX122" s="56"/>
      <c r="AY122" s="64"/>
      <c r="AZ122" s="64"/>
      <c r="BA122" s="55"/>
      <c r="BB122" s="72"/>
      <c r="BC122" s="68"/>
      <c r="BD122" s="69"/>
      <c r="BE122" s="66"/>
      <c r="BF122" s="67"/>
      <c r="BG122" s="56"/>
      <c r="BH122" s="56"/>
      <c r="BI122" s="64"/>
      <c r="BJ122" s="64"/>
      <c r="BK122" s="57"/>
      <c r="BL122" s="73"/>
      <c r="BM122" s="76"/>
      <c r="BN122" s="74"/>
      <c r="BO122" s="75"/>
      <c r="BP122" s="66"/>
      <c r="BQ122" s="74"/>
    </row>
    <row r="123" spans="1:69" s="44" customFormat="1" ht="22.35" customHeight="1" x14ac:dyDescent="0.2">
      <c r="A123" s="100"/>
      <c r="B123" s="100"/>
      <c r="C123" s="100"/>
      <c r="D123" s="54"/>
      <c r="E123" s="55"/>
      <c r="F123" s="56"/>
      <c r="G123" s="56"/>
      <c r="H123" s="57"/>
      <c r="I123" s="58"/>
      <c r="J123" s="58"/>
      <c r="K123" s="55"/>
      <c r="L123" s="59"/>
      <c r="M123" s="59"/>
      <c r="N123" s="59"/>
      <c r="O123" s="54"/>
      <c r="P123" s="60"/>
      <c r="Q123" s="66"/>
      <c r="R123" s="67"/>
      <c r="S123" s="56"/>
      <c r="T123" s="56"/>
      <c r="U123" s="63"/>
      <c r="V123" s="64"/>
      <c r="W123" s="55"/>
      <c r="X123" s="63"/>
      <c r="Y123" s="54"/>
      <c r="Z123" s="65"/>
      <c r="AA123" s="76"/>
      <c r="AB123" s="59"/>
      <c r="AC123" s="56"/>
      <c r="AD123" s="56"/>
      <c r="AE123" s="64"/>
      <c r="AF123" s="64"/>
      <c r="AG123" s="55"/>
      <c r="AH123" s="68"/>
      <c r="AI123" s="54"/>
      <c r="AJ123" s="69"/>
      <c r="AK123" s="70"/>
      <c r="AL123" s="71"/>
      <c r="AM123" s="56"/>
      <c r="AN123" s="56"/>
      <c r="AO123" s="64"/>
      <c r="AP123" s="64"/>
      <c r="AQ123" s="55"/>
      <c r="AR123" s="68"/>
      <c r="AS123" s="54"/>
      <c r="AT123" s="69"/>
      <c r="AU123" s="61"/>
      <c r="AV123" s="62"/>
      <c r="AW123" s="56"/>
      <c r="AX123" s="56"/>
      <c r="AY123" s="64"/>
      <c r="AZ123" s="64"/>
      <c r="BA123" s="55"/>
      <c r="BB123" s="72"/>
      <c r="BC123" s="68"/>
      <c r="BD123" s="69"/>
      <c r="BE123" s="70"/>
      <c r="BF123" s="71"/>
      <c r="BG123" s="56"/>
      <c r="BH123" s="56"/>
      <c r="BI123" s="64"/>
      <c r="BJ123" s="64"/>
      <c r="BK123" s="57"/>
      <c r="BL123" s="73"/>
      <c r="BM123" s="70"/>
      <c r="BN123" s="74"/>
      <c r="BO123" s="75"/>
      <c r="BP123" s="66"/>
      <c r="BQ123" s="74"/>
    </row>
    <row r="124" spans="1:69" s="44" customFormat="1" ht="22.35" customHeight="1" x14ac:dyDescent="0.2">
      <c r="A124" s="100"/>
      <c r="B124" s="100"/>
      <c r="C124" s="100"/>
      <c r="D124" s="54"/>
      <c r="E124" s="55"/>
      <c r="F124" s="56"/>
      <c r="G124" s="56"/>
      <c r="H124" s="57"/>
      <c r="I124" s="58"/>
      <c r="J124" s="58"/>
      <c r="K124" s="55"/>
      <c r="L124" s="59"/>
      <c r="M124" s="59"/>
      <c r="N124" s="59"/>
      <c r="O124" s="54"/>
      <c r="P124" s="60"/>
      <c r="Q124" s="61"/>
      <c r="R124" s="62"/>
      <c r="S124" s="56"/>
      <c r="T124" s="56"/>
      <c r="U124" s="63"/>
      <c r="V124" s="64"/>
      <c r="W124" s="55"/>
      <c r="X124" s="63"/>
      <c r="Y124" s="54"/>
      <c r="Z124" s="65"/>
      <c r="AA124" s="70"/>
      <c r="AB124" s="71"/>
      <c r="AC124" s="56"/>
      <c r="AD124" s="56"/>
      <c r="AE124" s="64"/>
      <c r="AF124" s="64"/>
      <c r="AG124" s="55"/>
      <c r="AH124" s="68"/>
      <c r="AI124" s="54"/>
      <c r="AJ124" s="69"/>
      <c r="AK124" s="61"/>
      <c r="AL124" s="62"/>
      <c r="AM124" s="56"/>
      <c r="AN124" s="56"/>
      <c r="AO124" s="64"/>
      <c r="AP124" s="64"/>
      <c r="AQ124" s="55"/>
      <c r="AR124" s="68"/>
      <c r="AS124" s="54"/>
      <c r="AT124" s="69"/>
      <c r="AU124" s="61"/>
      <c r="AV124" s="62"/>
      <c r="AW124" s="56"/>
      <c r="AX124" s="56"/>
      <c r="AY124" s="64"/>
      <c r="AZ124" s="64"/>
      <c r="BA124" s="55"/>
      <c r="BB124" s="72"/>
      <c r="BC124" s="68"/>
      <c r="BD124" s="69"/>
      <c r="BE124" s="70"/>
      <c r="BF124" s="71"/>
      <c r="BG124" s="56"/>
      <c r="BH124" s="56"/>
      <c r="BI124" s="64"/>
      <c r="BJ124" s="64"/>
      <c r="BK124" s="57"/>
      <c r="BL124" s="73"/>
      <c r="BM124" s="76"/>
      <c r="BN124" s="74"/>
      <c r="BO124" s="75"/>
      <c r="BP124" s="66"/>
      <c r="BQ124" s="74"/>
    </row>
    <row r="125" spans="1:69" s="44" customFormat="1" ht="22.35" customHeight="1" x14ac:dyDescent="0.2">
      <c r="A125" s="100"/>
      <c r="B125" s="100"/>
      <c r="C125" s="100"/>
      <c r="D125" s="54"/>
      <c r="E125" s="55"/>
      <c r="F125" s="56"/>
      <c r="G125" s="56"/>
      <c r="H125" s="57"/>
      <c r="I125" s="58"/>
      <c r="J125" s="58"/>
      <c r="K125" s="55"/>
      <c r="L125" s="59"/>
      <c r="M125" s="59"/>
      <c r="N125" s="59"/>
      <c r="O125" s="54"/>
      <c r="P125" s="60"/>
      <c r="Q125" s="66"/>
      <c r="R125" s="67"/>
      <c r="S125" s="56"/>
      <c r="T125" s="56"/>
      <c r="U125" s="63"/>
      <c r="V125" s="64"/>
      <c r="W125" s="55"/>
      <c r="X125" s="63"/>
      <c r="Y125" s="54"/>
      <c r="Z125" s="65"/>
      <c r="AA125" s="76"/>
      <c r="AB125" s="59"/>
      <c r="AC125" s="56"/>
      <c r="AD125" s="56"/>
      <c r="AE125" s="64"/>
      <c r="AF125" s="64"/>
      <c r="AG125" s="55"/>
      <c r="AH125" s="68"/>
      <c r="AI125" s="54"/>
      <c r="AJ125" s="69"/>
      <c r="AK125" s="76"/>
      <c r="AL125" s="59"/>
      <c r="AM125" s="56"/>
      <c r="AN125" s="56"/>
      <c r="AO125" s="64"/>
      <c r="AP125" s="64"/>
      <c r="AQ125" s="55"/>
      <c r="AR125" s="68"/>
      <c r="AS125" s="54"/>
      <c r="AT125" s="69"/>
      <c r="AU125" s="61"/>
      <c r="AV125" s="62"/>
      <c r="AW125" s="56"/>
      <c r="AX125" s="56"/>
      <c r="AY125" s="64"/>
      <c r="AZ125" s="64"/>
      <c r="BA125" s="55"/>
      <c r="BB125" s="72"/>
      <c r="BC125" s="68"/>
      <c r="BD125" s="69"/>
      <c r="BE125" s="66"/>
      <c r="BF125" s="67"/>
      <c r="BG125" s="56"/>
      <c r="BH125" s="56"/>
      <c r="BI125" s="64"/>
      <c r="BJ125" s="64"/>
      <c r="BK125" s="57"/>
      <c r="BL125" s="73"/>
      <c r="BM125" s="70"/>
      <c r="BN125" s="74"/>
      <c r="BO125" s="75"/>
      <c r="BP125" s="66"/>
      <c r="BQ125" s="74"/>
    </row>
    <row r="126" spans="1:69" s="44" customFormat="1" ht="22.35" customHeight="1" x14ac:dyDescent="0.2">
      <c r="A126" s="100"/>
      <c r="B126" s="100"/>
      <c r="C126" s="100"/>
      <c r="D126" s="54"/>
      <c r="E126" s="55"/>
      <c r="F126" s="56"/>
      <c r="G126" s="56"/>
      <c r="H126" s="57"/>
      <c r="I126" s="58"/>
      <c r="J126" s="58"/>
      <c r="K126" s="55"/>
      <c r="L126" s="59"/>
      <c r="M126" s="59"/>
      <c r="N126" s="59"/>
      <c r="O126" s="54"/>
      <c r="P126" s="60"/>
      <c r="Q126" s="66"/>
      <c r="R126" s="67"/>
      <c r="S126" s="56"/>
      <c r="T126" s="56"/>
      <c r="U126" s="63"/>
      <c r="V126" s="64"/>
      <c r="W126" s="55"/>
      <c r="X126" s="63"/>
      <c r="Y126" s="54"/>
      <c r="Z126" s="65"/>
      <c r="AA126" s="76"/>
      <c r="AB126" s="59"/>
      <c r="AC126" s="56"/>
      <c r="AD126" s="56"/>
      <c r="AE126" s="64"/>
      <c r="AF126" s="64"/>
      <c r="AG126" s="55"/>
      <c r="AH126" s="68"/>
      <c r="AI126" s="54"/>
      <c r="AJ126" s="69"/>
      <c r="AK126" s="61"/>
      <c r="AL126" s="62"/>
      <c r="AM126" s="56"/>
      <c r="AN126" s="56"/>
      <c r="AO126" s="64"/>
      <c r="AP126" s="64"/>
      <c r="AQ126" s="55"/>
      <c r="AR126" s="68"/>
      <c r="AS126" s="54"/>
      <c r="AT126" s="69"/>
      <c r="AU126" s="76"/>
      <c r="AV126" s="59"/>
      <c r="AW126" s="56"/>
      <c r="AX126" s="56"/>
      <c r="AY126" s="64"/>
      <c r="AZ126" s="64"/>
      <c r="BA126" s="55"/>
      <c r="BB126" s="72"/>
      <c r="BC126" s="68"/>
      <c r="BD126" s="69"/>
      <c r="BE126" s="70"/>
      <c r="BF126" s="71"/>
      <c r="BG126" s="56"/>
      <c r="BH126" s="56"/>
      <c r="BI126" s="64"/>
      <c r="BJ126" s="64"/>
      <c r="BK126" s="57"/>
      <c r="BL126" s="73"/>
      <c r="BM126" s="76"/>
      <c r="BN126" s="74"/>
      <c r="BO126" s="75"/>
      <c r="BP126" s="66"/>
      <c r="BQ126" s="74"/>
    </row>
    <row r="127" spans="1:69" s="44" customFormat="1" ht="22.35" customHeight="1" x14ac:dyDescent="0.2">
      <c r="A127" s="100"/>
      <c r="B127" s="100"/>
      <c r="C127" s="100"/>
      <c r="D127" s="54"/>
      <c r="E127" s="55"/>
      <c r="F127" s="56"/>
      <c r="G127" s="56"/>
      <c r="H127" s="57"/>
      <c r="I127" s="58"/>
      <c r="J127" s="58"/>
      <c r="K127" s="55"/>
      <c r="L127" s="59"/>
      <c r="M127" s="59"/>
      <c r="N127" s="59"/>
      <c r="O127" s="54"/>
      <c r="P127" s="60"/>
      <c r="Q127" s="66"/>
      <c r="R127" s="67"/>
      <c r="S127" s="56"/>
      <c r="T127" s="56"/>
      <c r="U127" s="63"/>
      <c r="V127" s="64"/>
      <c r="W127" s="55"/>
      <c r="X127" s="63"/>
      <c r="Y127" s="54"/>
      <c r="Z127" s="65"/>
      <c r="AA127" s="66"/>
      <c r="AB127" s="67"/>
      <c r="AC127" s="56"/>
      <c r="AD127" s="56"/>
      <c r="AE127" s="64"/>
      <c r="AF127" s="64"/>
      <c r="AG127" s="55"/>
      <c r="AH127" s="68"/>
      <c r="AI127" s="54"/>
      <c r="AJ127" s="69"/>
      <c r="AK127" s="70"/>
      <c r="AL127" s="71"/>
      <c r="AM127" s="56"/>
      <c r="AN127" s="56"/>
      <c r="AO127" s="64"/>
      <c r="AP127" s="64"/>
      <c r="AQ127" s="55"/>
      <c r="AR127" s="68"/>
      <c r="AS127" s="54"/>
      <c r="AT127" s="69"/>
      <c r="AU127" s="61"/>
      <c r="AV127" s="62"/>
      <c r="AW127" s="56"/>
      <c r="AX127" s="56"/>
      <c r="AY127" s="64"/>
      <c r="AZ127" s="64"/>
      <c r="BA127" s="55"/>
      <c r="BB127" s="72"/>
      <c r="BC127" s="68"/>
      <c r="BD127" s="69"/>
      <c r="BE127" s="66"/>
      <c r="BF127" s="67"/>
      <c r="BG127" s="56"/>
      <c r="BH127" s="56"/>
      <c r="BI127" s="64"/>
      <c r="BJ127" s="64"/>
      <c r="BK127" s="57"/>
      <c r="BL127" s="73"/>
      <c r="BM127" s="70"/>
      <c r="BN127" s="74"/>
      <c r="BO127" s="75"/>
      <c r="BP127" s="66"/>
      <c r="BQ127" s="74"/>
    </row>
    <row r="128" spans="1:69" s="44" customFormat="1" ht="22.35" customHeight="1" x14ac:dyDescent="0.2">
      <c r="A128" s="100"/>
      <c r="B128" s="100"/>
      <c r="C128" s="100"/>
      <c r="D128" s="54"/>
      <c r="E128" s="55"/>
      <c r="F128" s="56"/>
      <c r="G128" s="56"/>
      <c r="H128" s="57"/>
      <c r="I128" s="58"/>
      <c r="J128" s="58"/>
      <c r="K128" s="55"/>
      <c r="L128" s="59"/>
      <c r="M128" s="59"/>
      <c r="N128" s="59"/>
      <c r="O128" s="54"/>
      <c r="P128" s="60"/>
      <c r="Q128" s="66"/>
      <c r="R128" s="67"/>
      <c r="S128" s="56"/>
      <c r="T128" s="56"/>
      <c r="U128" s="63"/>
      <c r="V128" s="64"/>
      <c r="W128" s="55"/>
      <c r="X128" s="63"/>
      <c r="Y128" s="54"/>
      <c r="Z128" s="65"/>
      <c r="AA128" s="76"/>
      <c r="AB128" s="59"/>
      <c r="AC128" s="56"/>
      <c r="AD128" s="56"/>
      <c r="AE128" s="64"/>
      <c r="AF128" s="64"/>
      <c r="AG128" s="55"/>
      <c r="AH128" s="68"/>
      <c r="AI128" s="54"/>
      <c r="AJ128" s="69"/>
      <c r="AK128" s="61"/>
      <c r="AL128" s="62"/>
      <c r="AM128" s="56"/>
      <c r="AN128" s="56"/>
      <c r="AO128" s="64"/>
      <c r="AP128" s="64"/>
      <c r="AQ128" s="55"/>
      <c r="AR128" s="68"/>
      <c r="AS128" s="54"/>
      <c r="AT128" s="69"/>
      <c r="AU128" s="66"/>
      <c r="AV128" s="67"/>
      <c r="AW128" s="56"/>
      <c r="AX128" s="56"/>
      <c r="AY128" s="64"/>
      <c r="AZ128" s="64"/>
      <c r="BA128" s="55"/>
      <c r="BB128" s="72"/>
      <c r="BC128" s="68"/>
      <c r="BD128" s="69"/>
      <c r="BE128" s="66"/>
      <c r="BF128" s="67"/>
      <c r="BG128" s="56"/>
      <c r="BH128" s="56"/>
      <c r="BI128" s="64"/>
      <c r="BJ128" s="64"/>
      <c r="BK128" s="57"/>
      <c r="BL128" s="73"/>
      <c r="BM128" s="76"/>
      <c r="BN128" s="74"/>
      <c r="BO128" s="75"/>
      <c r="BP128" s="66"/>
      <c r="BQ128" s="74"/>
    </row>
    <row r="129" spans="1:69" s="44" customFormat="1" ht="22.35" customHeight="1" x14ac:dyDescent="0.2">
      <c r="A129" s="100"/>
      <c r="B129" s="100"/>
      <c r="C129" s="100"/>
      <c r="D129" s="54"/>
      <c r="E129" s="55"/>
      <c r="F129" s="56"/>
      <c r="G129" s="56"/>
      <c r="H129" s="57"/>
      <c r="I129" s="58"/>
      <c r="J129" s="58"/>
      <c r="K129" s="55"/>
      <c r="L129" s="59"/>
      <c r="M129" s="59"/>
      <c r="N129" s="59"/>
      <c r="O129" s="54"/>
      <c r="P129" s="60"/>
      <c r="Q129" s="66"/>
      <c r="R129" s="67"/>
      <c r="S129" s="56"/>
      <c r="T129" s="56"/>
      <c r="U129" s="63"/>
      <c r="V129" s="64"/>
      <c r="W129" s="55"/>
      <c r="X129" s="63"/>
      <c r="Y129" s="54"/>
      <c r="Z129" s="65"/>
      <c r="AA129" s="66"/>
      <c r="AB129" s="67"/>
      <c r="AC129" s="56"/>
      <c r="AD129" s="56"/>
      <c r="AE129" s="64"/>
      <c r="AF129" s="64"/>
      <c r="AG129" s="55"/>
      <c r="AH129" s="68"/>
      <c r="AI129" s="54"/>
      <c r="AJ129" s="69"/>
      <c r="AK129" s="66"/>
      <c r="AL129" s="67"/>
      <c r="AM129" s="56"/>
      <c r="AN129" s="56"/>
      <c r="AO129" s="64"/>
      <c r="AP129" s="64"/>
      <c r="AQ129" s="55"/>
      <c r="AR129" s="68"/>
      <c r="AS129" s="54"/>
      <c r="AT129" s="69"/>
      <c r="AU129" s="66"/>
      <c r="AV129" s="67"/>
      <c r="AW129" s="56"/>
      <c r="AX129" s="56"/>
      <c r="AY129" s="64"/>
      <c r="AZ129" s="64"/>
      <c r="BA129" s="55"/>
      <c r="BB129" s="72"/>
      <c r="BC129" s="68"/>
      <c r="BD129" s="69"/>
      <c r="BE129" s="66"/>
      <c r="BF129" s="67"/>
      <c r="BG129" s="56"/>
      <c r="BH129" s="56"/>
      <c r="BI129" s="64"/>
      <c r="BJ129" s="64"/>
      <c r="BK129" s="57"/>
      <c r="BL129" s="73"/>
      <c r="BM129" s="70"/>
      <c r="BN129" s="74"/>
      <c r="BO129" s="75"/>
      <c r="BP129" s="66"/>
      <c r="BQ129" s="74"/>
    </row>
    <row r="130" spans="1:69" s="44" customFormat="1" ht="22.35" customHeight="1" x14ac:dyDescent="0.2">
      <c r="A130" s="100"/>
      <c r="B130" s="100"/>
      <c r="C130" s="100"/>
      <c r="D130" s="54"/>
      <c r="E130" s="55"/>
      <c r="F130" s="56"/>
      <c r="G130" s="56"/>
      <c r="H130" s="57"/>
      <c r="I130" s="58"/>
      <c r="J130" s="58"/>
      <c r="K130" s="55"/>
      <c r="L130" s="59"/>
      <c r="M130" s="59"/>
      <c r="N130" s="59"/>
      <c r="O130" s="54"/>
      <c r="P130" s="60"/>
      <c r="Q130" s="66"/>
      <c r="R130" s="67"/>
      <c r="S130" s="56"/>
      <c r="T130" s="56"/>
      <c r="U130" s="63"/>
      <c r="V130" s="64"/>
      <c r="W130" s="55"/>
      <c r="X130" s="63"/>
      <c r="Y130" s="54"/>
      <c r="Z130" s="65"/>
      <c r="AA130" s="61"/>
      <c r="AB130" s="62"/>
      <c r="AC130" s="56"/>
      <c r="AD130" s="56"/>
      <c r="AE130" s="64"/>
      <c r="AF130" s="64"/>
      <c r="AG130" s="55"/>
      <c r="AH130" s="68"/>
      <c r="AI130" s="54"/>
      <c r="AJ130" s="69"/>
      <c r="AK130" s="61"/>
      <c r="AL130" s="62"/>
      <c r="AM130" s="56"/>
      <c r="AN130" s="56"/>
      <c r="AO130" s="64"/>
      <c r="AP130" s="64"/>
      <c r="AQ130" s="55"/>
      <c r="AR130" s="68"/>
      <c r="AS130" s="54"/>
      <c r="AT130" s="69"/>
      <c r="AU130" s="61"/>
      <c r="AV130" s="62"/>
      <c r="AW130" s="56"/>
      <c r="AX130" s="56"/>
      <c r="AY130" s="64"/>
      <c r="AZ130" s="64"/>
      <c r="BA130" s="55"/>
      <c r="BB130" s="72"/>
      <c r="BC130" s="68"/>
      <c r="BD130" s="69"/>
      <c r="BE130" s="66"/>
      <c r="BF130" s="67"/>
      <c r="BG130" s="56"/>
      <c r="BH130" s="56"/>
      <c r="BI130" s="64"/>
      <c r="BJ130" s="64"/>
      <c r="BK130" s="57"/>
      <c r="BL130" s="73"/>
      <c r="BM130" s="70"/>
      <c r="BN130" s="74"/>
      <c r="BO130" s="75"/>
      <c r="BP130" s="66"/>
      <c r="BQ130" s="74"/>
    </row>
    <row r="131" spans="1:69" s="44" customFormat="1" ht="22.35" customHeight="1" x14ac:dyDescent="0.2">
      <c r="A131" s="100"/>
      <c r="B131" s="100"/>
      <c r="C131" s="100"/>
      <c r="D131" s="54"/>
      <c r="E131" s="55"/>
      <c r="F131" s="56"/>
      <c r="G131" s="56"/>
      <c r="H131" s="57"/>
      <c r="I131" s="58"/>
      <c r="J131" s="58"/>
      <c r="K131" s="55"/>
      <c r="L131" s="59"/>
      <c r="M131" s="59"/>
      <c r="N131" s="59"/>
      <c r="O131" s="54"/>
      <c r="P131" s="60"/>
      <c r="Q131" s="66"/>
      <c r="R131" s="67"/>
      <c r="S131" s="56"/>
      <c r="T131" s="56"/>
      <c r="U131" s="63"/>
      <c r="V131" s="64"/>
      <c r="W131" s="55"/>
      <c r="X131" s="63"/>
      <c r="Y131" s="54"/>
      <c r="Z131" s="65"/>
      <c r="AA131" s="70"/>
      <c r="AB131" s="71"/>
      <c r="AC131" s="56"/>
      <c r="AD131" s="56"/>
      <c r="AE131" s="64"/>
      <c r="AF131" s="64"/>
      <c r="AG131" s="55"/>
      <c r="AH131" s="68"/>
      <c r="AI131" s="54"/>
      <c r="AJ131" s="69"/>
      <c r="AK131" s="70"/>
      <c r="AL131" s="71"/>
      <c r="AM131" s="56"/>
      <c r="AN131" s="56"/>
      <c r="AO131" s="64"/>
      <c r="AP131" s="64"/>
      <c r="AQ131" s="55"/>
      <c r="AR131" s="68"/>
      <c r="AS131" s="54"/>
      <c r="AT131" s="69"/>
      <c r="AU131" s="61"/>
      <c r="AV131" s="62"/>
      <c r="AW131" s="56"/>
      <c r="AX131" s="56"/>
      <c r="AY131" s="64"/>
      <c r="AZ131" s="64"/>
      <c r="BA131" s="55"/>
      <c r="BB131" s="72"/>
      <c r="BC131" s="68"/>
      <c r="BD131" s="69"/>
      <c r="BE131" s="66"/>
      <c r="BF131" s="67"/>
      <c r="BG131" s="56"/>
      <c r="BH131" s="56"/>
      <c r="BI131" s="64"/>
      <c r="BJ131" s="64"/>
      <c r="BK131" s="57"/>
      <c r="BL131" s="73"/>
      <c r="BM131" s="70"/>
      <c r="BN131" s="74"/>
      <c r="BO131" s="75"/>
      <c r="BP131" s="66"/>
      <c r="BQ131" s="74"/>
    </row>
    <row r="132" spans="1:69" s="44" customFormat="1" ht="22.35" customHeight="1" x14ac:dyDescent="0.2">
      <c r="A132" s="100"/>
      <c r="B132" s="100"/>
      <c r="C132" s="100"/>
      <c r="D132" s="54"/>
      <c r="E132" s="55"/>
      <c r="F132" s="56"/>
      <c r="G132" s="56"/>
      <c r="H132" s="57"/>
      <c r="I132" s="58"/>
      <c r="J132" s="58"/>
      <c r="K132" s="55"/>
      <c r="L132" s="59"/>
      <c r="M132" s="59"/>
      <c r="N132" s="59"/>
      <c r="O132" s="54"/>
      <c r="P132" s="60"/>
      <c r="Q132" s="61"/>
      <c r="R132" s="62"/>
      <c r="S132" s="56"/>
      <c r="T132" s="56"/>
      <c r="U132" s="63"/>
      <c r="V132" s="64"/>
      <c r="W132" s="55"/>
      <c r="X132" s="63"/>
      <c r="Y132" s="54"/>
      <c r="Z132" s="65"/>
      <c r="AA132" s="76"/>
      <c r="AB132" s="59"/>
      <c r="AC132" s="56"/>
      <c r="AD132" s="56"/>
      <c r="AE132" s="64"/>
      <c r="AF132" s="64"/>
      <c r="AG132" s="55"/>
      <c r="AH132" s="68"/>
      <c r="AI132" s="54"/>
      <c r="AJ132" s="69"/>
      <c r="AK132" s="66"/>
      <c r="AL132" s="67"/>
      <c r="AM132" s="56"/>
      <c r="AN132" s="56"/>
      <c r="AO132" s="64"/>
      <c r="AP132" s="64"/>
      <c r="AQ132" s="55"/>
      <c r="AR132" s="68"/>
      <c r="AS132" s="54"/>
      <c r="AT132" s="69"/>
      <c r="AU132" s="70"/>
      <c r="AV132" s="71"/>
      <c r="AW132" s="56"/>
      <c r="AX132" s="56"/>
      <c r="AY132" s="64"/>
      <c r="AZ132" s="64"/>
      <c r="BA132" s="55"/>
      <c r="BB132" s="72"/>
      <c r="BC132" s="68"/>
      <c r="BD132" s="69"/>
      <c r="BE132" s="66"/>
      <c r="BF132" s="67"/>
      <c r="BG132" s="56"/>
      <c r="BH132" s="56"/>
      <c r="BI132" s="64"/>
      <c r="BJ132" s="64"/>
      <c r="BK132" s="57"/>
      <c r="BL132" s="73"/>
      <c r="BM132" s="76"/>
      <c r="BN132" s="74"/>
      <c r="BO132" s="75"/>
      <c r="BP132" s="66"/>
      <c r="BQ132" s="74"/>
    </row>
    <row r="133" spans="1:69" s="44" customFormat="1" ht="22.35" customHeight="1" x14ac:dyDescent="0.2">
      <c r="A133" s="100"/>
      <c r="B133" s="100"/>
      <c r="C133" s="100"/>
      <c r="D133" s="54"/>
      <c r="E133" s="55"/>
      <c r="F133" s="56"/>
      <c r="G133" s="56"/>
      <c r="H133" s="57"/>
      <c r="I133" s="58"/>
      <c r="J133" s="58"/>
      <c r="K133" s="55"/>
      <c r="L133" s="59"/>
      <c r="M133" s="59"/>
      <c r="N133" s="59"/>
      <c r="O133" s="54"/>
      <c r="P133" s="60"/>
      <c r="Q133" s="66"/>
      <c r="R133" s="67"/>
      <c r="S133" s="56"/>
      <c r="T133" s="56"/>
      <c r="U133" s="63"/>
      <c r="V133" s="64"/>
      <c r="W133" s="55"/>
      <c r="X133" s="63"/>
      <c r="Y133" s="54"/>
      <c r="Z133" s="65"/>
      <c r="AA133" s="66"/>
      <c r="AB133" s="67"/>
      <c r="AC133" s="56"/>
      <c r="AD133" s="56"/>
      <c r="AE133" s="64"/>
      <c r="AF133" s="64"/>
      <c r="AG133" s="55"/>
      <c r="AH133" s="68"/>
      <c r="AI133" s="54"/>
      <c r="AJ133" s="69"/>
      <c r="AK133" s="70"/>
      <c r="AL133" s="71"/>
      <c r="AM133" s="56"/>
      <c r="AN133" s="56"/>
      <c r="AO133" s="64"/>
      <c r="AP133" s="64"/>
      <c r="AQ133" s="55"/>
      <c r="AR133" s="68"/>
      <c r="AS133" s="54"/>
      <c r="AT133" s="69"/>
      <c r="AU133" s="61"/>
      <c r="AV133" s="62"/>
      <c r="AW133" s="56"/>
      <c r="AX133" s="56"/>
      <c r="AY133" s="64"/>
      <c r="AZ133" s="64"/>
      <c r="BA133" s="55"/>
      <c r="BB133" s="72"/>
      <c r="BC133" s="68"/>
      <c r="BD133" s="69"/>
      <c r="BE133" s="66"/>
      <c r="BF133" s="67"/>
      <c r="BG133" s="56"/>
      <c r="BH133" s="56"/>
      <c r="BI133" s="64"/>
      <c r="BJ133" s="64"/>
      <c r="BK133" s="57"/>
      <c r="BL133" s="73"/>
      <c r="BM133" s="70"/>
      <c r="BN133" s="74"/>
      <c r="BO133" s="75"/>
      <c r="BP133" s="66"/>
      <c r="BQ133" s="74"/>
    </row>
    <row r="134" spans="1:69" s="44" customFormat="1" ht="22.35" customHeight="1" x14ac:dyDescent="0.2">
      <c r="A134" s="100"/>
      <c r="B134" s="100"/>
      <c r="C134" s="100"/>
      <c r="D134" s="54"/>
      <c r="E134" s="55"/>
      <c r="F134" s="56"/>
      <c r="G134" s="56"/>
      <c r="H134" s="57"/>
      <c r="I134" s="58"/>
      <c r="J134" s="58"/>
      <c r="K134" s="55"/>
      <c r="L134" s="59"/>
      <c r="M134" s="59"/>
      <c r="N134" s="59"/>
      <c r="O134" s="54"/>
      <c r="P134" s="60"/>
      <c r="Q134" s="66"/>
      <c r="R134" s="67"/>
      <c r="S134" s="56"/>
      <c r="T134" s="56"/>
      <c r="U134" s="63"/>
      <c r="V134" s="64"/>
      <c r="W134" s="55"/>
      <c r="X134" s="63"/>
      <c r="Y134" s="54"/>
      <c r="Z134" s="65"/>
      <c r="AA134" s="61"/>
      <c r="AB134" s="62"/>
      <c r="AC134" s="56"/>
      <c r="AD134" s="56"/>
      <c r="AE134" s="64"/>
      <c r="AF134" s="64"/>
      <c r="AG134" s="55"/>
      <c r="AH134" s="68"/>
      <c r="AI134" s="54"/>
      <c r="AJ134" s="69"/>
      <c r="AK134" s="70"/>
      <c r="AL134" s="71"/>
      <c r="AM134" s="56"/>
      <c r="AN134" s="56"/>
      <c r="AO134" s="64"/>
      <c r="AP134" s="64"/>
      <c r="AQ134" s="55"/>
      <c r="AR134" s="68"/>
      <c r="AS134" s="54"/>
      <c r="AT134" s="69"/>
      <c r="AU134" s="61"/>
      <c r="AV134" s="62"/>
      <c r="AW134" s="56"/>
      <c r="AX134" s="56"/>
      <c r="AY134" s="64"/>
      <c r="AZ134" s="64"/>
      <c r="BA134" s="55"/>
      <c r="BB134" s="72"/>
      <c r="BC134" s="68"/>
      <c r="BD134" s="69"/>
      <c r="BE134" s="66"/>
      <c r="BF134" s="67"/>
      <c r="BG134" s="56"/>
      <c r="BH134" s="56"/>
      <c r="BI134" s="64"/>
      <c r="BJ134" s="64"/>
      <c r="BK134" s="57"/>
      <c r="BL134" s="73"/>
      <c r="BM134" s="70"/>
      <c r="BN134" s="74"/>
      <c r="BO134" s="75"/>
      <c r="BP134" s="66"/>
      <c r="BQ134" s="74"/>
    </row>
    <row r="135" spans="1:69" s="44" customFormat="1" ht="22.35" customHeight="1" x14ac:dyDescent="0.2">
      <c r="A135" s="100"/>
      <c r="B135" s="100"/>
      <c r="C135" s="100"/>
      <c r="D135" s="54"/>
      <c r="E135" s="55"/>
      <c r="F135" s="56"/>
      <c r="G135" s="56"/>
      <c r="H135" s="57"/>
      <c r="I135" s="58"/>
      <c r="J135" s="58"/>
      <c r="K135" s="55"/>
      <c r="L135" s="59"/>
      <c r="M135" s="59"/>
      <c r="N135" s="59"/>
      <c r="O135" s="54"/>
      <c r="P135" s="60"/>
      <c r="Q135" s="66"/>
      <c r="R135" s="67"/>
      <c r="S135" s="56"/>
      <c r="T135" s="56"/>
      <c r="U135" s="63"/>
      <c r="V135" s="64"/>
      <c r="W135" s="55"/>
      <c r="X135" s="63"/>
      <c r="Y135" s="54"/>
      <c r="Z135" s="65"/>
      <c r="AA135" s="66"/>
      <c r="AB135" s="67"/>
      <c r="AC135" s="56"/>
      <c r="AD135" s="56"/>
      <c r="AE135" s="64"/>
      <c r="AF135" s="64"/>
      <c r="AG135" s="55"/>
      <c r="AH135" s="68"/>
      <c r="AI135" s="54"/>
      <c r="AJ135" s="69"/>
      <c r="AK135" s="66"/>
      <c r="AL135" s="67"/>
      <c r="AM135" s="56"/>
      <c r="AN135" s="56"/>
      <c r="AO135" s="64"/>
      <c r="AP135" s="64"/>
      <c r="AQ135" s="55"/>
      <c r="AR135" s="68"/>
      <c r="AS135" s="54"/>
      <c r="AT135" s="69"/>
      <c r="AU135" s="70"/>
      <c r="AV135" s="71"/>
      <c r="AW135" s="56"/>
      <c r="AX135" s="56"/>
      <c r="AY135" s="64"/>
      <c r="AZ135" s="64"/>
      <c r="BA135" s="55"/>
      <c r="BB135" s="72"/>
      <c r="BC135" s="68"/>
      <c r="BD135" s="69"/>
      <c r="BE135" s="66"/>
      <c r="BF135" s="67"/>
      <c r="BG135" s="56"/>
      <c r="BH135" s="56"/>
      <c r="BI135" s="64"/>
      <c r="BJ135" s="64"/>
      <c r="BK135" s="57"/>
      <c r="BL135" s="73"/>
      <c r="BM135" s="70"/>
      <c r="BN135" s="74"/>
      <c r="BO135" s="75"/>
      <c r="BP135" s="66"/>
      <c r="BQ135" s="74"/>
    </row>
    <row r="136" spans="1:69" s="44" customFormat="1" ht="22.35" customHeight="1" x14ac:dyDescent="0.2">
      <c r="A136" s="100"/>
      <c r="B136" s="100"/>
      <c r="C136" s="100"/>
      <c r="D136" s="54"/>
      <c r="E136" s="55"/>
      <c r="F136" s="56"/>
      <c r="G136" s="56"/>
      <c r="H136" s="57"/>
      <c r="I136" s="58"/>
      <c r="J136" s="58"/>
      <c r="K136" s="55"/>
      <c r="L136" s="59"/>
      <c r="M136" s="59"/>
      <c r="N136" s="59"/>
      <c r="O136" s="54"/>
      <c r="P136" s="60"/>
      <c r="Q136" s="70"/>
      <c r="R136" s="71"/>
      <c r="S136" s="56"/>
      <c r="T136" s="56"/>
      <c r="U136" s="63"/>
      <c r="V136" s="64"/>
      <c r="W136" s="55"/>
      <c r="X136" s="63"/>
      <c r="Y136" s="54"/>
      <c r="Z136" s="65"/>
      <c r="AA136" s="70"/>
      <c r="AB136" s="71"/>
      <c r="AC136" s="56"/>
      <c r="AD136" s="56"/>
      <c r="AE136" s="64"/>
      <c r="AF136" s="64"/>
      <c r="AG136" s="55"/>
      <c r="AH136" s="68"/>
      <c r="AI136" s="54"/>
      <c r="AJ136" s="69"/>
      <c r="AK136" s="76"/>
      <c r="AL136" s="59"/>
      <c r="AM136" s="56"/>
      <c r="AN136" s="56"/>
      <c r="AO136" s="64"/>
      <c r="AP136" s="64"/>
      <c r="AQ136" s="55"/>
      <c r="AR136" s="68"/>
      <c r="AS136" s="54"/>
      <c r="AT136" s="69"/>
      <c r="AU136" s="61"/>
      <c r="AV136" s="62"/>
      <c r="AW136" s="56"/>
      <c r="AX136" s="56"/>
      <c r="AY136" s="64"/>
      <c r="AZ136" s="64"/>
      <c r="BA136" s="55"/>
      <c r="BB136" s="72"/>
      <c r="BC136" s="68"/>
      <c r="BD136" s="69"/>
      <c r="BE136" s="66"/>
      <c r="BF136" s="67"/>
      <c r="BG136" s="56"/>
      <c r="BH136" s="56"/>
      <c r="BI136" s="64"/>
      <c r="BJ136" s="64"/>
      <c r="BK136" s="57"/>
      <c r="BL136" s="73"/>
      <c r="BM136" s="70"/>
      <c r="BN136" s="74"/>
      <c r="BO136" s="75"/>
      <c r="BP136" s="66"/>
      <c r="BQ136" s="74"/>
    </row>
    <row r="137" spans="1:69" s="44" customFormat="1" ht="22.35" customHeight="1" x14ac:dyDescent="0.2">
      <c r="A137" s="100"/>
      <c r="B137" s="100"/>
      <c r="C137" s="100"/>
      <c r="D137" s="54"/>
      <c r="E137" s="55"/>
      <c r="F137" s="56"/>
      <c r="G137" s="56"/>
      <c r="H137" s="57"/>
      <c r="I137" s="58"/>
      <c r="J137" s="58"/>
      <c r="K137" s="55"/>
      <c r="L137" s="59"/>
      <c r="M137" s="59"/>
      <c r="N137" s="59"/>
      <c r="O137" s="54"/>
      <c r="P137" s="60"/>
      <c r="Q137" s="66"/>
      <c r="R137" s="67"/>
      <c r="S137" s="56"/>
      <c r="T137" s="56"/>
      <c r="U137" s="63"/>
      <c r="V137" s="64"/>
      <c r="W137" s="55"/>
      <c r="X137" s="63"/>
      <c r="Y137" s="54"/>
      <c r="Z137" s="65"/>
      <c r="AA137" s="76"/>
      <c r="AB137" s="59"/>
      <c r="AC137" s="56"/>
      <c r="AD137" s="56"/>
      <c r="AE137" s="64"/>
      <c r="AF137" s="64"/>
      <c r="AG137" s="55"/>
      <c r="AH137" s="68"/>
      <c r="AI137" s="54"/>
      <c r="AJ137" s="69"/>
      <c r="AK137" s="61"/>
      <c r="AL137" s="62"/>
      <c r="AM137" s="56"/>
      <c r="AN137" s="56"/>
      <c r="AO137" s="64"/>
      <c r="AP137" s="64"/>
      <c r="AQ137" s="55"/>
      <c r="AR137" s="68"/>
      <c r="AS137" s="54"/>
      <c r="AT137" s="69"/>
      <c r="AU137" s="61"/>
      <c r="AV137" s="62"/>
      <c r="AW137" s="56"/>
      <c r="AX137" s="56"/>
      <c r="AY137" s="64"/>
      <c r="AZ137" s="64"/>
      <c r="BA137" s="55"/>
      <c r="BB137" s="72"/>
      <c r="BC137" s="68"/>
      <c r="BD137" s="69"/>
      <c r="BE137" s="70"/>
      <c r="BF137" s="71"/>
      <c r="BG137" s="56"/>
      <c r="BH137" s="56"/>
      <c r="BI137" s="64"/>
      <c r="BJ137" s="64"/>
      <c r="BK137" s="57"/>
      <c r="BL137" s="73"/>
      <c r="BM137" s="70"/>
      <c r="BN137" s="74"/>
      <c r="BO137" s="75"/>
      <c r="BP137" s="66"/>
      <c r="BQ137" s="74"/>
    </row>
    <row r="138" spans="1:69" s="44" customFormat="1" ht="22.35" customHeight="1" x14ac:dyDescent="0.2">
      <c r="A138" s="100"/>
      <c r="B138" s="100"/>
      <c r="C138" s="100"/>
      <c r="D138" s="54"/>
      <c r="E138" s="55"/>
      <c r="F138" s="56"/>
      <c r="G138" s="56"/>
      <c r="H138" s="57"/>
      <c r="I138" s="58"/>
      <c r="J138" s="58"/>
      <c r="K138" s="55"/>
      <c r="L138" s="59"/>
      <c r="M138" s="59"/>
      <c r="N138" s="59"/>
      <c r="O138" s="54"/>
      <c r="P138" s="60"/>
      <c r="Q138" s="66"/>
      <c r="R138" s="67"/>
      <c r="S138" s="56"/>
      <c r="T138" s="56"/>
      <c r="U138" s="63"/>
      <c r="V138" s="64"/>
      <c r="W138" s="55"/>
      <c r="X138" s="63"/>
      <c r="Y138" s="54"/>
      <c r="Z138" s="65"/>
      <c r="AA138" s="66"/>
      <c r="AB138" s="67"/>
      <c r="AC138" s="56"/>
      <c r="AD138" s="56"/>
      <c r="AE138" s="64"/>
      <c r="AF138" s="64"/>
      <c r="AG138" s="55"/>
      <c r="AH138" s="68"/>
      <c r="AI138" s="54"/>
      <c r="AJ138" s="69"/>
      <c r="AK138" s="66"/>
      <c r="AL138" s="67"/>
      <c r="AM138" s="56"/>
      <c r="AN138" s="56"/>
      <c r="AO138" s="64"/>
      <c r="AP138" s="64"/>
      <c r="AQ138" s="55"/>
      <c r="AR138" s="68"/>
      <c r="AS138" s="54"/>
      <c r="AT138" s="69"/>
      <c r="AU138" s="66"/>
      <c r="AV138" s="67"/>
      <c r="AW138" s="56"/>
      <c r="AX138" s="56"/>
      <c r="AY138" s="64"/>
      <c r="AZ138" s="64"/>
      <c r="BA138" s="55"/>
      <c r="BB138" s="72"/>
      <c r="BC138" s="68"/>
      <c r="BD138" s="69"/>
      <c r="BE138" s="66"/>
      <c r="BF138" s="67"/>
      <c r="BG138" s="56"/>
      <c r="BH138" s="56"/>
      <c r="BI138" s="64"/>
      <c r="BJ138" s="64"/>
      <c r="BK138" s="57"/>
      <c r="BL138" s="73"/>
      <c r="BM138" s="76"/>
      <c r="BN138" s="74"/>
      <c r="BO138" s="75"/>
      <c r="BP138" s="66"/>
      <c r="BQ138" s="74"/>
    </row>
    <row r="139" spans="1:69" s="44" customFormat="1" ht="22.35" customHeight="1" x14ac:dyDescent="0.2">
      <c r="A139" s="100"/>
      <c r="B139" s="100"/>
      <c r="C139" s="100"/>
      <c r="D139" s="54"/>
      <c r="E139" s="55"/>
      <c r="F139" s="56"/>
      <c r="G139" s="56"/>
      <c r="H139" s="57"/>
      <c r="I139" s="58"/>
      <c r="J139" s="58"/>
      <c r="K139" s="55"/>
      <c r="L139" s="59"/>
      <c r="M139" s="59"/>
      <c r="N139" s="59"/>
      <c r="O139" s="54"/>
      <c r="P139" s="60"/>
      <c r="Q139" s="66"/>
      <c r="R139" s="67"/>
      <c r="S139" s="56"/>
      <c r="T139" s="56"/>
      <c r="U139" s="63"/>
      <c r="V139" s="64"/>
      <c r="W139" s="55"/>
      <c r="X139" s="63"/>
      <c r="Y139" s="54"/>
      <c r="Z139" s="65"/>
      <c r="AA139" s="66"/>
      <c r="AB139" s="67"/>
      <c r="AC139" s="56"/>
      <c r="AD139" s="56"/>
      <c r="AE139" s="64"/>
      <c r="AF139" s="64"/>
      <c r="AG139" s="55"/>
      <c r="AH139" s="68"/>
      <c r="AI139" s="54"/>
      <c r="AJ139" s="69"/>
      <c r="AK139" s="66"/>
      <c r="AL139" s="67"/>
      <c r="AM139" s="56"/>
      <c r="AN139" s="56"/>
      <c r="AO139" s="64"/>
      <c r="AP139" s="64"/>
      <c r="AQ139" s="55"/>
      <c r="AR139" s="68"/>
      <c r="AS139" s="54"/>
      <c r="AT139" s="69"/>
      <c r="AU139" s="70"/>
      <c r="AV139" s="71"/>
      <c r="AW139" s="56"/>
      <c r="AX139" s="56"/>
      <c r="AY139" s="64"/>
      <c r="AZ139" s="64"/>
      <c r="BA139" s="55"/>
      <c r="BB139" s="72"/>
      <c r="BC139" s="68"/>
      <c r="BD139" s="69"/>
      <c r="BE139" s="66"/>
      <c r="BF139" s="67"/>
      <c r="BG139" s="56"/>
      <c r="BH139" s="56"/>
      <c r="BI139" s="64"/>
      <c r="BJ139" s="64"/>
      <c r="BK139" s="57"/>
      <c r="BL139" s="73"/>
      <c r="BM139" s="76"/>
      <c r="BN139" s="74"/>
      <c r="BO139" s="75"/>
      <c r="BP139" s="66"/>
      <c r="BQ139" s="74"/>
    </row>
    <row r="140" spans="1:69" s="44" customFormat="1" ht="22.35" customHeight="1" x14ac:dyDescent="0.2">
      <c r="A140" s="100"/>
      <c r="B140" s="100"/>
      <c r="C140" s="100"/>
      <c r="D140" s="54"/>
      <c r="E140" s="55"/>
      <c r="F140" s="56"/>
      <c r="G140" s="56"/>
      <c r="H140" s="57"/>
      <c r="I140" s="58"/>
      <c r="J140" s="58"/>
      <c r="K140" s="55"/>
      <c r="L140" s="59"/>
      <c r="M140" s="59"/>
      <c r="N140" s="59"/>
      <c r="O140" s="54"/>
      <c r="P140" s="60"/>
      <c r="Q140" s="66"/>
      <c r="R140" s="67"/>
      <c r="S140" s="56"/>
      <c r="T140" s="56"/>
      <c r="U140" s="63"/>
      <c r="V140" s="64"/>
      <c r="W140" s="55"/>
      <c r="X140" s="63"/>
      <c r="Y140" s="54"/>
      <c r="Z140" s="65"/>
      <c r="AA140" s="66"/>
      <c r="AB140" s="67"/>
      <c r="AC140" s="56"/>
      <c r="AD140" s="56"/>
      <c r="AE140" s="64"/>
      <c r="AF140" s="64"/>
      <c r="AG140" s="55"/>
      <c r="AH140" s="68"/>
      <c r="AI140" s="54"/>
      <c r="AJ140" s="69"/>
      <c r="AK140" s="66"/>
      <c r="AL140" s="67"/>
      <c r="AM140" s="56"/>
      <c r="AN140" s="56"/>
      <c r="AO140" s="64"/>
      <c r="AP140" s="64"/>
      <c r="AQ140" s="55"/>
      <c r="AR140" s="68"/>
      <c r="AS140" s="54"/>
      <c r="AT140" s="69"/>
      <c r="AU140" s="61"/>
      <c r="AV140" s="62"/>
      <c r="AW140" s="56"/>
      <c r="AX140" s="56"/>
      <c r="AY140" s="64"/>
      <c r="AZ140" s="64"/>
      <c r="BA140" s="55"/>
      <c r="BB140" s="72"/>
      <c r="BC140" s="68"/>
      <c r="BD140" s="69"/>
      <c r="BE140" s="66"/>
      <c r="BF140" s="67"/>
      <c r="BG140" s="56"/>
      <c r="BH140" s="56"/>
      <c r="BI140" s="64"/>
      <c r="BJ140" s="64"/>
      <c r="BK140" s="57"/>
      <c r="BL140" s="73"/>
      <c r="BM140" s="61"/>
      <c r="BN140" s="74"/>
      <c r="BO140" s="75"/>
      <c r="BP140" s="66"/>
      <c r="BQ140" s="74"/>
    </row>
    <row r="141" spans="1:69" s="44" customFormat="1" ht="22.35" customHeight="1" x14ac:dyDescent="0.2">
      <c r="A141" s="100"/>
      <c r="B141" s="100"/>
      <c r="C141" s="100"/>
      <c r="D141" s="54"/>
      <c r="E141" s="55"/>
      <c r="F141" s="56"/>
      <c r="G141" s="56"/>
      <c r="H141" s="57"/>
      <c r="I141" s="58"/>
      <c r="J141" s="58"/>
      <c r="K141" s="55"/>
      <c r="L141" s="59"/>
      <c r="M141" s="59"/>
      <c r="N141" s="59"/>
      <c r="O141" s="54"/>
      <c r="P141" s="60"/>
      <c r="Q141" s="66"/>
      <c r="R141" s="67"/>
      <c r="S141" s="56"/>
      <c r="T141" s="56"/>
      <c r="U141" s="63"/>
      <c r="V141" s="64"/>
      <c r="W141" s="55"/>
      <c r="X141" s="63"/>
      <c r="Y141" s="54"/>
      <c r="Z141" s="65"/>
      <c r="AA141" s="66"/>
      <c r="AB141" s="67"/>
      <c r="AC141" s="56"/>
      <c r="AD141" s="56"/>
      <c r="AE141" s="64"/>
      <c r="AF141" s="64"/>
      <c r="AG141" s="55"/>
      <c r="AH141" s="68"/>
      <c r="AI141" s="54"/>
      <c r="AJ141" s="69"/>
      <c r="AK141" s="70"/>
      <c r="AL141" s="71"/>
      <c r="AM141" s="56"/>
      <c r="AN141" s="56"/>
      <c r="AO141" s="64"/>
      <c r="AP141" s="64"/>
      <c r="AQ141" s="55"/>
      <c r="AR141" s="68"/>
      <c r="AS141" s="54"/>
      <c r="AT141" s="69"/>
      <c r="AU141" s="66"/>
      <c r="AV141" s="67"/>
      <c r="AW141" s="56"/>
      <c r="AX141" s="56"/>
      <c r="AY141" s="64"/>
      <c r="AZ141" s="64"/>
      <c r="BA141" s="55"/>
      <c r="BB141" s="72"/>
      <c r="BC141" s="68"/>
      <c r="BD141" s="69"/>
      <c r="BE141" s="66"/>
      <c r="BF141" s="67"/>
      <c r="BG141" s="56"/>
      <c r="BH141" s="56"/>
      <c r="BI141" s="64"/>
      <c r="BJ141" s="64"/>
      <c r="BK141" s="57"/>
      <c r="BL141" s="73"/>
      <c r="BM141" s="70"/>
      <c r="BN141" s="74"/>
      <c r="BO141" s="75"/>
      <c r="BP141" s="66"/>
      <c r="BQ141" s="74"/>
    </row>
    <row r="142" spans="1:69" s="44" customFormat="1" ht="22.35" customHeight="1" x14ac:dyDescent="0.2">
      <c r="A142" s="100"/>
      <c r="B142" s="100"/>
      <c r="C142" s="100"/>
      <c r="D142" s="54"/>
      <c r="E142" s="55"/>
      <c r="F142" s="56"/>
      <c r="G142" s="56"/>
      <c r="H142" s="57"/>
      <c r="I142" s="58"/>
      <c r="J142" s="58"/>
      <c r="K142" s="55"/>
      <c r="L142" s="59"/>
      <c r="M142" s="59"/>
      <c r="N142" s="59"/>
      <c r="O142" s="54"/>
      <c r="P142" s="60"/>
      <c r="Q142" s="66"/>
      <c r="R142" s="67"/>
      <c r="S142" s="56"/>
      <c r="T142" s="56"/>
      <c r="U142" s="63"/>
      <c r="V142" s="64"/>
      <c r="W142" s="55"/>
      <c r="X142" s="63"/>
      <c r="Y142" s="54"/>
      <c r="Z142" s="65"/>
      <c r="AA142" s="66"/>
      <c r="AB142" s="67"/>
      <c r="AC142" s="56"/>
      <c r="AD142" s="56"/>
      <c r="AE142" s="64"/>
      <c r="AF142" s="64"/>
      <c r="AG142" s="55"/>
      <c r="AH142" s="68"/>
      <c r="AI142" s="54"/>
      <c r="AJ142" s="69"/>
      <c r="AK142" s="66"/>
      <c r="AL142" s="67"/>
      <c r="AM142" s="56"/>
      <c r="AN142" s="56"/>
      <c r="AO142" s="64"/>
      <c r="AP142" s="64"/>
      <c r="AQ142" s="55"/>
      <c r="AR142" s="68"/>
      <c r="AS142" s="54"/>
      <c r="AT142" s="69"/>
      <c r="AU142" s="66"/>
      <c r="AV142" s="67"/>
      <c r="AW142" s="56"/>
      <c r="AX142" s="56"/>
      <c r="AY142" s="64"/>
      <c r="AZ142" s="64"/>
      <c r="BA142" s="55"/>
      <c r="BB142" s="72"/>
      <c r="BC142" s="68"/>
      <c r="BD142" s="69"/>
      <c r="BE142" s="66"/>
      <c r="BF142" s="67"/>
      <c r="BG142" s="56"/>
      <c r="BH142" s="56"/>
      <c r="BI142" s="64"/>
      <c r="BJ142" s="64"/>
      <c r="BK142" s="57"/>
      <c r="BL142" s="73"/>
      <c r="BM142" s="70"/>
      <c r="BN142" s="74"/>
      <c r="BO142" s="75"/>
      <c r="BP142" s="66"/>
      <c r="BQ142" s="74"/>
    </row>
    <row r="143" spans="1:69" s="44" customFormat="1" ht="22.35" customHeight="1" x14ac:dyDescent="0.2">
      <c r="A143" s="100"/>
      <c r="B143" s="100"/>
      <c r="C143" s="100"/>
      <c r="D143" s="54"/>
      <c r="E143" s="55"/>
      <c r="F143" s="56"/>
      <c r="G143" s="56"/>
      <c r="H143" s="57"/>
      <c r="I143" s="58"/>
      <c r="J143" s="58"/>
      <c r="K143" s="55"/>
      <c r="L143" s="59"/>
      <c r="M143" s="59"/>
      <c r="N143" s="59"/>
      <c r="O143" s="54"/>
      <c r="P143" s="60"/>
      <c r="Q143" s="66"/>
      <c r="R143" s="67"/>
      <c r="S143" s="56"/>
      <c r="T143" s="56"/>
      <c r="U143" s="63"/>
      <c r="V143" s="64"/>
      <c r="W143" s="55"/>
      <c r="X143" s="63"/>
      <c r="Y143" s="54"/>
      <c r="Z143" s="65"/>
      <c r="AA143" s="66"/>
      <c r="AB143" s="67"/>
      <c r="AC143" s="56"/>
      <c r="AD143" s="56"/>
      <c r="AE143" s="64"/>
      <c r="AF143" s="64"/>
      <c r="AG143" s="55"/>
      <c r="AH143" s="68"/>
      <c r="AI143" s="54"/>
      <c r="AJ143" s="69"/>
      <c r="AK143" s="76"/>
      <c r="AL143" s="59"/>
      <c r="AM143" s="56"/>
      <c r="AN143" s="56"/>
      <c r="AO143" s="64"/>
      <c r="AP143" s="64"/>
      <c r="AQ143" s="55"/>
      <c r="AR143" s="68"/>
      <c r="AS143" s="54"/>
      <c r="AT143" s="69"/>
      <c r="AU143" s="66"/>
      <c r="AV143" s="67"/>
      <c r="AW143" s="56"/>
      <c r="AX143" s="56"/>
      <c r="AY143" s="64"/>
      <c r="AZ143" s="64"/>
      <c r="BA143" s="55"/>
      <c r="BB143" s="72"/>
      <c r="BC143" s="68"/>
      <c r="BD143" s="69"/>
      <c r="BE143" s="66"/>
      <c r="BF143" s="67"/>
      <c r="BG143" s="56"/>
      <c r="BH143" s="56"/>
      <c r="BI143" s="64"/>
      <c r="BJ143" s="64"/>
      <c r="BK143" s="57"/>
      <c r="BL143" s="73"/>
      <c r="BM143" s="70"/>
      <c r="BN143" s="74"/>
      <c r="BO143" s="75"/>
      <c r="BP143" s="66"/>
      <c r="BQ143" s="74"/>
    </row>
    <row r="144" spans="1:69" s="44" customFormat="1" ht="22.35" customHeight="1" x14ac:dyDescent="0.2">
      <c r="A144" s="100"/>
      <c r="B144" s="100"/>
      <c r="C144" s="100"/>
      <c r="D144" s="54"/>
      <c r="E144" s="55"/>
      <c r="F144" s="56"/>
      <c r="G144" s="56"/>
      <c r="H144" s="57"/>
      <c r="I144" s="58"/>
      <c r="J144" s="58"/>
      <c r="K144" s="55"/>
      <c r="L144" s="59"/>
      <c r="M144" s="59"/>
      <c r="N144" s="59"/>
      <c r="O144" s="54"/>
      <c r="P144" s="60"/>
      <c r="Q144" s="66"/>
      <c r="R144" s="67"/>
      <c r="S144" s="56"/>
      <c r="T144" s="56"/>
      <c r="U144" s="63"/>
      <c r="V144" s="64"/>
      <c r="W144" s="55"/>
      <c r="X144" s="63"/>
      <c r="Y144" s="54"/>
      <c r="Z144" s="65"/>
      <c r="AA144" s="61"/>
      <c r="AB144" s="62"/>
      <c r="AC144" s="56"/>
      <c r="AD144" s="56"/>
      <c r="AE144" s="64"/>
      <c r="AF144" s="64"/>
      <c r="AG144" s="55"/>
      <c r="AH144" s="68"/>
      <c r="AI144" s="54"/>
      <c r="AJ144" s="69"/>
      <c r="AK144" s="61"/>
      <c r="AL144" s="62"/>
      <c r="AM144" s="56"/>
      <c r="AN144" s="56"/>
      <c r="AO144" s="64"/>
      <c r="AP144" s="64"/>
      <c r="AQ144" s="55"/>
      <c r="AR144" s="68"/>
      <c r="AS144" s="54"/>
      <c r="AT144" s="69"/>
      <c r="AU144" s="66"/>
      <c r="AV144" s="67"/>
      <c r="AW144" s="56"/>
      <c r="AX144" s="56"/>
      <c r="AY144" s="64"/>
      <c r="AZ144" s="64"/>
      <c r="BA144" s="55"/>
      <c r="BB144" s="72"/>
      <c r="BC144" s="68"/>
      <c r="BD144" s="69"/>
      <c r="BE144" s="66"/>
      <c r="BF144" s="67"/>
      <c r="BG144" s="56"/>
      <c r="BH144" s="56"/>
      <c r="BI144" s="64"/>
      <c r="BJ144" s="64"/>
      <c r="BK144" s="57"/>
      <c r="BL144" s="73"/>
      <c r="BM144" s="76"/>
      <c r="BN144" s="74"/>
      <c r="BO144" s="75"/>
      <c r="BP144" s="66"/>
      <c r="BQ144" s="74"/>
    </row>
    <row r="145" spans="1:69" s="44" customFormat="1" ht="22.35" customHeight="1" x14ac:dyDescent="0.2">
      <c r="A145" s="100"/>
      <c r="B145" s="100"/>
      <c r="C145" s="100"/>
      <c r="D145" s="54"/>
      <c r="E145" s="55"/>
      <c r="F145" s="56"/>
      <c r="G145" s="56"/>
      <c r="H145" s="57"/>
      <c r="I145" s="58"/>
      <c r="J145" s="58"/>
      <c r="K145" s="55"/>
      <c r="L145" s="59"/>
      <c r="M145" s="59"/>
      <c r="N145" s="59"/>
      <c r="O145" s="54"/>
      <c r="P145" s="60"/>
      <c r="Q145" s="66"/>
      <c r="R145" s="67"/>
      <c r="S145" s="56"/>
      <c r="T145" s="56"/>
      <c r="U145" s="63"/>
      <c r="V145" s="64"/>
      <c r="W145" s="55"/>
      <c r="X145" s="63"/>
      <c r="Y145" s="54"/>
      <c r="Z145" s="65"/>
      <c r="AA145" s="70"/>
      <c r="AB145" s="71"/>
      <c r="AC145" s="56"/>
      <c r="AD145" s="56"/>
      <c r="AE145" s="64"/>
      <c r="AF145" s="64"/>
      <c r="AG145" s="55"/>
      <c r="AH145" s="68"/>
      <c r="AI145" s="54"/>
      <c r="AJ145" s="69"/>
      <c r="AK145" s="70"/>
      <c r="AL145" s="71"/>
      <c r="AM145" s="56"/>
      <c r="AN145" s="56"/>
      <c r="AO145" s="64"/>
      <c r="AP145" s="64"/>
      <c r="AQ145" s="55"/>
      <c r="AR145" s="68"/>
      <c r="AS145" s="54"/>
      <c r="AT145" s="69"/>
      <c r="AU145" s="70"/>
      <c r="AV145" s="71"/>
      <c r="AW145" s="56"/>
      <c r="AX145" s="56"/>
      <c r="AY145" s="64"/>
      <c r="AZ145" s="64"/>
      <c r="BA145" s="55"/>
      <c r="BB145" s="72"/>
      <c r="BC145" s="68"/>
      <c r="BD145" s="69"/>
      <c r="BE145" s="66"/>
      <c r="BF145" s="67"/>
      <c r="BG145" s="56"/>
      <c r="BH145" s="56"/>
      <c r="BI145" s="64"/>
      <c r="BJ145" s="64"/>
      <c r="BK145" s="57"/>
      <c r="BL145" s="73"/>
      <c r="BM145" s="76"/>
      <c r="BN145" s="74"/>
      <c r="BO145" s="75"/>
      <c r="BP145" s="66"/>
      <c r="BQ145" s="74"/>
    </row>
    <row r="146" spans="1:69" s="44" customFormat="1" ht="22.35" customHeight="1" x14ac:dyDescent="0.2">
      <c r="A146" s="100"/>
      <c r="B146" s="100"/>
      <c r="C146" s="100"/>
      <c r="D146" s="54"/>
      <c r="E146" s="55"/>
      <c r="F146" s="56"/>
      <c r="G146" s="56"/>
      <c r="H146" s="57"/>
      <c r="I146" s="58"/>
      <c r="J146" s="58"/>
      <c r="K146" s="55"/>
      <c r="L146" s="59"/>
      <c r="M146" s="59"/>
      <c r="N146" s="59"/>
      <c r="O146" s="54"/>
      <c r="P146" s="60"/>
      <c r="Q146" s="66"/>
      <c r="R146" s="67"/>
      <c r="S146" s="56"/>
      <c r="T146" s="56"/>
      <c r="U146" s="63"/>
      <c r="V146" s="64"/>
      <c r="W146" s="55"/>
      <c r="X146" s="63"/>
      <c r="Y146" s="54"/>
      <c r="Z146" s="65"/>
      <c r="AA146" s="66"/>
      <c r="AB146" s="67"/>
      <c r="AC146" s="56"/>
      <c r="AD146" s="56"/>
      <c r="AE146" s="64"/>
      <c r="AF146" s="64"/>
      <c r="AG146" s="55"/>
      <c r="AH146" s="68"/>
      <c r="AI146" s="54"/>
      <c r="AJ146" s="69"/>
      <c r="AK146" s="70"/>
      <c r="AL146" s="71"/>
      <c r="AM146" s="56"/>
      <c r="AN146" s="56"/>
      <c r="AO146" s="64"/>
      <c r="AP146" s="64"/>
      <c r="AQ146" s="55"/>
      <c r="AR146" s="68"/>
      <c r="AS146" s="54"/>
      <c r="AT146" s="69"/>
      <c r="AU146" s="66"/>
      <c r="AV146" s="67"/>
      <c r="AW146" s="56"/>
      <c r="AX146" s="56"/>
      <c r="AY146" s="64"/>
      <c r="AZ146" s="64"/>
      <c r="BA146" s="55"/>
      <c r="BB146" s="72"/>
      <c r="BC146" s="68"/>
      <c r="BD146" s="69"/>
      <c r="BE146" s="66"/>
      <c r="BF146" s="67"/>
      <c r="BG146" s="56"/>
      <c r="BH146" s="56"/>
      <c r="BI146" s="64"/>
      <c r="BJ146" s="64"/>
      <c r="BK146" s="57"/>
      <c r="BL146" s="73"/>
      <c r="BM146" s="76"/>
      <c r="BN146" s="74"/>
      <c r="BO146" s="75"/>
      <c r="BP146" s="66"/>
      <c r="BQ146" s="74"/>
    </row>
    <row r="147" spans="1:69" s="44" customFormat="1" ht="22.35" customHeight="1" x14ac:dyDescent="0.2">
      <c r="A147" s="100"/>
      <c r="B147" s="100"/>
      <c r="C147" s="100"/>
      <c r="D147" s="54"/>
      <c r="E147" s="55"/>
      <c r="F147" s="56"/>
      <c r="G147" s="56"/>
      <c r="H147" s="57"/>
      <c r="I147" s="58"/>
      <c r="J147" s="58"/>
      <c r="K147" s="55"/>
      <c r="L147" s="59"/>
      <c r="M147" s="59"/>
      <c r="N147" s="59"/>
      <c r="O147" s="54"/>
      <c r="P147" s="60"/>
      <c r="Q147" s="66"/>
      <c r="R147" s="67"/>
      <c r="S147" s="56"/>
      <c r="T147" s="56"/>
      <c r="U147" s="63"/>
      <c r="V147" s="64"/>
      <c r="W147" s="55"/>
      <c r="X147" s="63"/>
      <c r="Y147" s="54"/>
      <c r="Z147" s="65"/>
      <c r="AA147" s="70"/>
      <c r="AB147" s="71"/>
      <c r="AC147" s="56"/>
      <c r="AD147" s="56"/>
      <c r="AE147" s="64"/>
      <c r="AF147" s="64"/>
      <c r="AG147" s="55"/>
      <c r="AH147" s="68"/>
      <c r="AI147" s="54"/>
      <c r="AJ147" s="69"/>
      <c r="AK147" s="70"/>
      <c r="AL147" s="71"/>
      <c r="AM147" s="56"/>
      <c r="AN147" s="56"/>
      <c r="AO147" s="64"/>
      <c r="AP147" s="64"/>
      <c r="AQ147" s="55"/>
      <c r="AR147" s="68"/>
      <c r="AS147" s="54"/>
      <c r="AT147" s="69"/>
      <c r="AU147" s="66"/>
      <c r="AV147" s="67"/>
      <c r="AW147" s="56"/>
      <c r="AX147" s="56"/>
      <c r="AY147" s="64"/>
      <c r="AZ147" s="64"/>
      <c r="BA147" s="55"/>
      <c r="BB147" s="72"/>
      <c r="BC147" s="68"/>
      <c r="BD147" s="69"/>
      <c r="BE147" s="66"/>
      <c r="BF147" s="67"/>
      <c r="BG147" s="56"/>
      <c r="BH147" s="56"/>
      <c r="BI147" s="64"/>
      <c r="BJ147" s="64"/>
      <c r="BK147" s="57"/>
      <c r="BL147" s="73"/>
      <c r="BM147" s="70"/>
      <c r="BN147" s="74"/>
      <c r="BO147" s="75"/>
      <c r="BP147" s="66"/>
      <c r="BQ147" s="74"/>
    </row>
    <row r="148" spans="1:69" s="44" customFormat="1" ht="22.35" customHeight="1" x14ac:dyDescent="0.2">
      <c r="A148" s="100"/>
      <c r="B148" s="100"/>
      <c r="C148" s="100"/>
      <c r="D148" s="54"/>
      <c r="E148" s="55"/>
      <c r="F148" s="56"/>
      <c r="G148" s="56"/>
      <c r="H148" s="57"/>
      <c r="I148" s="58"/>
      <c r="J148" s="58"/>
      <c r="K148" s="55"/>
      <c r="L148" s="59"/>
      <c r="M148" s="59"/>
      <c r="N148" s="59"/>
      <c r="O148" s="54"/>
      <c r="P148" s="60"/>
      <c r="Q148" s="66"/>
      <c r="R148" s="67"/>
      <c r="S148" s="56"/>
      <c r="T148" s="56"/>
      <c r="U148" s="63"/>
      <c r="V148" s="64"/>
      <c r="W148" s="55"/>
      <c r="X148" s="63"/>
      <c r="Y148" s="54"/>
      <c r="Z148" s="65"/>
      <c r="AA148" s="70"/>
      <c r="AB148" s="71"/>
      <c r="AC148" s="56"/>
      <c r="AD148" s="56"/>
      <c r="AE148" s="64"/>
      <c r="AF148" s="64"/>
      <c r="AG148" s="55"/>
      <c r="AH148" s="68"/>
      <c r="AI148" s="54"/>
      <c r="AJ148" s="69"/>
      <c r="AK148" s="76"/>
      <c r="AL148" s="59"/>
      <c r="AM148" s="56"/>
      <c r="AN148" s="56"/>
      <c r="AO148" s="64"/>
      <c r="AP148" s="64"/>
      <c r="AQ148" s="55"/>
      <c r="AR148" s="68"/>
      <c r="AS148" s="54"/>
      <c r="AT148" s="69"/>
      <c r="AU148" s="70"/>
      <c r="AV148" s="71"/>
      <c r="AW148" s="56"/>
      <c r="AX148" s="56"/>
      <c r="AY148" s="64"/>
      <c r="AZ148" s="64"/>
      <c r="BA148" s="55"/>
      <c r="BB148" s="72"/>
      <c r="BC148" s="68"/>
      <c r="BD148" s="69"/>
      <c r="BE148" s="66"/>
      <c r="BF148" s="67"/>
      <c r="BG148" s="56"/>
      <c r="BH148" s="56"/>
      <c r="BI148" s="64"/>
      <c r="BJ148" s="64"/>
      <c r="BK148" s="57"/>
      <c r="BL148" s="73"/>
      <c r="BM148" s="76"/>
      <c r="BN148" s="74"/>
      <c r="BO148" s="75"/>
      <c r="BP148" s="66"/>
      <c r="BQ148" s="74"/>
    </row>
    <row r="149" spans="1:69" s="44" customFormat="1" ht="22.35" customHeight="1" x14ac:dyDescent="0.2">
      <c r="A149" s="100"/>
      <c r="B149" s="100"/>
      <c r="C149" s="100"/>
      <c r="D149" s="54"/>
      <c r="E149" s="55"/>
      <c r="F149" s="56"/>
      <c r="G149" s="56"/>
      <c r="H149" s="57"/>
      <c r="I149" s="58"/>
      <c r="J149" s="58"/>
      <c r="K149" s="55"/>
      <c r="L149" s="59"/>
      <c r="M149" s="59"/>
      <c r="N149" s="59"/>
      <c r="O149" s="54"/>
      <c r="P149" s="60"/>
      <c r="Q149" s="66"/>
      <c r="R149" s="67"/>
      <c r="S149" s="56"/>
      <c r="T149" s="56"/>
      <c r="U149" s="63"/>
      <c r="V149" s="64"/>
      <c r="W149" s="55"/>
      <c r="X149" s="63"/>
      <c r="Y149" s="54"/>
      <c r="Z149" s="65"/>
      <c r="AA149" s="66"/>
      <c r="AB149" s="67"/>
      <c r="AC149" s="56"/>
      <c r="AD149" s="56"/>
      <c r="AE149" s="64"/>
      <c r="AF149" s="64"/>
      <c r="AG149" s="55"/>
      <c r="AH149" s="68"/>
      <c r="AI149" s="54"/>
      <c r="AJ149" s="69"/>
      <c r="AK149" s="70"/>
      <c r="AL149" s="71"/>
      <c r="AM149" s="56"/>
      <c r="AN149" s="56"/>
      <c r="AO149" s="64"/>
      <c r="AP149" s="64"/>
      <c r="AQ149" s="55"/>
      <c r="AR149" s="68"/>
      <c r="AS149" s="54"/>
      <c r="AT149" s="69"/>
      <c r="AU149" s="66"/>
      <c r="AV149" s="67"/>
      <c r="AW149" s="56"/>
      <c r="AX149" s="56"/>
      <c r="AY149" s="64"/>
      <c r="AZ149" s="64"/>
      <c r="BA149" s="55"/>
      <c r="BB149" s="72"/>
      <c r="BC149" s="68"/>
      <c r="BD149" s="69"/>
      <c r="BE149" s="66"/>
      <c r="BF149" s="67"/>
      <c r="BG149" s="56"/>
      <c r="BH149" s="56"/>
      <c r="BI149" s="64"/>
      <c r="BJ149" s="64"/>
      <c r="BK149" s="57"/>
      <c r="BL149" s="73"/>
      <c r="BM149" s="76"/>
      <c r="BN149" s="74"/>
      <c r="BO149" s="75"/>
      <c r="BP149" s="66"/>
      <c r="BQ149" s="74"/>
    </row>
    <row r="150" spans="1:69" s="44" customFormat="1" ht="22.35" customHeight="1" x14ac:dyDescent="0.2">
      <c r="A150" s="100"/>
      <c r="B150" s="100"/>
      <c r="C150" s="100"/>
      <c r="D150" s="54"/>
      <c r="E150" s="55"/>
      <c r="F150" s="56"/>
      <c r="G150" s="56"/>
      <c r="H150" s="57"/>
      <c r="I150" s="58"/>
      <c r="J150" s="58"/>
      <c r="K150" s="55"/>
      <c r="L150" s="59"/>
      <c r="M150" s="59"/>
      <c r="N150" s="59"/>
      <c r="O150" s="54"/>
      <c r="P150" s="60"/>
      <c r="Q150" s="66"/>
      <c r="R150" s="67"/>
      <c r="S150" s="56"/>
      <c r="T150" s="56"/>
      <c r="U150" s="63"/>
      <c r="V150" s="64"/>
      <c r="W150" s="55"/>
      <c r="X150" s="63"/>
      <c r="Y150" s="54"/>
      <c r="Z150" s="65"/>
      <c r="AA150" s="70"/>
      <c r="AB150" s="71"/>
      <c r="AC150" s="56"/>
      <c r="AD150" s="56"/>
      <c r="AE150" s="64"/>
      <c r="AF150" s="64"/>
      <c r="AG150" s="55"/>
      <c r="AH150" s="68"/>
      <c r="AI150" s="54"/>
      <c r="AJ150" s="69"/>
      <c r="AK150" s="70"/>
      <c r="AL150" s="71"/>
      <c r="AM150" s="56"/>
      <c r="AN150" s="56"/>
      <c r="AO150" s="64"/>
      <c r="AP150" s="64"/>
      <c r="AQ150" s="55"/>
      <c r="AR150" s="68"/>
      <c r="AS150" s="54"/>
      <c r="AT150" s="69"/>
      <c r="AU150" s="66"/>
      <c r="AV150" s="67"/>
      <c r="AW150" s="56"/>
      <c r="AX150" s="56"/>
      <c r="AY150" s="64"/>
      <c r="AZ150" s="64"/>
      <c r="BA150" s="55"/>
      <c r="BB150" s="72"/>
      <c r="BC150" s="68"/>
      <c r="BD150" s="69"/>
      <c r="BE150" s="66"/>
      <c r="BF150" s="67"/>
      <c r="BG150" s="56"/>
      <c r="BH150" s="56"/>
      <c r="BI150" s="64"/>
      <c r="BJ150" s="64"/>
      <c r="BK150" s="57"/>
      <c r="BL150" s="73"/>
      <c r="BM150" s="70"/>
      <c r="BN150" s="74"/>
      <c r="BO150" s="75"/>
      <c r="BP150" s="66"/>
      <c r="BQ150" s="74"/>
    </row>
    <row r="151" spans="1:69" s="44" customFormat="1" ht="22.35" customHeight="1" x14ac:dyDescent="0.2">
      <c r="A151" s="100"/>
      <c r="B151" s="100"/>
      <c r="C151" s="100"/>
      <c r="D151" s="54"/>
      <c r="E151" s="55"/>
      <c r="F151" s="56"/>
      <c r="G151" s="56"/>
      <c r="H151" s="57"/>
      <c r="I151" s="58"/>
      <c r="J151" s="58"/>
      <c r="K151" s="55"/>
      <c r="L151" s="59"/>
      <c r="M151" s="59"/>
      <c r="N151" s="59"/>
      <c r="O151" s="54"/>
      <c r="P151" s="60"/>
      <c r="Q151" s="66"/>
      <c r="R151" s="67"/>
      <c r="S151" s="56"/>
      <c r="T151" s="56"/>
      <c r="U151" s="63"/>
      <c r="V151" s="64"/>
      <c r="W151" s="55"/>
      <c r="X151" s="63"/>
      <c r="Y151" s="54"/>
      <c r="Z151" s="65"/>
      <c r="AA151" s="76"/>
      <c r="AB151" s="59"/>
      <c r="AC151" s="56"/>
      <c r="AD151" s="56"/>
      <c r="AE151" s="64"/>
      <c r="AF151" s="64"/>
      <c r="AG151" s="55"/>
      <c r="AH151" s="68"/>
      <c r="AI151" s="54"/>
      <c r="AJ151" s="69"/>
      <c r="AK151" s="70"/>
      <c r="AL151" s="71"/>
      <c r="AM151" s="56"/>
      <c r="AN151" s="56"/>
      <c r="AO151" s="64"/>
      <c r="AP151" s="64"/>
      <c r="AQ151" s="55"/>
      <c r="AR151" s="68"/>
      <c r="AS151" s="54"/>
      <c r="AT151" s="69"/>
      <c r="AU151" s="66"/>
      <c r="AV151" s="67"/>
      <c r="AW151" s="56"/>
      <c r="AX151" s="56"/>
      <c r="AY151" s="64"/>
      <c r="AZ151" s="64"/>
      <c r="BA151" s="55"/>
      <c r="BB151" s="72"/>
      <c r="BC151" s="68"/>
      <c r="BD151" s="69"/>
      <c r="BE151" s="66"/>
      <c r="BF151" s="67"/>
      <c r="BG151" s="56"/>
      <c r="BH151" s="56"/>
      <c r="BI151" s="64"/>
      <c r="BJ151" s="64"/>
      <c r="BK151" s="57"/>
      <c r="BL151" s="73"/>
      <c r="BM151" s="76"/>
      <c r="BN151" s="74"/>
      <c r="BO151" s="75"/>
      <c r="BP151" s="66"/>
      <c r="BQ151" s="74"/>
    </row>
    <row r="152" spans="1:69" s="44" customFormat="1" ht="22.35" customHeight="1" x14ac:dyDescent="0.2">
      <c r="A152" s="100"/>
      <c r="B152" s="100"/>
      <c r="C152" s="100"/>
      <c r="D152" s="54"/>
      <c r="E152" s="55"/>
      <c r="F152" s="56"/>
      <c r="G152" s="56"/>
      <c r="H152" s="57"/>
      <c r="I152" s="58"/>
      <c r="J152" s="58"/>
      <c r="K152" s="55"/>
      <c r="L152" s="59"/>
      <c r="M152" s="59"/>
      <c r="N152" s="59"/>
      <c r="O152" s="54"/>
      <c r="P152" s="60"/>
      <c r="Q152" s="66"/>
      <c r="R152" s="67"/>
      <c r="S152" s="56"/>
      <c r="T152" s="56"/>
      <c r="U152" s="63"/>
      <c r="V152" s="64"/>
      <c r="W152" s="55"/>
      <c r="X152" s="63"/>
      <c r="Y152" s="54"/>
      <c r="Z152" s="65"/>
      <c r="AA152" s="61"/>
      <c r="AB152" s="62"/>
      <c r="AC152" s="56"/>
      <c r="AD152" s="56"/>
      <c r="AE152" s="64"/>
      <c r="AF152" s="64"/>
      <c r="AG152" s="55"/>
      <c r="AH152" s="68"/>
      <c r="AI152" s="54"/>
      <c r="AJ152" s="69"/>
      <c r="AK152" s="61"/>
      <c r="AL152" s="62"/>
      <c r="AM152" s="56"/>
      <c r="AN152" s="56"/>
      <c r="AO152" s="64"/>
      <c r="AP152" s="64"/>
      <c r="AQ152" s="55"/>
      <c r="AR152" s="68"/>
      <c r="AS152" s="54"/>
      <c r="AT152" s="69"/>
      <c r="AU152" s="61"/>
      <c r="AV152" s="62"/>
      <c r="AW152" s="56"/>
      <c r="AX152" s="56"/>
      <c r="AY152" s="64"/>
      <c r="AZ152" s="64"/>
      <c r="BA152" s="55"/>
      <c r="BB152" s="72"/>
      <c r="BC152" s="68"/>
      <c r="BD152" s="69"/>
      <c r="BE152" s="70"/>
      <c r="BF152" s="71"/>
      <c r="BG152" s="56"/>
      <c r="BH152" s="56"/>
      <c r="BI152" s="64"/>
      <c r="BJ152" s="64"/>
      <c r="BK152" s="57"/>
      <c r="BL152" s="73"/>
      <c r="BM152" s="76"/>
      <c r="BN152" s="74"/>
      <c r="BO152" s="75"/>
      <c r="BP152" s="66"/>
      <c r="BQ152" s="74"/>
    </row>
    <row r="153" spans="1:69" s="44" customFormat="1" ht="22.35" customHeight="1" x14ac:dyDescent="0.2">
      <c r="A153" s="100"/>
      <c r="B153" s="100"/>
      <c r="C153" s="100"/>
      <c r="D153" s="54"/>
      <c r="E153" s="55"/>
      <c r="F153" s="56"/>
      <c r="G153" s="56"/>
      <c r="H153" s="57"/>
      <c r="I153" s="58"/>
      <c r="J153" s="58"/>
      <c r="K153" s="55"/>
      <c r="L153" s="59"/>
      <c r="M153" s="59"/>
      <c r="N153" s="59"/>
      <c r="O153" s="54"/>
      <c r="P153" s="60"/>
      <c r="Q153" s="66"/>
      <c r="R153" s="67"/>
      <c r="S153" s="56"/>
      <c r="T153" s="56"/>
      <c r="U153" s="63"/>
      <c r="V153" s="64"/>
      <c r="W153" s="55"/>
      <c r="X153" s="63"/>
      <c r="Y153" s="54"/>
      <c r="Z153" s="65"/>
      <c r="AA153" s="70"/>
      <c r="AB153" s="71"/>
      <c r="AC153" s="56"/>
      <c r="AD153" s="56"/>
      <c r="AE153" s="64"/>
      <c r="AF153" s="64"/>
      <c r="AG153" s="55"/>
      <c r="AH153" s="68"/>
      <c r="AI153" s="54"/>
      <c r="AJ153" s="69"/>
      <c r="AK153" s="70"/>
      <c r="AL153" s="71"/>
      <c r="AM153" s="56"/>
      <c r="AN153" s="56"/>
      <c r="AO153" s="64"/>
      <c r="AP153" s="64"/>
      <c r="AQ153" s="55"/>
      <c r="AR153" s="68"/>
      <c r="AS153" s="54"/>
      <c r="AT153" s="69"/>
      <c r="AU153" s="66"/>
      <c r="AV153" s="67"/>
      <c r="AW153" s="56"/>
      <c r="AX153" s="56"/>
      <c r="AY153" s="64"/>
      <c r="AZ153" s="64"/>
      <c r="BA153" s="55"/>
      <c r="BB153" s="72"/>
      <c r="BC153" s="68"/>
      <c r="BD153" s="69"/>
      <c r="BE153" s="66"/>
      <c r="BF153" s="67"/>
      <c r="BG153" s="56"/>
      <c r="BH153" s="56"/>
      <c r="BI153" s="64"/>
      <c r="BJ153" s="64"/>
      <c r="BK153" s="57"/>
      <c r="BL153" s="73"/>
      <c r="BM153" s="70"/>
      <c r="BN153" s="74"/>
      <c r="BO153" s="75"/>
      <c r="BP153" s="66"/>
      <c r="BQ153" s="74"/>
    </row>
    <row r="154" spans="1:69" s="44" customFormat="1" ht="22.35" customHeight="1" x14ac:dyDescent="0.2">
      <c r="A154" s="100"/>
      <c r="B154" s="100"/>
      <c r="C154" s="100"/>
      <c r="D154" s="54"/>
      <c r="E154" s="55"/>
      <c r="F154" s="56"/>
      <c r="G154" s="56"/>
      <c r="H154" s="57"/>
      <c r="I154" s="58"/>
      <c r="J154" s="58"/>
      <c r="K154" s="55"/>
      <c r="L154" s="59"/>
      <c r="M154" s="59"/>
      <c r="N154" s="59"/>
      <c r="O154" s="54"/>
      <c r="P154" s="60"/>
      <c r="Q154" s="70"/>
      <c r="R154" s="71"/>
      <c r="S154" s="56"/>
      <c r="T154" s="56"/>
      <c r="U154" s="63"/>
      <c r="V154" s="64"/>
      <c r="W154" s="55"/>
      <c r="X154" s="63"/>
      <c r="Y154" s="54"/>
      <c r="Z154" s="65"/>
      <c r="AA154" s="66"/>
      <c r="AB154" s="67"/>
      <c r="AC154" s="56"/>
      <c r="AD154" s="56"/>
      <c r="AE154" s="64"/>
      <c r="AF154" s="64"/>
      <c r="AG154" s="55"/>
      <c r="AH154" s="68"/>
      <c r="AI154" s="54"/>
      <c r="AJ154" s="69"/>
      <c r="AK154" s="66"/>
      <c r="AL154" s="67"/>
      <c r="AM154" s="56"/>
      <c r="AN154" s="56"/>
      <c r="AO154" s="64"/>
      <c r="AP154" s="64"/>
      <c r="AQ154" s="55"/>
      <c r="AR154" s="68"/>
      <c r="AS154" s="54"/>
      <c r="AT154" s="69"/>
      <c r="AU154" s="70"/>
      <c r="AV154" s="71"/>
      <c r="AW154" s="56"/>
      <c r="AX154" s="56"/>
      <c r="AY154" s="64"/>
      <c r="AZ154" s="64"/>
      <c r="BA154" s="55"/>
      <c r="BB154" s="72"/>
      <c r="BC154" s="68"/>
      <c r="BD154" s="69"/>
      <c r="BE154" s="66"/>
      <c r="BF154" s="67"/>
      <c r="BG154" s="56"/>
      <c r="BH154" s="56"/>
      <c r="BI154" s="64"/>
      <c r="BJ154" s="64"/>
      <c r="BK154" s="57"/>
      <c r="BL154" s="73"/>
      <c r="BM154" s="76"/>
      <c r="BN154" s="74"/>
      <c r="BO154" s="75"/>
      <c r="BP154" s="66"/>
      <c r="BQ154" s="74"/>
    </row>
    <row r="155" spans="1:69" s="44" customFormat="1" ht="22.35" customHeight="1" x14ac:dyDescent="0.2">
      <c r="A155" s="100"/>
      <c r="B155" s="100"/>
      <c r="C155" s="100"/>
      <c r="D155" s="54"/>
      <c r="E155" s="55"/>
      <c r="F155" s="56"/>
      <c r="G155" s="56"/>
      <c r="H155" s="57"/>
      <c r="I155" s="58"/>
      <c r="J155" s="58"/>
      <c r="K155" s="55"/>
      <c r="L155" s="59"/>
      <c r="M155" s="59"/>
      <c r="N155" s="59"/>
      <c r="O155" s="54"/>
      <c r="P155" s="60"/>
      <c r="Q155" s="66"/>
      <c r="R155" s="67"/>
      <c r="S155" s="56"/>
      <c r="T155" s="56"/>
      <c r="U155" s="63"/>
      <c r="V155" s="64"/>
      <c r="W155" s="55"/>
      <c r="X155" s="63"/>
      <c r="Y155" s="54"/>
      <c r="Z155" s="65"/>
      <c r="AA155" s="70"/>
      <c r="AB155" s="71"/>
      <c r="AC155" s="56"/>
      <c r="AD155" s="56"/>
      <c r="AE155" s="64"/>
      <c r="AF155" s="64"/>
      <c r="AG155" s="55"/>
      <c r="AH155" s="68"/>
      <c r="AI155" s="54"/>
      <c r="AJ155" s="69"/>
      <c r="AK155" s="76"/>
      <c r="AL155" s="59"/>
      <c r="AM155" s="56"/>
      <c r="AN155" s="56"/>
      <c r="AO155" s="64"/>
      <c r="AP155" s="64"/>
      <c r="AQ155" s="55"/>
      <c r="AR155" s="68"/>
      <c r="AS155" s="54"/>
      <c r="AT155" s="69"/>
      <c r="AU155" s="66"/>
      <c r="AV155" s="67"/>
      <c r="AW155" s="56"/>
      <c r="AX155" s="56"/>
      <c r="AY155" s="64"/>
      <c r="AZ155" s="64"/>
      <c r="BA155" s="55"/>
      <c r="BB155" s="72"/>
      <c r="BC155" s="68"/>
      <c r="BD155" s="69"/>
      <c r="BE155" s="70"/>
      <c r="BF155" s="71"/>
      <c r="BG155" s="56"/>
      <c r="BH155" s="56"/>
      <c r="BI155" s="64"/>
      <c r="BJ155" s="64"/>
      <c r="BK155" s="57"/>
      <c r="BL155" s="73"/>
      <c r="BM155" s="70"/>
      <c r="BN155" s="74"/>
      <c r="BO155" s="75"/>
      <c r="BP155" s="66"/>
      <c r="BQ155" s="74"/>
    </row>
    <row r="156" spans="1:69" s="44" customFormat="1" ht="22.35" customHeight="1" x14ac:dyDescent="0.2">
      <c r="A156" s="100"/>
      <c r="B156" s="100"/>
      <c r="C156" s="100"/>
      <c r="D156" s="54"/>
      <c r="E156" s="55"/>
      <c r="F156" s="56"/>
      <c r="G156" s="56"/>
      <c r="H156" s="57"/>
      <c r="I156" s="58"/>
      <c r="J156" s="58"/>
      <c r="K156" s="55"/>
      <c r="L156" s="59"/>
      <c r="M156" s="59"/>
      <c r="N156" s="59"/>
      <c r="O156" s="54"/>
      <c r="P156" s="60"/>
      <c r="Q156" s="66"/>
      <c r="R156" s="67"/>
      <c r="S156" s="56"/>
      <c r="T156" s="56"/>
      <c r="U156" s="63"/>
      <c r="V156" s="64"/>
      <c r="W156" s="55"/>
      <c r="X156" s="63"/>
      <c r="Y156" s="54"/>
      <c r="Z156" s="65"/>
      <c r="AA156" s="70"/>
      <c r="AB156" s="71"/>
      <c r="AC156" s="56"/>
      <c r="AD156" s="56"/>
      <c r="AE156" s="64"/>
      <c r="AF156" s="64"/>
      <c r="AG156" s="55"/>
      <c r="AH156" s="68"/>
      <c r="AI156" s="54"/>
      <c r="AJ156" s="69"/>
      <c r="AK156" s="76"/>
      <c r="AL156" s="59"/>
      <c r="AM156" s="56"/>
      <c r="AN156" s="56"/>
      <c r="AO156" s="64"/>
      <c r="AP156" s="64"/>
      <c r="AQ156" s="55"/>
      <c r="AR156" s="68"/>
      <c r="AS156" s="54"/>
      <c r="AT156" s="69"/>
      <c r="AU156" s="66"/>
      <c r="AV156" s="67"/>
      <c r="AW156" s="56"/>
      <c r="AX156" s="56"/>
      <c r="AY156" s="64"/>
      <c r="AZ156" s="64"/>
      <c r="BA156" s="55"/>
      <c r="BB156" s="72"/>
      <c r="BC156" s="68"/>
      <c r="BD156" s="69"/>
      <c r="BE156" s="66"/>
      <c r="BF156" s="67"/>
      <c r="BG156" s="56"/>
      <c r="BH156" s="56"/>
      <c r="BI156" s="64"/>
      <c r="BJ156" s="64"/>
      <c r="BK156" s="57"/>
      <c r="BL156" s="73"/>
      <c r="BM156" s="70"/>
      <c r="BN156" s="74"/>
      <c r="BO156" s="75"/>
      <c r="BP156" s="66"/>
      <c r="BQ156" s="74"/>
    </row>
    <row r="157" spans="1:69" s="44" customFormat="1" ht="22.35" customHeight="1" x14ac:dyDescent="0.2">
      <c r="A157" s="100"/>
      <c r="B157" s="100"/>
      <c r="C157" s="100"/>
      <c r="D157" s="54"/>
      <c r="E157" s="55"/>
      <c r="F157" s="56"/>
      <c r="G157" s="56"/>
      <c r="H157" s="57"/>
      <c r="I157" s="58"/>
      <c r="J157" s="58"/>
      <c r="K157" s="55"/>
      <c r="L157" s="59"/>
      <c r="M157" s="59"/>
      <c r="N157" s="59"/>
      <c r="O157" s="54"/>
      <c r="P157" s="60"/>
      <c r="Q157" s="66"/>
      <c r="R157" s="67"/>
      <c r="S157" s="56"/>
      <c r="T157" s="56"/>
      <c r="U157" s="63"/>
      <c r="V157" s="64"/>
      <c r="W157" s="55"/>
      <c r="X157" s="63"/>
      <c r="Y157" s="54"/>
      <c r="Z157" s="65"/>
      <c r="AA157" s="70"/>
      <c r="AB157" s="71"/>
      <c r="AC157" s="56"/>
      <c r="AD157" s="56"/>
      <c r="AE157" s="64"/>
      <c r="AF157" s="64"/>
      <c r="AG157" s="55"/>
      <c r="AH157" s="68"/>
      <c r="AI157" s="54"/>
      <c r="AJ157" s="69"/>
      <c r="AK157" s="76"/>
      <c r="AL157" s="59"/>
      <c r="AM157" s="56"/>
      <c r="AN157" s="56"/>
      <c r="AO157" s="64"/>
      <c r="AP157" s="64"/>
      <c r="AQ157" s="55"/>
      <c r="AR157" s="68"/>
      <c r="AS157" s="54"/>
      <c r="AT157" s="69"/>
      <c r="AU157" s="70"/>
      <c r="AV157" s="71"/>
      <c r="AW157" s="56"/>
      <c r="AX157" s="56"/>
      <c r="AY157" s="64"/>
      <c r="AZ157" s="64"/>
      <c r="BA157" s="55"/>
      <c r="BB157" s="72"/>
      <c r="BC157" s="68"/>
      <c r="BD157" s="69"/>
      <c r="BE157" s="66"/>
      <c r="BF157" s="67"/>
      <c r="BG157" s="56"/>
      <c r="BH157" s="56"/>
      <c r="BI157" s="64"/>
      <c r="BJ157" s="64"/>
      <c r="BK157" s="57"/>
      <c r="BL157" s="73"/>
      <c r="BM157" s="70"/>
      <c r="BN157" s="74"/>
      <c r="BO157" s="75"/>
      <c r="BP157" s="66"/>
      <c r="BQ157" s="74"/>
    </row>
    <row r="158" spans="1:69" s="44" customFormat="1" ht="22.35" customHeight="1" x14ac:dyDescent="0.2">
      <c r="A158" s="100"/>
      <c r="B158" s="100"/>
      <c r="C158" s="100"/>
      <c r="D158" s="54"/>
      <c r="E158" s="55"/>
      <c r="F158" s="56"/>
      <c r="G158" s="56"/>
      <c r="H158" s="57"/>
      <c r="I158" s="58"/>
      <c r="J158" s="58"/>
      <c r="K158" s="55"/>
      <c r="L158" s="59"/>
      <c r="M158" s="59"/>
      <c r="N158" s="59"/>
      <c r="O158" s="54"/>
      <c r="P158" s="60"/>
      <c r="Q158" s="66"/>
      <c r="R158" s="67"/>
      <c r="S158" s="56"/>
      <c r="T158" s="56"/>
      <c r="U158" s="63"/>
      <c r="V158" s="64"/>
      <c r="W158" s="55"/>
      <c r="X158" s="63"/>
      <c r="Y158" s="54"/>
      <c r="Z158" s="65"/>
      <c r="AA158" s="66"/>
      <c r="AB158" s="67"/>
      <c r="AC158" s="56"/>
      <c r="AD158" s="56"/>
      <c r="AE158" s="64"/>
      <c r="AF158" s="64"/>
      <c r="AG158" s="55"/>
      <c r="AH158" s="68"/>
      <c r="AI158" s="54"/>
      <c r="AJ158" s="69"/>
      <c r="AK158" s="76"/>
      <c r="AL158" s="59"/>
      <c r="AM158" s="56"/>
      <c r="AN158" s="56"/>
      <c r="AO158" s="64"/>
      <c r="AP158" s="64"/>
      <c r="AQ158" s="55"/>
      <c r="AR158" s="68"/>
      <c r="AS158" s="54"/>
      <c r="AT158" s="69"/>
      <c r="AU158" s="61"/>
      <c r="AV158" s="62"/>
      <c r="AW158" s="56"/>
      <c r="AX158" s="56"/>
      <c r="AY158" s="64"/>
      <c r="AZ158" s="64"/>
      <c r="BA158" s="55"/>
      <c r="BB158" s="72"/>
      <c r="BC158" s="68"/>
      <c r="BD158" s="69"/>
      <c r="BE158" s="66"/>
      <c r="BF158" s="67"/>
      <c r="BG158" s="56"/>
      <c r="BH158" s="56"/>
      <c r="BI158" s="64"/>
      <c r="BJ158" s="64"/>
      <c r="BK158" s="57"/>
      <c r="BL158" s="73"/>
      <c r="BM158" s="70"/>
      <c r="BN158" s="74"/>
      <c r="BO158" s="75"/>
      <c r="BP158" s="66"/>
      <c r="BQ158" s="74"/>
    </row>
    <row r="159" spans="1:69" s="44" customFormat="1" ht="22.35" customHeight="1" x14ac:dyDescent="0.2">
      <c r="A159" s="100"/>
      <c r="B159" s="100"/>
      <c r="C159" s="100"/>
      <c r="D159" s="54"/>
      <c r="E159" s="55"/>
      <c r="F159" s="56"/>
      <c r="G159" s="56"/>
      <c r="H159" s="57"/>
      <c r="I159" s="58"/>
      <c r="J159" s="58"/>
      <c r="K159" s="55"/>
      <c r="L159" s="59"/>
      <c r="M159" s="59"/>
      <c r="N159" s="59"/>
      <c r="O159" s="54"/>
      <c r="P159" s="60"/>
      <c r="Q159" s="66"/>
      <c r="R159" s="67"/>
      <c r="S159" s="56"/>
      <c r="T159" s="56"/>
      <c r="U159" s="63"/>
      <c r="V159" s="64"/>
      <c r="W159" s="55"/>
      <c r="X159" s="63"/>
      <c r="Y159" s="54"/>
      <c r="Z159" s="65"/>
      <c r="AA159" s="70"/>
      <c r="AB159" s="71"/>
      <c r="AC159" s="56"/>
      <c r="AD159" s="56"/>
      <c r="AE159" s="64"/>
      <c r="AF159" s="64"/>
      <c r="AG159" s="55"/>
      <c r="AH159" s="68"/>
      <c r="AI159" s="54"/>
      <c r="AJ159" s="69"/>
      <c r="AK159" s="76"/>
      <c r="AL159" s="59"/>
      <c r="AM159" s="56"/>
      <c r="AN159" s="56"/>
      <c r="AO159" s="64"/>
      <c r="AP159" s="64"/>
      <c r="AQ159" s="55"/>
      <c r="AR159" s="68"/>
      <c r="AS159" s="54"/>
      <c r="AT159" s="69"/>
      <c r="AU159" s="61"/>
      <c r="AV159" s="62"/>
      <c r="AW159" s="56"/>
      <c r="AX159" s="56"/>
      <c r="AY159" s="64"/>
      <c r="AZ159" s="64"/>
      <c r="BA159" s="55"/>
      <c r="BB159" s="72"/>
      <c r="BC159" s="68"/>
      <c r="BD159" s="69"/>
      <c r="BE159" s="61"/>
      <c r="BF159" s="62"/>
      <c r="BG159" s="56"/>
      <c r="BH159" s="56"/>
      <c r="BI159" s="64"/>
      <c r="BJ159" s="64"/>
      <c r="BK159" s="57"/>
      <c r="BL159" s="73"/>
      <c r="BM159" s="76"/>
      <c r="BN159" s="74"/>
      <c r="BO159" s="75"/>
      <c r="BP159" s="66"/>
      <c r="BQ159" s="74"/>
    </row>
    <row r="160" spans="1:69" s="44" customFormat="1" ht="22.35" customHeight="1" x14ac:dyDescent="0.2">
      <c r="A160" s="100"/>
      <c r="B160" s="100"/>
      <c r="C160" s="100"/>
      <c r="D160" s="54"/>
      <c r="E160" s="55"/>
      <c r="F160" s="56"/>
      <c r="G160" s="56"/>
      <c r="H160" s="57"/>
      <c r="I160" s="58"/>
      <c r="J160" s="58"/>
      <c r="K160" s="55"/>
      <c r="L160" s="59"/>
      <c r="M160" s="59"/>
      <c r="N160" s="59"/>
      <c r="O160" s="54"/>
      <c r="P160" s="60"/>
      <c r="Q160" s="66"/>
      <c r="R160" s="67"/>
      <c r="S160" s="56"/>
      <c r="T160" s="56"/>
      <c r="U160" s="63"/>
      <c r="V160" s="64"/>
      <c r="W160" s="55"/>
      <c r="X160" s="63"/>
      <c r="Y160" s="54"/>
      <c r="Z160" s="65"/>
      <c r="AA160" s="70"/>
      <c r="AB160" s="71"/>
      <c r="AC160" s="56"/>
      <c r="AD160" s="56"/>
      <c r="AE160" s="64"/>
      <c r="AF160" s="64"/>
      <c r="AG160" s="55"/>
      <c r="AH160" s="68"/>
      <c r="AI160" s="54"/>
      <c r="AJ160" s="69"/>
      <c r="AK160" s="76"/>
      <c r="AL160" s="59"/>
      <c r="AM160" s="56"/>
      <c r="AN160" s="56"/>
      <c r="AO160" s="64"/>
      <c r="AP160" s="64"/>
      <c r="AQ160" s="55"/>
      <c r="AR160" s="68"/>
      <c r="AS160" s="54"/>
      <c r="AT160" s="69"/>
      <c r="AU160" s="61"/>
      <c r="AV160" s="62"/>
      <c r="AW160" s="56"/>
      <c r="AX160" s="56"/>
      <c r="AY160" s="64"/>
      <c r="AZ160" s="64"/>
      <c r="BA160" s="55"/>
      <c r="BB160" s="72"/>
      <c r="BC160" s="68"/>
      <c r="BD160" s="69"/>
      <c r="BE160" s="76"/>
      <c r="BF160" s="59"/>
      <c r="BG160" s="56"/>
      <c r="BH160" s="56"/>
      <c r="BI160" s="64"/>
      <c r="BJ160" s="64"/>
      <c r="BK160" s="57"/>
      <c r="BL160" s="73"/>
      <c r="BM160" s="76"/>
      <c r="BN160" s="74"/>
      <c r="BO160" s="75"/>
      <c r="BP160" s="66"/>
      <c r="BQ160" s="74"/>
    </row>
    <row r="161" spans="1:69" s="44" customFormat="1" ht="22.35" customHeight="1" x14ac:dyDescent="0.2">
      <c r="A161" s="100"/>
      <c r="B161" s="100"/>
      <c r="C161" s="100"/>
      <c r="D161" s="54"/>
      <c r="E161" s="55"/>
      <c r="F161" s="56"/>
      <c r="G161" s="56"/>
      <c r="H161" s="57"/>
      <c r="I161" s="58"/>
      <c r="J161" s="58"/>
      <c r="K161" s="55"/>
      <c r="L161" s="59"/>
      <c r="M161" s="59"/>
      <c r="N161" s="59"/>
      <c r="O161" s="54"/>
      <c r="P161" s="60"/>
      <c r="Q161" s="66"/>
      <c r="R161" s="67"/>
      <c r="S161" s="56"/>
      <c r="T161" s="56"/>
      <c r="U161" s="63"/>
      <c r="V161" s="64"/>
      <c r="W161" s="55"/>
      <c r="X161" s="63"/>
      <c r="Y161" s="54"/>
      <c r="Z161" s="65"/>
      <c r="AA161" s="70"/>
      <c r="AB161" s="71"/>
      <c r="AC161" s="56"/>
      <c r="AD161" s="56"/>
      <c r="AE161" s="64"/>
      <c r="AF161" s="64"/>
      <c r="AG161" s="55"/>
      <c r="AH161" s="68"/>
      <c r="AI161" s="54"/>
      <c r="AJ161" s="69"/>
      <c r="AK161" s="61"/>
      <c r="AL161" s="62"/>
      <c r="AM161" s="56"/>
      <c r="AN161" s="56"/>
      <c r="AO161" s="64"/>
      <c r="AP161" s="64"/>
      <c r="AQ161" s="55"/>
      <c r="AR161" s="68"/>
      <c r="AS161" s="54"/>
      <c r="AT161" s="69"/>
      <c r="AU161" s="61"/>
      <c r="AV161" s="62"/>
      <c r="AW161" s="56"/>
      <c r="AX161" s="56"/>
      <c r="AY161" s="64"/>
      <c r="AZ161" s="64"/>
      <c r="BA161" s="55"/>
      <c r="BB161" s="72"/>
      <c r="BC161" s="68"/>
      <c r="BD161" s="69"/>
      <c r="BE161" s="70"/>
      <c r="BF161" s="71"/>
      <c r="BG161" s="56"/>
      <c r="BH161" s="56"/>
      <c r="BI161" s="64"/>
      <c r="BJ161" s="64"/>
      <c r="BK161" s="57"/>
      <c r="BL161" s="73"/>
      <c r="BM161" s="76"/>
      <c r="BN161" s="74"/>
      <c r="BO161" s="75"/>
      <c r="BP161" s="66"/>
      <c r="BQ161" s="74"/>
    </row>
    <row r="162" spans="1:69" s="44" customFormat="1" ht="22.35" customHeight="1" x14ac:dyDescent="0.2">
      <c r="A162" s="100"/>
      <c r="B162" s="100"/>
      <c r="C162" s="100"/>
      <c r="D162" s="54"/>
      <c r="E162" s="55"/>
      <c r="F162" s="56"/>
      <c r="G162" s="56"/>
      <c r="H162" s="57"/>
      <c r="I162" s="58"/>
      <c r="J162" s="58"/>
      <c r="K162" s="55"/>
      <c r="L162" s="59"/>
      <c r="M162" s="59"/>
      <c r="N162" s="59"/>
      <c r="O162" s="54"/>
      <c r="P162" s="60"/>
      <c r="Q162" s="66"/>
      <c r="R162" s="67"/>
      <c r="S162" s="56"/>
      <c r="T162" s="56"/>
      <c r="U162" s="63"/>
      <c r="V162" s="64"/>
      <c r="W162" s="55"/>
      <c r="X162" s="63"/>
      <c r="Y162" s="54"/>
      <c r="Z162" s="65"/>
      <c r="AA162" s="76"/>
      <c r="AB162" s="59"/>
      <c r="AC162" s="56"/>
      <c r="AD162" s="56"/>
      <c r="AE162" s="64"/>
      <c r="AF162" s="64"/>
      <c r="AG162" s="55"/>
      <c r="AH162" s="68"/>
      <c r="AI162" s="54"/>
      <c r="AJ162" s="69"/>
      <c r="AK162" s="66"/>
      <c r="AL162" s="67"/>
      <c r="AM162" s="56"/>
      <c r="AN162" s="56"/>
      <c r="AO162" s="64"/>
      <c r="AP162" s="64"/>
      <c r="AQ162" s="55"/>
      <c r="AR162" s="68"/>
      <c r="AS162" s="54"/>
      <c r="AT162" s="69"/>
      <c r="AU162" s="61"/>
      <c r="AV162" s="62"/>
      <c r="AW162" s="56"/>
      <c r="AX162" s="56"/>
      <c r="AY162" s="64"/>
      <c r="AZ162" s="64"/>
      <c r="BA162" s="55"/>
      <c r="BB162" s="72"/>
      <c r="BC162" s="68"/>
      <c r="BD162" s="69"/>
      <c r="BE162" s="66"/>
      <c r="BF162" s="67"/>
      <c r="BG162" s="56"/>
      <c r="BH162" s="56"/>
      <c r="BI162" s="64"/>
      <c r="BJ162" s="64"/>
      <c r="BK162" s="57"/>
      <c r="BL162" s="73"/>
      <c r="BM162" s="70"/>
      <c r="BN162" s="74"/>
      <c r="BO162" s="75"/>
      <c r="BP162" s="66"/>
      <c r="BQ162" s="74"/>
    </row>
    <row r="163" spans="1:69" s="44" customFormat="1" ht="22.35" customHeight="1" x14ac:dyDescent="0.2">
      <c r="A163" s="100"/>
      <c r="B163" s="100"/>
      <c r="C163" s="100"/>
      <c r="D163" s="54"/>
      <c r="E163" s="55"/>
      <c r="F163" s="56"/>
      <c r="G163" s="56"/>
      <c r="H163" s="57"/>
      <c r="I163" s="58"/>
      <c r="J163" s="58"/>
      <c r="K163" s="55"/>
      <c r="L163" s="59"/>
      <c r="M163" s="59"/>
      <c r="N163" s="59"/>
      <c r="O163" s="54"/>
      <c r="P163" s="60"/>
      <c r="Q163" s="66"/>
      <c r="R163" s="67"/>
      <c r="S163" s="56"/>
      <c r="T163" s="56"/>
      <c r="U163" s="63"/>
      <c r="V163" s="64"/>
      <c r="W163" s="55"/>
      <c r="X163" s="63"/>
      <c r="Y163" s="54"/>
      <c r="Z163" s="65"/>
      <c r="AA163" s="66"/>
      <c r="AB163" s="67"/>
      <c r="AC163" s="56"/>
      <c r="AD163" s="56"/>
      <c r="AE163" s="64"/>
      <c r="AF163" s="64"/>
      <c r="AG163" s="55"/>
      <c r="AH163" s="68"/>
      <c r="AI163" s="54"/>
      <c r="AJ163" s="69"/>
      <c r="AK163" s="66"/>
      <c r="AL163" s="67"/>
      <c r="AM163" s="56"/>
      <c r="AN163" s="56"/>
      <c r="AO163" s="64"/>
      <c r="AP163" s="64"/>
      <c r="AQ163" s="55"/>
      <c r="AR163" s="68"/>
      <c r="AS163" s="54"/>
      <c r="AT163" s="69"/>
      <c r="AU163" s="66"/>
      <c r="AV163" s="67"/>
      <c r="AW163" s="56"/>
      <c r="AX163" s="56"/>
      <c r="AY163" s="64"/>
      <c r="AZ163" s="64"/>
      <c r="BA163" s="55"/>
      <c r="BB163" s="72"/>
      <c r="BC163" s="68"/>
      <c r="BD163" s="69"/>
      <c r="BE163" s="66"/>
      <c r="BF163" s="67"/>
      <c r="BG163" s="56"/>
      <c r="BH163" s="56"/>
      <c r="BI163" s="64"/>
      <c r="BJ163" s="64"/>
      <c r="BK163" s="57"/>
      <c r="BL163" s="73"/>
      <c r="BM163" s="76"/>
      <c r="BN163" s="74"/>
      <c r="BO163" s="75"/>
      <c r="BP163" s="66"/>
      <c r="BQ163" s="74"/>
    </row>
    <row r="164" spans="1:69" s="44" customFormat="1" ht="22.35" customHeight="1" x14ac:dyDescent="0.2">
      <c r="A164" s="100"/>
      <c r="B164" s="100"/>
      <c r="C164" s="100"/>
      <c r="D164" s="54"/>
      <c r="E164" s="55"/>
      <c r="F164" s="56"/>
      <c r="G164" s="56"/>
      <c r="H164" s="57"/>
      <c r="I164" s="58"/>
      <c r="J164" s="58"/>
      <c r="K164" s="55"/>
      <c r="L164" s="59"/>
      <c r="M164" s="59"/>
      <c r="N164" s="59"/>
      <c r="O164" s="54"/>
      <c r="P164" s="60"/>
      <c r="Q164" s="66"/>
      <c r="R164" s="67"/>
      <c r="S164" s="56"/>
      <c r="T164" s="56"/>
      <c r="U164" s="63"/>
      <c r="V164" s="64"/>
      <c r="W164" s="55"/>
      <c r="X164" s="63"/>
      <c r="Y164" s="54"/>
      <c r="Z164" s="65"/>
      <c r="AA164" s="76"/>
      <c r="AB164" s="59"/>
      <c r="AC164" s="56"/>
      <c r="AD164" s="56"/>
      <c r="AE164" s="64"/>
      <c r="AF164" s="64"/>
      <c r="AG164" s="55"/>
      <c r="AH164" s="68"/>
      <c r="AI164" s="54"/>
      <c r="AJ164" s="69"/>
      <c r="AK164" s="61"/>
      <c r="AL164" s="62"/>
      <c r="AM164" s="56"/>
      <c r="AN164" s="56"/>
      <c r="AO164" s="64"/>
      <c r="AP164" s="64"/>
      <c r="AQ164" s="55"/>
      <c r="AR164" s="68"/>
      <c r="AS164" s="54"/>
      <c r="AT164" s="69"/>
      <c r="AU164" s="61"/>
      <c r="AV164" s="62"/>
      <c r="AW164" s="56"/>
      <c r="AX164" s="56"/>
      <c r="AY164" s="64"/>
      <c r="AZ164" s="64"/>
      <c r="BA164" s="55"/>
      <c r="BB164" s="72"/>
      <c r="BC164" s="68"/>
      <c r="BD164" s="69"/>
      <c r="BE164" s="70"/>
      <c r="BF164" s="71"/>
      <c r="BG164" s="56"/>
      <c r="BH164" s="56"/>
      <c r="BI164" s="64"/>
      <c r="BJ164" s="64"/>
      <c r="BK164" s="57"/>
      <c r="BL164" s="73"/>
      <c r="BM164" s="76"/>
      <c r="BN164" s="74"/>
      <c r="BO164" s="75"/>
      <c r="BP164" s="66"/>
      <c r="BQ164" s="74"/>
    </row>
    <row r="165" spans="1:69" s="44" customFormat="1" ht="22.35" customHeight="1" x14ac:dyDescent="0.2">
      <c r="A165" s="100"/>
      <c r="B165" s="100"/>
      <c r="C165" s="100"/>
      <c r="D165" s="54"/>
      <c r="E165" s="55"/>
      <c r="F165" s="56"/>
      <c r="G165" s="56"/>
      <c r="H165" s="57"/>
      <c r="I165" s="58"/>
      <c r="J165" s="58"/>
      <c r="K165" s="55"/>
      <c r="L165" s="59"/>
      <c r="M165" s="59"/>
      <c r="N165" s="59"/>
      <c r="O165" s="54"/>
      <c r="P165" s="60"/>
      <c r="Q165" s="66"/>
      <c r="R165" s="67"/>
      <c r="S165" s="56"/>
      <c r="T165" s="56"/>
      <c r="U165" s="63"/>
      <c r="V165" s="64"/>
      <c r="W165" s="55"/>
      <c r="X165" s="63"/>
      <c r="Y165" s="54"/>
      <c r="Z165" s="65"/>
      <c r="AA165" s="76"/>
      <c r="AB165" s="59"/>
      <c r="AC165" s="56"/>
      <c r="AD165" s="56"/>
      <c r="AE165" s="64"/>
      <c r="AF165" s="64"/>
      <c r="AG165" s="55"/>
      <c r="AH165" s="68"/>
      <c r="AI165" s="54"/>
      <c r="AJ165" s="69"/>
      <c r="AK165" s="76"/>
      <c r="AL165" s="59"/>
      <c r="AM165" s="56"/>
      <c r="AN165" s="56"/>
      <c r="AO165" s="64"/>
      <c r="AP165" s="64"/>
      <c r="AQ165" s="55"/>
      <c r="AR165" s="68"/>
      <c r="AS165" s="54"/>
      <c r="AT165" s="69"/>
      <c r="AU165" s="61"/>
      <c r="AV165" s="62"/>
      <c r="AW165" s="56"/>
      <c r="AX165" s="56"/>
      <c r="AY165" s="64"/>
      <c r="AZ165" s="64"/>
      <c r="BA165" s="55"/>
      <c r="BB165" s="72"/>
      <c r="BC165" s="68"/>
      <c r="BD165" s="69"/>
      <c r="BE165" s="76"/>
      <c r="BF165" s="59"/>
      <c r="BG165" s="56"/>
      <c r="BH165" s="56"/>
      <c r="BI165" s="64"/>
      <c r="BJ165" s="64"/>
      <c r="BK165" s="57"/>
      <c r="BL165" s="73"/>
      <c r="BM165" s="76"/>
      <c r="BN165" s="74"/>
      <c r="BO165" s="75"/>
      <c r="BP165" s="66"/>
      <c r="BQ165" s="74"/>
    </row>
    <row r="166" spans="1:69" s="44" customFormat="1" ht="22.35" customHeight="1" x14ac:dyDescent="0.2">
      <c r="A166" s="100"/>
      <c r="B166" s="100"/>
      <c r="C166" s="100"/>
      <c r="D166" s="54"/>
      <c r="E166" s="55"/>
      <c r="F166" s="56"/>
      <c r="G166" s="56"/>
      <c r="H166" s="57"/>
      <c r="I166" s="58"/>
      <c r="J166" s="58"/>
      <c r="K166" s="55"/>
      <c r="L166" s="59"/>
      <c r="M166" s="59"/>
      <c r="N166" s="59"/>
      <c r="O166" s="54"/>
      <c r="P166" s="60"/>
      <c r="Q166" s="66"/>
      <c r="R166" s="67"/>
      <c r="S166" s="56"/>
      <c r="T166" s="56"/>
      <c r="U166" s="63"/>
      <c r="V166" s="64"/>
      <c r="W166" s="55"/>
      <c r="X166" s="63"/>
      <c r="Y166" s="54"/>
      <c r="Z166" s="65"/>
      <c r="AA166" s="70"/>
      <c r="AB166" s="71"/>
      <c r="AC166" s="56"/>
      <c r="AD166" s="56"/>
      <c r="AE166" s="64"/>
      <c r="AF166" s="64"/>
      <c r="AG166" s="55"/>
      <c r="AH166" s="68"/>
      <c r="AI166" s="54"/>
      <c r="AJ166" s="69"/>
      <c r="AK166" s="70"/>
      <c r="AL166" s="71"/>
      <c r="AM166" s="56"/>
      <c r="AN166" s="56"/>
      <c r="AO166" s="64"/>
      <c r="AP166" s="64"/>
      <c r="AQ166" s="55"/>
      <c r="AR166" s="68"/>
      <c r="AS166" s="54"/>
      <c r="AT166" s="69"/>
      <c r="AU166" s="76"/>
      <c r="AV166" s="59"/>
      <c r="AW166" s="56"/>
      <c r="AX166" s="56"/>
      <c r="AY166" s="64"/>
      <c r="AZ166" s="64"/>
      <c r="BA166" s="55"/>
      <c r="BB166" s="72"/>
      <c r="BC166" s="68"/>
      <c r="BD166" s="69"/>
      <c r="BE166" s="66"/>
      <c r="BF166" s="67"/>
      <c r="BG166" s="56"/>
      <c r="BH166" s="56"/>
      <c r="BI166" s="64"/>
      <c r="BJ166" s="64"/>
      <c r="BK166" s="57"/>
      <c r="BL166" s="73"/>
      <c r="BM166" s="76"/>
      <c r="BN166" s="74"/>
      <c r="BO166" s="75"/>
      <c r="BP166" s="66"/>
      <c r="BQ166" s="74"/>
    </row>
    <row r="167" spans="1:69" s="44" customFormat="1" ht="22.35" customHeight="1" x14ac:dyDescent="0.2">
      <c r="A167" s="100"/>
      <c r="B167" s="100"/>
      <c r="C167" s="100"/>
      <c r="D167" s="54"/>
      <c r="E167" s="55"/>
      <c r="F167" s="56"/>
      <c r="G167" s="56"/>
      <c r="H167" s="57"/>
      <c r="I167" s="58"/>
      <c r="J167" s="58"/>
      <c r="K167" s="55"/>
      <c r="L167" s="59"/>
      <c r="M167" s="59"/>
      <c r="N167" s="59"/>
      <c r="O167" s="54"/>
      <c r="P167" s="60"/>
      <c r="Q167" s="61"/>
      <c r="R167" s="62"/>
      <c r="S167" s="56"/>
      <c r="T167" s="56"/>
      <c r="U167" s="63"/>
      <c r="V167" s="64"/>
      <c r="W167" s="55"/>
      <c r="X167" s="63"/>
      <c r="Y167" s="54"/>
      <c r="Z167" s="65"/>
      <c r="AA167" s="76"/>
      <c r="AB167" s="59"/>
      <c r="AC167" s="56"/>
      <c r="AD167" s="56"/>
      <c r="AE167" s="64"/>
      <c r="AF167" s="64"/>
      <c r="AG167" s="55"/>
      <c r="AH167" s="68"/>
      <c r="AI167" s="54"/>
      <c r="AJ167" s="69"/>
      <c r="AK167" s="66"/>
      <c r="AL167" s="67"/>
      <c r="AM167" s="56"/>
      <c r="AN167" s="56"/>
      <c r="AO167" s="64"/>
      <c r="AP167" s="64"/>
      <c r="AQ167" s="55"/>
      <c r="AR167" s="68"/>
      <c r="AS167" s="54"/>
      <c r="AT167" s="69"/>
      <c r="AU167" s="61"/>
      <c r="AV167" s="62"/>
      <c r="AW167" s="56"/>
      <c r="AX167" s="56"/>
      <c r="AY167" s="64"/>
      <c r="AZ167" s="64"/>
      <c r="BA167" s="55"/>
      <c r="BB167" s="72"/>
      <c r="BC167" s="68"/>
      <c r="BD167" s="69"/>
      <c r="BE167" s="70"/>
      <c r="BF167" s="71"/>
      <c r="BG167" s="56"/>
      <c r="BH167" s="56"/>
      <c r="BI167" s="64"/>
      <c r="BJ167" s="64"/>
      <c r="BK167" s="57"/>
      <c r="BL167" s="73"/>
      <c r="BM167" s="61"/>
      <c r="BN167" s="74"/>
      <c r="BO167" s="75"/>
      <c r="BP167" s="66"/>
      <c r="BQ167" s="74"/>
    </row>
    <row r="168" spans="1:69" s="44" customFormat="1" ht="22.35" customHeight="1" x14ac:dyDescent="0.2">
      <c r="A168" s="100"/>
      <c r="B168" s="100"/>
      <c r="C168" s="100"/>
      <c r="D168" s="54"/>
      <c r="E168" s="55"/>
      <c r="F168" s="56"/>
      <c r="G168" s="56"/>
      <c r="H168" s="57"/>
      <c r="I168" s="58"/>
      <c r="J168" s="58"/>
      <c r="K168" s="55"/>
      <c r="L168" s="59"/>
      <c r="M168" s="59"/>
      <c r="N168" s="59"/>
      <c r="O168" s="54"/>
      <c r="P168" s="60"/>
      <c r="Q168" s="66"/>
      <c r="R168" s="67"/>
      <c r="S168" s="56"/>
      <c r="T168" s="56"/>
      <c r="U168" s="63"/>
      <c r="V168" s="64"/>
      <c r="W168" s="55"/>
      <c r="X168" s="63"/>
      <c r="Y168" s="54"/>
      <c r="Z168" s="65"/>
      <c r="AA168" s="66"/>
      <c r="AB168" s="67"/>
      <c r="AC168" s="56"/>
      <c r="AD168" s="56"/>
      <c r="AE168" s="64"/>
      <c r="AF168" s="64"/>
      <c r="AG168" s="55"/>
      <c r="AH168" s="68"/>
      <c r="AI168" s="54"/>
      <c r="AJ168" s="69"/>
      <c r="AK168" s="76"/>
      <c r="AL168" s="59"/>
      <c r="AM168" s="56"/>
      <c r="AN168" s="56"/>
      <c r="AO168" s="64"/>
      <c r="AP168" s="64"/>
      <c r="AQ168" s="55"/>
      <c r="AR168" s="68"/>
      <c r="AS168" s="54"/>
      <c r="AT168" s="69"/>
      <c r="AU168" s="76"/>
      <c r="AV168" s="59"/>
      <c r="AW168" s="56"/>
      <c r="AX168" s="56"/>
      <c r="AY168" s="64"/>
      <c r="AZ168" s="64"/>
      <c r="BA168" s="55"/>
      <c r="BB168" s="72"/>
      <c r="BC168" s="68"/>
      <c r="BD168" s="69"/>
      <c r="BE168" s="66"/>
      <c r="BF168" s="67"/>
      <c r="BG168" s="56"/>
      <c r="BH168" s="56"/>
      <c r="BI168" s="64"/>
      <c r="BJ168" s="64"/>
      <c r="BK168" s="57"/>
      <c r="BL168" s="73"/>
      <c r="BM168" s="76"/>
      <c r="BN168" s="74"/>
      <c r="BO168" s="75"/>
      <c r="BP168" s="66"/>
      <c r="BQ168" s="74"/>
    </row>
    <row r="169" spans="1:69" s="44" customFormat="1" ht="22.35" customHeight="1" x14ac:dyDescent="0.2">
      <c r="A169" s="100"/>
      <c r="B169" s="100"/>
      <c r="C169" s="100"/>
      <c r="D169" s="54"/>
      <c r="E169" s="55"/>
      <c r="F169" s="56"/>
      <c r="G169" s="56"/>
      <c r="H169" s="57"/>
      <c r="I169" s="58"/>
      <c r="J169" s="58"/>
      <c r="K169" s="55"/>
      <c r="L169" s="59"/>
      <c r="M169" s="59"/>
      <c r="N169" s="59"/>
      <c r="O169" s="54"/>
      <c r="P169" s="60"/>
      <c r="Q169" s="66"/>
      <c r="R169" s="67"/>
      <c r="S169" s="56"/>
      <c r="T169" s="56"/>
      <c r="U169" s="63"/>
      <c r="V169" s="64"/>
      <c r="W169" s="55"/>
      <c r="X169" s="63"/>
      <c r="Y169" s="54"/>
      <c r="Z169" s="65"/>
      <c r="AA169" s="70"/>
      <c r="AB169" s="71"/>
      <c r="AC169" s="56"/>
      <c r="AD169" s="56"/>
      <c r="AE169" s="64"/>
      <c r="AF169" s="64"/>
      <c r="AG169" s="55"/>
      <c r="AH169" s="68"/>
      <c r="AI169" s="54"/>
      <c r="AJ169" s="69"/>
      <c r="AK169" s="76"/>
      <c r="AL169" s="59"/>
      <c r="AM169" s="56"/>
      <c r="AN169" s="56"/>
      <c r="AO169" s="64"/>
      <c r="AP169" s="64"/>
      <c r="AQ169" s="55"/>
      <c r="AR169" s="68"/>
      <c r="AS169" s="54"/>
      <c r="AT169" s="69"/>
      <c r="AU169" s="66"/>
      <c r="AV169" s="67"/>
      <c r="AW169" s="56"/>
      <c r="AX169" s="56"/>
      <c r="AY169" s="64"/>
      <c r="AZ169" s="64"/>
      <c r="BA169" s="55"/>
      <c r="BB169" s="72"/>
      <c r="BC169" s="68"/>
      <c r="BD169" s="69"/>
      <c r="BE169" s="66"/>
      <c r="BF169" s="67"/>
      <c r="BG169" s="56"/>
      <c r="BH169" s="56"/>
      <c r="BI169" s="64"/>
      <c r="BJ169" s="64"/>
      <c r="BK169" s="57"/>
      <c r="BL169" s="73"/>
      <c r="BM169" s="76"/>
      <c r="BN169" s="74"/>
      <c r="BO169" s="75"/>
      <c r="BP169" s="66"/>
      <c r="BQ169" s="74"/>
    </row>
    <row r="170" spans="1:69" s="44" customFormat="1" ht="22.35" customHeight="1" x14ac:dyDescent="0.2">
      <c r="A170" s="100"/>
      <c r="B170" s="100"/>
      <c r="C170" s="100"/>
      <c r="D170" s="54"/>
      <c r="E170" s="55"/>
      <c r="F170" s="56"/>
      <c r="G170" s="56"/>
      <c r="H170" s="57"/>
      <c r="I170" s="58"/>
      <c r="J170" s="58"/>
      <c r="K170" s="55"/>
      <c r="L170" s="59"/>
      <c r="M170" s="59"/>
      <c r="N170" s="59"/>
      <c r="O170" s="54"/>
      <c r="P170" s="60"/>
      <c r="Q170" s="66"/>
      <c r="R170" s="67"/>
      <c r="S170" s="56"/>
      <c r="T170" s="56"/>
      <c r="U170" s="63"/>
      <c r="V170" s="64"/>
      <c r="W170" s="55"/>
      <c r="X170" s="63"/>
      <c r="Y170" s="54"/>
      <c r="Z170" s="65"/>
      <c r="AA170" s="61"/>
      <c r="AB170" s="62"/>
      <c r="AC170" s="56"/>
      <c r="AD170" s="56"/>
      <c r="AE170" s="64"/>
      <c r="AF170" s="64"/>
      <c r="AG170" s="55"/>
      <c r="AH170" s="68"/>
      <c r="AI170" s="54"/>
      <c r="AJ170" s="69"/>
      <c r="AK170" s="66"/>
      <c r="AL170" s="67"/>
      <c r="AM170" s="56"/>
      <c r="AN170" s="56"/>
      <c r="AO170" s="64"/>
      <c r="AP170" s="64"/>
      <c r="AQ170" s="55"/>
      <c r="AR170" s="68"/>
      <c r="AS170" s="54"/>
      <c r="AT170" s="69"/>
      <c r="AU170" s="66"/>
      <c r="AV170" s="67"/>
      <c r="AW170" s="56"/>
      <c r="AX170" s="56"/>
      <c r="AY170" s="64"/>
      <c r="AZ170" s="64"/>
      <c r="BA170" s="55"/>
      <c r="BB170" s="72"/>
      <c r="BC170" s="68"/>
      <c r="BD170" s="69"/>
      <c r="BE170" s="66"/>
      <c r="BF170" s="67"/>
      <c r="BG170" s="56"/>
      <c r="BH170" s="56"/>
      <c r="BI170" s="64"/>
      <c r="BJ170" s="64"/>
      <c r="BK170" s="57"/>
      <c r="BL170" s="73"/>
      <c r="BM170" s="76"/>
      <c r="BN170" s="74"/>
      <c r="BO170" s="75"/>
      <c r="BP170" s="66"/>
      <c r="BQ170" s="74"/>
    </row>
    <row r="171" spans="1:69" s="44" customFormat="1" ht="22.35" customHeight="1" x14ac:dyDescent="0.2">
      <c r="A171" s="100"/>
      <c r="B171" s="100"/>
      <c r="C171" s="100"/>
      <c r="D171" s="54"/>
      <c r="E171" s="55"/>
      <c r="F171" s="56"/>
      <c r="G171" s="56"/>
      <c r="H171" s="57"/>
      <c r="I171" s="58"/>
      <c r="J171" s="58"/>
      <c r="K171" s="55"/>
      <c r="L171" s="59"/>
      <c r="M171" s="59"/>
      <c r="N171" s="59"/>
      <c r="O171" s="54"/>
      <c r="P171" s="60"/>
      <c r="Q171" s="66"/>
      <c r="R171" s="67"/>
      <c r="S171" s="56"/>
      <c r="T171" s="56"/>
      <c r="U171" s="63"/>
      <c r="V171" s="64"/>
      <c r="W171" s="55"/>
      <c r="X171" s="63"/>
      <c r="Y171" s="54"/>
      <c r="Z171" s="65"/>
      <c r="AA171" s="76"/>
      <c r="AB171" s="59"/>
      <c r="AC171" s="56"/>
      <c r="AD171" s="56"/>
      <c r="AE171" s="64"/>
      <c r="AF171" s="64"/>
      <c r="AG171" s="55"/>
      <c r="AH171" s="68"/>
      <c r="AI171" s="54"/>
      <c r="AJ171" s="69"/>
      <c r="AK171" s="61"/>
      <c r="AL171" s="62"/>
      <c r="AM171" s="56"/>
      <c r="AN171" s="56"/>
      <c r="AO171" s="64"/>
      <c r="AP171" s="64"/>
      <c r="AQ171" s="55"/>
      <c r="AR171" s="68"/>
      <c r="AS171" s="54"/>
      <c r="AT171" s="69"/>
      <c r="AU171" s="61"/>
      <c r="AV171" s="62"/>
      <c r="AW171" s="56"/>
      <c r="AX171" s="56"/>
      <c r="AY171" s="64"/>
      <c r="AZ171" s="64"/>
      <c r="BA171" s="55"/>
      <c r="BB171" s="72"/>
      <c r="BC171" s="68"/>
      <c r="BD171" s="69"/>
      <c r="BE171" s="70"/>
      <c r="BF171" s="71"/>
      <c r="BG171" s="56"/>
      <c r="BH171" s="56"/>
      <c r="BI171" s="64"/>
      <c r="BJ171" s="64"/>
      <c r="BK171" s="57"/>
      <c r="BL171" s="73"/>
      <c r="BM171" s="76"/>
      <c r="BN171" s="74"/>
      <c r="BO171" s="75"/>
      <c r="BP171" s="66"/>
      <c r="BQ171" s="74"/>
    </row>
    <row r="172" spans="1:69" s="44" customFormat="1" ht="22.35" customHeight="1" x14ac:dyDescent="0.2">
      <c r="A172" s="100"/>
      <c r="B172" s="100"/>
      <c r="C172" s="100"/>
      <c r="D172" s="54"/>
      <c r="E172" s="55"/>
      <c r="F172" s="56"/>
      <c r="G172" s="56"/>
      <c r="H172" s="57"/>
      <c r="I172" s="58"/>
      <c r="J172" s="58"/>
      <c r="K172" s="55"/>
      <c r="L172" s="59"/>
      <c r="M172" s="59"/>
      <c r="N172" s="59"/>
      <c r="O172" s="54"/>
      <c r="P172" s="60"/>
      <c r="Q172" s="66"/>
      <c r="R172" s="67"/>
      <c r="S172" s="56"/>
      <c r="T172" s="56"/>
      <c r="U172" s="63"/>
      <c r="V172" s="64"/>
      <c r="W172" s="55"/>
      <c r="X172" s="63"/>
      <c r="Y172" s="54"/>
      <c r="Z172" s="65"/>
      <c r="AA172" s="76"/>
      <c r="AB172" s="59"/>
      <c r="AC172" s="56"/>
      <c r="AD172" s="56"/>
      <c r="AE172" s="64"/>
      <c r="AF172" s="64"/>
      <c r="AG172" s="55"/>
      <c r="AH172" s="68"/>
      <c r="AI172" s="54"/>
      <c r="AJ172" s="69"/>
      <c r="AK172" s="76"/>
      <c r="AL172" s="59"/>
      <c r="AM172" s="56"/>
      <c r="AN172" s="56"/>
      <c r="AO172" s="64"/>
      <c r="AP172" s="64"/>
      <c r="AQ172" s="55"/>
      <c r="AR172" s="68"/>
      <c r="AS172" s="54"/>
      <c r="AT172" s="69"/>
      <c r="AU172" s="66"/>
      <c r="AV172" s="67"/>
      <c r="AW172" s="56"/>
      <c r="AX172" s="56"/>
      <c r="AY172" s="64"/>
      <c r="AZ172" s="64"/>
      <c r="BA172" s="55"/>
      <c r="BB172" s="72"/>
      <c r="BC172" s="68"/>
      <c r="BD172" s="69"/>
      <c r="BE172" s="66"/>
      <c r="BF172" s="67"/>
      <c r="BG172" s="56"/>
      <c r="BH172" s="56"/>
      <c r="BI172" s="64"/>
      <c r="BJ172" s="64"/>
      <c r="BK172" s="57"/>
      <c r="BL172" s="73"/>
      <c r="BM172" s="76"/>
      <c r="BN172" s="74"/>
      <c r="BO172" s="75"/>
      <c r="BP172" s="66"/>
      <c r="BQ172" s="74"/>
    </row>
    <row r="173" spans="1:69" s="44" customFormat="1" ht="22.35" customHeight="1" x14ac:dyDescent="0.2">
      <c r="A173" s="100"/>
      <c r="B173" s="100"/>
      <c r="C173" s="100"/>
      <c r="D173" s="54"/>
      <c r="E173" s="55"/>
      <c r="F173" s="56"/>
      <c r="G173" s="56"/>
      <c r="H173" s="57"/>
      <c r="I173" s="58"/>
      <c r="J173" s="58"/>
      <c r="K173" s="55"/>
      <c r="L173" s="59"/>
      <c r="M173" s="59"/>
      <c r="N173" s="59"/>
      <c r="O173" s="54"/>
      <c r="P173" s="60"/>
      <c r="Q173" s="66"/>
      <c r="R173" s="67"/>
      <c r="S173" s="56"/>
      <c r="T173" s="56"/>
      <c r="U173" s="63"/>
      <c r="V173" s="64"/>
      <c r="W173" s="55"/>
      <c r="X173" s="63"/>
      <c r="Y173" s="54"/>
      <c r="Z173" s="65"/>
      <c r="AA173" s="61"/>
      <c r="AB173" s="62"/>
      <c r="AC173" s="56"/>
      <c r="AD173" s="56"/>
      <c r="AE173" s="64"/>
      <c r="AF173" s="64"/>
      <c r="AG173" s="55"/>
      <c r="AH173" s="68"/>
      <c r="AI173" s="54"/>
      <c r="AJ173" s="69"/>
      <c r="AK173" s="61"/>
      <c r="AL173" s="62"/>
      <c r="AM173" s="56"/>
      <c r="AN173" s="56"/>
      <c r="AO173" s="64"/>
      <c r="AP173" s="64"/>
      <c r="AQ173" s="55"/>
      <c r="AR173" s="68"/>
      <c r="AS173" s="54"/>
      <c r="AT173" s="69"/>
      <c r="AU173" s="76"/>
      <c r="AV173" s="59"/>
      <c r="AW173" s="56"/>
      <c r="AX173" s="56"/>
      <c r="AY173" s="64"/>
      <c r="AZ173" s="64"/>
      <c r="BA173" s="55"/>
      <c r="BB173" s="72"/>
      <c r="BC173" s="68"/>
      <c r="BD173" s="69"/>
      <c r="BE173" s="76"/>
      <c r="BF173" s="59"/>
      <c r="BG173" s="56"/>
      <c r="BH173" s="56"/>
      <c r="BI173" s="64"/>
      <c r="BJ173" s="64"/>
      <c r="BK173" s="57"/>
      <c r="BL173" s="73"/>
      <c r="BM173" s="76"/>
      <c r="BN173" s="74"/>
      <c r="BO173" s="75"/>
      <c r="BP173" s="66"/>
      <c r="BQ173" s="74"/>
    </row>
    <row r="174" spans="1:69" s="44" customFormat="1" ht="22.35" customHeight="1" x14ac:dyDescent="0.2">
      <c r="A174" s="100"/>
      <c r="B174" s="100"/>
      <c r="C174" s="100"/>
      <c r="D174" s="54"/>
      <c r="E174" s="55"/>
      <c r="F174" s="56"/>
      <c r="G174" s="56"/>
      <c r="H174" s="57"/>
      <c r="I174" s="58"/>
      <c r="J174" s="58"/>
      <c r="K174" s="55"/>
      <c r="L174" s="59"/>
      <c r="M174" s="59"/>
      <c r="N174" s="59"/>
      <c r="O174" s="54"/>
      <c r="P174" s="60"/>
      <c r="Q174" s="66"/>
      <c r="R174" s="67"/>
      <c r="S174" s="56"/>
      <c r="T174" s="56"/>
      <c r="U174" s="63"/>
      <c r="V174" s="64"/>
      <c r="W174" s="55"/>
      <c r="X174" s="63"/>
      <c r="Y174" s="54"/>
      <c r="Z174" s="65"/>
      <c r="AA174" s="61"/>
      <c r="AB174" s="62"/>
      <c r="AC174" s="56"/>
      <c r="AD174" s="56"/>
      <c r="AE174" s="64"/>
      <c r="AF174" s="64"/>
      <c r="AG174" s="55"/>
      <c r="AH174" s="68"/>
      <c r="AI174" s="54"/>
      <c r="AJ174" s="69"/>
      <c r="AK174" s="61"/>
      <c r="AL174" s="62"/>
      <c r="AM174" s="56"/>
      <c r="AN174" s="56"/>
      <c r="AO174" s="64"/>
      <c r="AP174" s="64"/>
      <c r="AQ174" s="55"/>
      <c r="AR174" s="68"/>
      <c r="AS174" s="54"/>
      <c r="AT174" s="69"/>
      <c r="AU174" s="61"/>
      <c r="AV174" s="62"/>
      <c r="AW174" s="56"/>
      <c r="AX174" s="56"/>
      <c r="AY174" s="64"/>
      <c r="AZ174" s="64"/>
      <c r="BA174" s="55"/>
      <c r="BB174" s="72"/>
      <c r="BC174" s="68"/>
      <c r="BD174" s="69"/>
      <c r="BE174" s="66"/>
      <c r="BF174" s="67"/>
      <c r="BG174" s="56"/>
      <c r="BH174" s="56"/>
      <c r="BI174" s="64"/>
      <c r="BJ174" s="64"/>
      <c r="BK174" s="57"/>
      <c r="BL174" s="73"/>
      <c r="BM174" s="76"/>
      <c r="BN174" s="74"/>
      <c r="BO174" s="75"/>
      <c r="BP174" s="66"/>
      <c r="BQ174" s="74"/>
    </row>
    <row r="175" spans="1:69" s="44" customFormat="1" ht="22.35" customHeight="1" x14ac:dyDescent="0.2">
      <c r="A175" s="100"/>
      <c r="B175" s="100"/>
      <c r="C175" s="100"/>
      <c r="D175" s="54"/>
      <c r="E175" s="55"/>
      <c r="F175" s="56"/>
      <c r="G175" s="56"/>
      <c r="H175" s="57"/>
      <c r="I175" s="58"/>
      <c r="J175" s="58"/>
      <c r="K175" s="55"/>
      <c r="L175" s="59"/>
      <c r="M175" s="59"/>
      <c r="N175" s="59"/>
      <c r="O175" s="54"/>
      <c r="P175" s="60"/>
      <c r="Q175" s="66"/>
      <c r="R175" s="67"/>
      <c r="S175" s="56"/>
      <c r="T175" s="56"/>
      <c r="U175" s="63"/>
      <c r="V175" s="64"/>
      <c r="W175" s="55"/>
      <c r="X175" s="63"/>
      <c r="Y175" s="54"/>
      <c r="Z175" s="65"/>
      <c r="AA175" s="66"/>
      <c r="AB175" s="67"/>
      <c r="AC175" s="56"/>
      <c r="AD175" s="56"/>
      <c r="AE175" s="64"/>
      <c r="AF175" s="64"/>
      <c r="AG175" s="55"/>
      <c r="AH175" s="68"/>
      <c r="AI175" s="54"/>
      <c r="AJ175" s="69"/>
      <c r="AK175" s="70"/>
      <c r="AL175" s="71"/>
      <c r="AM175" s="56"/>
      <c r="AN175" s="56"/>
      <c r="AO175" s="64"/>
      <c r="AP175" s="64"/>
      <c r="AQ175" s="55"/>
      <c r="AR175" s="68"/>
      <c r="AS175" s="54"/>
      <c r="AT175" s="69"/>
      <c r="AU175" s="70"/>
      <c r="AV175" s="71"/>
      <c r="AW175" s="56"/>
      <c r="AX175" s="56"/>
      <c r="AY175" s="64"/>
      <c r="AZ175" s="64"/>
      <c r="BA175" s="55"/>
      <c r="BB175" s="72"/>
      <c r="BC175" s="68"/>
      <c r="BD175" s="69"/>
      <c r="BE175" s="66"/>
      <c r="BF175" s="67"/>
      <c r="BG175" s="56"/>
      <c r="BH175" s="56"/>
      <c r="BI175" s="64"/>
      <c r="BJ175" s="64"/>
      <c r="BK175" s="57"/>
      <c r="BL175" s="73"/>
      <c r="BM175" s="76"/>
      <c r="BN175" s="74"/>
      <c r="BO175" s="75"/>
      <c r="BP175" s="66"/>
      <c r="BQ175" s="74"/>
    </row>
    <row r="176" spans="1:69" s="44" customFormat="1" ht="22.35" customHeight="1" x14ac:dyDescent="0.2">
      <c r="A176" s="100"/>
      <c r="B176" s="100"/>
      <c r="C176" s="100"/>
      <c r="D176" s="54"/>
      <c r="E176" s="55"/>
      <c r="F176" s="56"/>
      <c r="G176" s="56"/>
      <c r="H176" s="57"/>
      <c r="I176" s="58"/>
      <c r="J176" s="58"/>
      <c r="K176" s="55"/>
      <c r="L176" s="59"/>
      <c r="M176" s="59"/>
      <c r="N176" s="59"/>
      <c r="O176" s="54"/>
      <c r="P176" s="60"/>
      <c r="Q176" s="66"/>
      <c r="R176" s="67"/>
      <c r="S176" s="56"/>
      <c r="T176" s="56"/>
      <c r="U176" s="63"/>
      <c r="V176" s="64"/>
      <c r="W176" s="55"/>
      <c r="X176" s="63"/>
      <c r="Y176" s="54"/>
      <c r="Z176" s="65"/>
      <c r="AA176" s="76"/>
      <c r="AB176" s="59"/>
      <c r="AC176" s="56"/>
      <c r="AD176" s="56"/>
      <c r="AE176" s="64"/>
      <c r="AF176" s="64"/>
      <c r="AG176" s="55"/>
      <c r="AH176" s="68"/>
      <c r="AI176" s="54"/>
      <c r="AJ176" s="69"/>
      <c r="AK176" s="76"/>
      <c r="AL176" s="59"/>
      <c r="AM176" s="56"/>
      <c r="AN176" s="56"/>
      <c r="AO176" s="64"/>
      <c r="AP176" s="64"/>
      <c r="AQ176" s="55"/>
      <c r="AR176" s="68"/>
      <c r="AS176" s="54"/>
      <c r="AT176" s="69"/>
      <c r="AU176" s="70"/>
      <c r="AV176" s="71"/>
      <c r="AW176" s="56"/>
      <c r="AX176" s="56"/>
      <c r="AY176" s="64"/>
      <c r="AZ176" s="64"/>
      <c r="BA176" s="55"/>
      <c r="BB176" s="72"/>
      <c r="BC176" s="68"/>
      <c r="BD176" s="69"/>
      <c r="BE176" s="66"/>
      <c r="BF176" s="67"/>
      <c r="BG176" s="56"/>
      <c r="BH176" s="56"/>
      <c r="BI176" s="64"/>
      <c r="BJ176" s="64"/>
      <c r="BK176" s="57"/>
      <c r="BL176" s="73"/>
      <c r="BM176" s="76"/>
      <c r="BN176" s="74"/>
      <c r="BO176" s="75"/>
      <c r="BP176" s="66"/>
      <c r="BQ176" s="74"/>
    </row>
    <row r="177" spans="1:69" s="44" customFormat="1" ht="22.35" customHeight="1" x14ac:dyDescent="0.2">
      <c r="A177" s="100"/>
      <c r="B177" s="100"/>
      <c r="C177" s="100"/>
      <c r="D177" s="54"/>
      <c r="E177" s="55"/>
      <c r="F177" s="56"/>
      <c r="G177" s="56"/>
      <c r="H177" s="57"/>
      <c r="I177" s="58"/>
      <c r="J177" s="58"/>
      <c r="K177" s="55"/>
      <c r="L177" s="59"/>
      <c r="M177" s="59"/>
      <c r="N177" s="59"/>
      <c r="O177" s="54"/>
      <c r="P177" s="60"/>
      <c r="Q177" s="66"/>
      <c r="R177" s="67"/>
      <c r="S177" s="56"/>
      <c r="T177" s="56"/>
      <c r="U177" s="63"/>
      <c r="V177" s="64"/>
      <c r="W177" s="55"/>
      <c r="X177" s="63"/>
      <c r="Y177" s="54"/>
      <c r="Z177" s="65"/>
      <c r="AA177" s="70"/>
      <c r="AB177" s="71"/>
      <c r="AC177" s="56"/>
      <c r="AD177" s="56"/>
      <c r="AE177" s="64"/>
      <c r="AF177" s="64"/>
      <c r="AG177" s="55"/>
      <c r="AH177" s="68"/>
      <c r="AI177" s="54"/>
      <c r="AJ177" s="69"/>
      <c r="AK177" s="61"/>
      <c r="AL177" s="62"/>
      <c r="AM177" s="56"/>
      <c r="AN177" s="56"/>
      <c r="AO177" s="64"/>
      <c r="AP177" s="64"/>
      <c r="AQ177" s="55"/>
      <c r="AR177" s="68"/>
      <c r="AS177" s="54"/>
      <c r="AT177" s="69"/>
      <c r="AU177" s="61"/>
      <c r="AV177" s="62"/>
      <c r="AW177" s="56"/>
      <c r="AX177" s="56"/>
      <c r="AY177" s="64"/>
      <c r="AZ177" s="64"/>
      <c r="BA177" s="55"/>
      <c r="BB177" s="72"/>
      <c r="BC177" s="68"/>
      <c r="BD177" s="69"/>
      <c r="BE177" s="76"/>
      <c r="BF177" s="59"/>
      <c r="BG177" s="56"/>
      <c r="BH177" s="56"/>
      <c r="BI177" s="64"/>
      <c r="BJ177" s="64"/>
      <c r="BK177" s="57"/>
      <c r="BL177" s="73"/>
      <c r="BM177" s="76"/>
      <c r="BN177" s="74"/>
      <c r="BO177" s="75"/>
      <c r="BP177" s="66"/>
      <c r="BQ177" s="74"/>
    </row>
    <row r="178" spans="1:69" s="44" customFormat="1" ht="22.35" customHeight="1" x14ac:dyDescent="0.2">
      <c r="A178" s="100"/>
      <c r="B178" s="100"/>
      <c r="C178" s="100"/>
      <c r="D178" s="54"/>
      <c r="E178" s="55"/>
      <c r="F178" s="56"/>
      <c r="G178" s="56"/>
      <c r="H178" s="57"/>
      <c r="I178" s="58"/>
      <c r="J178" s="58"/>
      <c r="K178" s="55"/>
      <c r="L178" s="59"/>
      <c r="M178" s="59"/>
      <c r="N178" s="59"/>
      <c r="O178" s="54"/>
      <c r="P178" s="60"/>
      <c r="Q178" s="66"/>
      <c r="R178" s="67"/>
      <c r="S178" s="56"/>
      <c r="T178" s="56"/>
      <c r="U178" s="63"/>
      <c r="V178" s="64"/>
      <c r="W178" s="55"/>
      <c r="X178" s="63"/>
      <c r="Y178" s="54"/>
      <c r="Z178" s="65"/>
      <c r="AA178" s="76"/>
      <c r="AB178" s="59"/>
      <c r="AC178" s="56"/>
      <c r="AD178" s="56"/>
      <c r="AE178" s="64"/>
      <c r="AF178" s="64"/>
      <c r="AG178" s="55"/>
      <c r="AH178" s="68"/>
      <c r="AI178" s="54"/>
      <c r="AJ178" s="69"/>
      <c r="AK178" s="66"/>
      <c r="AL178" s="67"/>
      <c r="AM178" s="56"/>
      <c r="AN178" s="56"/>
      <c r="AO178" s="64"/>
      <c r="AP178" s="64"/>
      <c r="AQ178" s="55"/>
      <c r="AR178" s="68"/>
      <c r="AS178" s="54"/>
      <c r="AT178" s="69"/>
      <c r="AU178" s="70"/>
      <c r="AV178" s="71"/>
      <c r="AW178" s="56"/>
      <c r="AX178" s="56"/>
      <c r="AY178" s="64"/>
      <c r="AZ178" s="64"/>
      <c r="BA178" s="55"/>
      <c r="BB178" s="72"/>
      <c r="BC178" s="68"/>
      <c r="BD178" s="69"/>
      <c r="BE178" s="66"/>
      <c r="BF178" s="67"/>
      <c r="BG178" s="56"/>
      <c r="BH178" s="56"/>
      <c r="BI178" s="64"/>
      <c r="BJ178" s="64"/>
      <c r="BK178" s="57"/>
      <c r="BL178" s="73"/>
      <c r="BM178" s="76"/>
      <c r="BN178" s="74"/>
      <c r="BO178" s="75"/>
      <c r="BP178" s="66"/>
      <c r="BQ178" s="74"/>
    </row>
    <row r="179" spans="1:69" s="44" customFormat="1" ht="22.35" customHeight="1" x14ac:dyDescent="0.2">
      <c r="A179" s="100"/>
      <c r="B179" s="100"/>
      <c r="C179" s="100"/>
      <c r="D179" s="54"/>
      <c r="E179" s="55"/>
      <c r="F179" s="56"/>
      <c r="G179" s="56"/>
      <c r="H179" s="57"/>
      <c r="I179" s="58"/>
      <c r="J179" s="58"/>
      <c r="K179" s="55"/>
      <c r="L179" s="59"/>
      <c r="M179" s="59"/>
      <c r="N179" s="59"/>
      <c r="O179" s="54"/>
      <c r="P179" s="60"/>
      <c r="Q179" s="66"/>
      <c r="R179" s="67"/>
      <c r="S179" s="56"/>
      <c r="T179" s="56"/>
      <c r="U179" s="63"/>
      <c r="V179" s="64"/>
      <c r="W179" s="55"/>
      <c r="X179" s="63"/>
      <c r="Y179" s="54"/>
      <c r="Z179" s="65"/>
      <c r="AA179" s="70"/>
      <c r="AB179" s="71"/>
      <c r="AC179" s="56"/>
      <c r="AD179" s="56"/>
      <c r="AE179" s="64"/>
      <c r="AF179" s="64"/>
      <c r="AG179" s="55"/>
      <c r="AH179" s="68"/>
      <c r="AI179" s="54"/>
      <c r="AJ179" s="69"/>
      <c r="AK179" s="76"/>
      <c r="AL179" s="59"/>
      <c r="AM179" s="56"/>
      <c r="AN179" s="56"/>
      <c r="AO179" s="64"/>
      <c r="AP179" s="64"/>
      <c r="AQ179" s="55"/>
      <c r="AR179" s="68"/>
      <c r="AS179" s="54"/>
      <c r="AT179" s="69"/>
      <c r="AU179" s="61"/>
      <c r="AV179" s="62"/>
      <c r="AW179" s="56"/>
      <c r="AX179" s="56"/>
      <c r="AY179" s="64"/>
      <c r="AZ179" s="64"/>
      <c r="BA179" s="55"/>
      <c r="BB179" s="72"/>
      <c r="BC179" s="68"/>
      <c r="BD179" s="69"/>
      <c r="BE179" s="76"/>
      <c r="BF179" s="59"/>
      <c r="BG179" s="56"/>
      <c r="BH179" s="56"/>
      <c r="BI179" s="64"/>
      <c r="BJ179" s="64"/>
      <c r="BK179" s="57"/>
      <c r="BL179" s="73"/>
      <c r="BM179" s="61"/>
      <c r="BN179" s="74"/>
      <c r="BO179" s="75"/>
      <c r="BP179" s="66"/>
      <c r="BQ179" s="74"/>
    </row>
    <row r="180" spans="1:69" s="44" customFormat="1" ht="22.35" customHeight="1" x14ac:dyDescent="0.2">
      <c r="A180" s="100"/>
      <c r="B180" s="100"/>
      <c r="C180" s="100"/>
      <c r="D180" s="54"/>
      <c r="E180" s="55"/>
      <c r="F180" s="56"/>
      <c r="G180" s="56"/>
      <c r="H180" s="57"/>
      <c r="I180" s="58"/>
      <c r="J180" s="58"/>
      <c r="K180" s="55"/>
      <c r="L180" s="59"/>
      <c r="M180" s="59"/>
      <c r="N180" s="59"/>
      <c r="O180" s="54"/>
      <c r="P180" s="60"/>
      <c r="Q180" s="66"/>
      <c r="R180" s="67"/>
      <c r="S180" s="56"/>
      <c r="T180" s="56"/>
      <c r="U180" s="63"/>
      <c r="V180" s="64"/>
      <c r="W180" s="55"/>
      <c r="X180" s="63"/>
      <c r="Y180" s="54"/>
      <c r="Z180" s="65"/>
      <c r="AA180" s="61"/>
      <c r="AB180" s="62"/>
      <c r="AC180" s="56"/>
      <c r="AD180" s="56"/>
      <c r="AE180" s="64"/>
      <c r="AF180" s="64"/>
      <c r="AG180" s="55"/>
      <c r="AH180" s="68"/>
      <c r="AI180" s="54"/>
      <c r="AJ180" s="69"/>
      <c r="AK180" s="76"/>
      <c r="AL180" s="59"/>
      <c r="AM180" s="56"/>
      <c r="AN180" s="56"/>
      <c r="AO180" s="64"/>
      <c r="AP180" s="64"/>
      <c r="AQ180" s="55"/>
      <c r="AR180" s="68"/>
      <c r="AS180" s="54"/>
      <c r="AT180" s="69"/>
      <c r="AU180" s="61"/>
      <c r="AV180" s="62"/>
      <c r="AW180" s="56"/>
      <c r="AX180" s="56"/>
      <c r="AY180" s="64"/>
      <c r="AZ180" s="64"/>
      <c r="BA180" s="55"/>
      <c r="BB180" s="72"/>
      <c r="BC180" s="68"/>
      <c r="BD180" s="69"/>
      <c r="BE180" s="61"/>
      <c r="BF180" s="62"/>
      <c r="BG180" s="56"/>
      <c r="BH180" s="56"/>
      <c r="BI180" s="64"/>
      <c r="BJ180" s="64"/>
      <c r="BK180" s="57"/>
      <c r="BL180" s="73"/>
      <c r="BM180" s="70"/>
      <c r="BN180" s="74"/>
      <c r="BO180" s="75"/>
      <c r="BP180" s="66"/>
      <c r="BQ180" s="74"/>
    </row>
    <row r="181" spans="1:69" s="44" customFormat="1" ht="22.35" customHeight="1" x14ac:dyDescent="0.2">
      <c r="A181" s="100"/>
      <c r="B181" s="100"/>
      <c r="C181" s="100"/>
      <c r="D181" s="54"/>
      <c r="E181" s="55"/>
      <c r="F181" s="56"/>
      <c r="G181" s="56"/>
      <c r="H181" s="57"/>
      <c r="I181" s="58"/>
      <c r="J181" s="58"/>
      <c r="K181" s="55"/>
      <c r="L181" s="59"/>
      <c r="M181" s="59"/>
      <c r="N181" s="59"/>
      <c r="O181" s="54"/>
      <c r="P181" s="60"/>
      <c r="Q181" s="66"/>
      <c r="R181" s="67"/>
      <c r="S181" s="56"/>
      <c r="T181" s="56"/>
      <c r="U181" s="63"/>
      <c r="V181" s="64"/>
      <c r="W181" s="55"/>
      <c r="X181" s="63"/>
      <c r="Y181" s="54"/>
      <c r="Z181" s="65"/>
      <c r="AA181" s="66"/>
      <c r="AB181" s="67"/>
      <c r="AC181" s="56"/>
      <c r="AD181" s="56"/>
      <c r="AE181" s="64"/>
      <c r="AF181" s="64"/>
      <c r="AG181" s="55"/>
      <c r="AH181" s="68"/>
      <c r="AI181" s="54"/>
      <c r="AJ181" s="69"/>
      <c r="AK181" s="66"/>
      <c r="AL181" s="67"/>
      <c r="AM181" s="56"/>
      <c r="AN181" s="56"/>
      <c r="AO181" s="64"/>
      <c r="AP181" s="64"/>
      <c r="AQ181" s="55"/>
      <c r="AR181" s="68"/>
      <c r="AS181" s="54"/>
      <c r="AT181" s="69"/>
      <c r="AU181" s="61"/>
      <c r="AV181" s="62"/>
      <c r="AW181" s="56"/>
      <c r="AX181" s="56"/>
      <c r="AY181" s="64"/>
      <c r="AZ181" s="64"/>
      <c r="BA181" s="55"/>
      <c r="BB181" s="72"/>
      <c r="BC181" s="68"/>
      <c r="BD181" s="69"/>
      <c r="BE181" s="66"/>
      <c r="BF181" s="67"/>
      <c r="BG181" s="56"/>
      <c r="BH181" s="56"/>
      <c r="BI181" s="64"/>
      <c r="BJ181" s="64"/>
      <c r="BK181" s="57"/>
      <c r="BL181" s="73"/>
      <c r="BM181" s="76"/>
      <c r="BN181" s="74"/>
      <c r="BO181" s="75"/>
      <c r="BP181" s="66"/>
      <c r="BQ181" s="74"/>
    </row>
    <row r="182" spans="1:69" s="44" customFormat="1" ht="22.35" customHeight="1" x14ac:dyDescent="0.2">
      <c r="A182" s="100"/>
      <c r="B182" s="100"/>
      <c r="C182" s="100"/>
      <c r="D182" s="54"/>
      <c r="E182" s="55"/>
      <c r="F182" s="56"/>
      <c r="G182" s="56"/>
      <c r="H182" s="57"/>
      <c r="I182" s="58"/>
      <c r="J182" s="58"/>
      <c r="K182" s="55"/>
      <c r="L182" s="59"/>
      <c r="M182" s="59"/>
      <c r="N182" s="59"/>
      <c r="O182" s="54"/>
      <c r="P182" s="60"/>
      <c r="Q182" s="66"/>
      <c r="R182" s="67"/>
      <c r="S182" s="56"/>
      <c r="T182" s="56"/>
      <c r="U182" s="63"/>
      <c r="V182" s="64"/>
      <c r="W182" s="55"/>
      <c r="X182" s="63"/>
      <c r="Y182" s="54"/>
      <c r="Z182" s="65"/>
      <c r="AA182" s="76"/>
      <c r="AB182" s="59"/>
      <c r="AC182" s="56"/>
      <c r="AD182" s="56"/>
      <c r="AE182" s="64"/>
      <c r="AF182" s="64"/>
      <c r="AG182" s="55"/>
      <c r="AH182" s="68"/>
      <c r="AI182" s="54"/>
      <c r="AJ182" s="69"/>
      <c r="AK182" s="76"/>
      <c r="AL182" s="59"/>
      <c r="AM182" s="56"/>
      <c r="AN182" s="56"/>
      <c r="AO182" s="64"/>
      <c r="AP182" s="64"/>
      <c r="AQ182" s="55"/>
      <c r="AR182" s="68"/>
      <c r="AS182" s="54"/>
      <c r="AT182" s="69"/>
      <c r="AU182" s="61"/>
      <c r="AV182" s="62"/>
      <c r="AW182" s="56"/>
      <c r="AX182" s="56"/>
      <c r="AY182" s="64"/>
      <c r="AZ182" s="64"/>
      <c r="BA182" s="55"/>
      <c r="BB182" s="72"/>
      <c r="BC182" s="68"/>
      <c r="BD182" s="69"/>
      <c r="BE182" s="70"/>
      <c r="BF182" s="71"/>
      <c r="BG182" s="56"/>
      <c r="BH182" s="56"/>
      <c r="BI182" s="64"/>
      <c r="BJ182" s="64"/>
      <c r="BK182" s="57"/>
      <c r="BL182" s="73"/>
      <c r="BM182" s="76"/>
      <c r="BN182" s="74"/>
      <c r="BO182" s="75"/>
      <c r="BP182" s="66"/>
      <c r="BQ182" s="74"/>
    </row>
    <row r="183" spans="1:69" s="44" customFormat="1" ht="22.35" customHeight="1" x14ac:dyDescent="0.2">
      <c r="A183" s="100"/>
      <c r="B183" s="100"/>
      <c r="C183" s="100"/>
      <c r="D183" s="54"/>
      <c r="E183" s="55"/>
      <c r="F183" s="56"/>
      <c r="G183" s="56"/>
      <c r="H183" s="57"/>
      <c r="I183" s="58"/>
      <c r="J183" s="58"/>
      <c r="K183" s="55"/>
      <c r="L183" s="59"/>
      <c r="M183" s="59"/>
      <c r="N183" s="59"/>
      <c r="O183" s="54"/>
      <c r="P183" s="60"/>
      <c r="Q183" s="66"/>
      <c r="R183" s="67"/>
      <c r="S183" s="56"/>
      <c r="T183" s="56"/>
      <c r="U183" s="63"/>
      <c r="V183" s="64"/>
      <c r="W183" s="55"/>
      <c r="X183" s="63"/>
      <c r="Y183" s="54"/>
      <c r="Z183" s="65"/>
      <c r="AA183" s="76"/>
      <c r="AB183" s="59"/>
      <c r="AC183" s="56"/>
      <c r="AD183" s="56"/>
      <c r="AE183" s="64"/>
      <c r="AF183" s="64"/>
      <c r="AG183" s="55"/>
      <c r="AH183" s="68"/>
      <c r="AI183" s="54"/>
      <c r="AJ183" s="69"/>
      <c r="AK183" s="61"/>
      <c r="AL183" s="62"/>
      <c r="AM183" s="56"/>
      <c r="AN183" s="56"/>
      <c r="AO183" s="64"/>
      <c r="AP183" s="64"/>
      <c r="AQ183" s="55"/>
      <c r="AR183" s="68"/>
      <c r="AS183" s="54"/>
      <c r="AT183" s="69"/>
      <c r="AU183" s="61"/>
      <c r="AV183" s="62"/>
      <c r="AW183" s="56"/>
      <c r="AX183" s="56"/>
      <c r="AY183" s="64"/>
      <c r="AZ183" s="64"/>
      <c r="BA183" s="55"/>
      <c r="BB183" s="72"/>
      <c r="BC183" s="68"/>
      <c r="BD183" s="69"/>
      <c r="BE183" s="76"/>
      <c r="BF183" s="59"/>
      <c r="BG183" s="56"/>
      <c r="BH183" s="56"/>
      <c r="BI183" s="64"/>
      <c r="BJ183" s="64"/>
      <c r="BK183" s="57"/>
      <c r="BL183" s="73"/>
      <c r="BM183" s="76"/>
      <c r="BN183" s="74"/>
      <c r="BO183" s="75"/>
      <c r="BP183" s="66"/>
      <c r="BQ183" s="74"/>
    </row>
    <row r="184" spans="1:69" s="44" customFormat="1" ht="22.35" customHeight="1" x14ac:dyDescent="0.2">
      <c r="A184" s="100"/>
      <c r="B184" s="100"/>
      <c r="C184" s="100"/>
      <c r="D184" s="54"/>
      <c r="E184" s="55"/>
      <c r="F184" s="56"/>
      <c r="G184" s="56"/>
      <c r="H184" s="57"/>
      <c r="I184" s="58"/>
      <c r="J184" s="58"/>
      <c r="K184" s="55"/>
      <c r="L184" s="59"/>
      <c r="M184" s="59"/>
      <c r="N184" s="59"/>
      <c r="O184" s="54"/>
      <c r="P184" s="60"/>
      <c r="Q184" s="66"/>
      <c r="R184" s="67"/>
      <c r="S184" s="56"/>
      <c r="T184" s="56"/>
      <c r="U184" s="63"/>
      <c r="V184" s="64"/>
      <c r="W184" s="55"/>
      <c r="X184" s="63"/>
      <c r="Y184" s="54"/>
      <c r="Z184" s="65"/>
      <c r="AA184" s="61"/>
      <c r="AB184" s="62"/>
      <c r="AC184" s="56"/>
      <c r="AD184" s="56"/>
      <c r="AE184" s="64"/>
      <c r="AF184" s="64"/>
      <c r="AG184" s="55"/>
      <c r="AH184" s="68"/>
      <c r="AI184" s="54"/>
      <c r="AJ184" s="69"/>
      <c r="AK184" s="61"/>
      <c r="AL184" s="62"/>
      <c r="AM184" s="56"/>
      <c r="AN184" s="56"/>
      <c r="AO184" s="64"/>
      <c r="AP184" s="64"/>
      <c r="AQ184" s="55"/>
      <c r="AR184" s="68"/>
      <c r="AS184" s="54"/>
      <c r="AT184" s="69"/>
      <c r="AU184" s="61"/>
      <c r="AV184" s="62"/>
      <c r="AW184" s="56"/>
      <c r="AX184" s="56"/>
      <c r="AY184" s="64"/>
      <c r="AZ184" s="64"/>
      <c r="BA184" s="55"/>
      <c r="BB184" s="72"/>
      <c r="BC184" s="68"/>
      <c r="BD184" s="69"/>
      <c r="BE184" s="70"/>
      <c r="BF184" s="71"/>
      <c r="BG184" s="56"/>
      <c r="BH184" s="56"/>
      <c r="BI184" s="64"/>
      <c r="BJ184" s="64"/>
      <c r="BK184" s="57"/>
      <c r="BL184" s="73"/>
      <c r="BM184" s="61"/>
      <c r="BN184" s="74"/>
      <c r="BO184" s="75"/>
      <c r="BP184" s="66"/>
      <c r="BQ184" s="74"/>
    </row>
    <row r="185" spans="1:69" s="44" customFormat="1" ht="22.35" customHeight="1" x14ac:dyDescent="0.2">
      <c r="A185" s="100"/>
      <c r="B185" s="100"/>
      <c r="C185" s="100"/>
      <c r="D185" s="54"/>
      <c r="E185" s="55"/>
      <c r="F185" s="56"/>
      <c r="G185" s="56"/>
      <c r="H185" s="57"/>
      <c r="I185" s="58"/>
      <c r="J185" s="58"/>
      <c r="K185" s="55"/>
      <c r="L185" s="59"/>
      <c r="M185" s="59"/>
      <c r="N185" s="59"/>
      <c r="O185" s="54"/>
      <c r="P185" s="60"/>
      <c r="Q185" s="66"/>
      <c r="R185" s="67"/>
      <c r="S185" s="56"/>
      <c r="T185" s="56"/>
      <c r="U185" s="63"/>
      <c r="V185" s="64"/>
      <c r="W185" s="55"/>
      <c r="X185" s="63"/>
      <c r="Y185" s="54"/>
      <c r="Z185" s="65"/>
      <c r="AA185" s="61"/>
      <c r="AB185" s="62"/>
      <c r="AC185" s="56"/>
      <c r="AD185" s="56"/>
      <c r="AE185" s="64"/>
      <c r="AF185" s="64"/>
      <c r="AG185" s="55"/>
      <c r="AH185" s="68"/>
      <c r="AI185" s="54"/>
      <c r="AJ185" s="69"/>
      <c r="AK185" s="61"/>
      <c r="AL185" s="62"/>
      <c r="AM185" s="56"/>
      <c r="AN185" s="56"/>
      <c r="AO185" s="64"/>
      <c r="AP185" s="64"/>
      <c r="AQ185" s="55"/>
      <c r="AR185" s="68"/>
      <c r="AS185" s="54"/>
      <c r="AT185" s="69"/>
      <c r="AU185" s="76"/>
      <c r="AV185" s="59"/>
      <c r="AW185" s="56"/>
      <c r="AX185" s="56"/>
      <c r="AY185" s="64"/>
      <c r="AZ185" s="64"/>
      <c r="BA185" s="55"/>
      <c r="BB185" s="72"/>
      <c r="BC185" s="68"/>
      <c r="BD185" s="69"/>
      <c r="BE185" s="76"/>
      <c r="BF185" s="59"/>
      <c r="BG185" s="56"/>
      <c r="BH185" s="56"/>
      <c r="BI185" s="64"/>
      <c r="BJ185" s="64"/>
      <c r="BK185" s="57"/>
      <c r="BL185" s="73"/>
      <c r="BM185" s="76"/>
      <c r="BN185" s="74"/>
      <c r="BO185" s="75"/>
      <c r="BP185" s="66"/>
      <c r="BQ185" s="74"/>
    </row>
    <row r="186" spans="1:69" s="44" customFormat="1" ht="22.35" customHeight="1" x14ac:dyDescent="0.2">
      <c r="A186" s="100"/>
      <c r="B186" s="100"/>
      <c r="C186" s="100"/>
      <c r="D186" s="54"/>
      <c r="E186" s="55"/>
      <c r="F186" s="56"/>
      <c r="G186" s="56"/>
      <c r="H186" s="57"/>
      <c r="I186" s="58"/>
      <c r="J186" s="58"/>
      <c r="K186" s="55"/>
      <c r="L186" s="59"/>
      <c r="M186" s="59"/>
      <c r="N186" s="59"/>
      <c r="O186" s="54"/>
      <c r="P186" s="60"/>
      <c r="Q186" s="66"/>
      <c r="R186" s="67"/>
      <c r="S186" s="56"/>
      <c r="T186" s="56"/>
      <c r="U186" s="63"/>
      <c r="V186" s="64"/>
      <c r="W186" s="55"/>
      <c r="X186" s="63"/>
      <c r="Y186" s="54"/>
      <c r="Z186" s="65"/>
      <c r="AA186" s="76"/>
      <c r="AB186" s="59"/>
      <c r="AC186" s="56"/>
      <c r="AD186" s="56"/>
      <c r="AE186" s="64"/>
      <c r="AF186" s="64"/>
      <c r="AG186" s="55"/>
      <c r="AH186" s="68"/>
      <c r="AI186" s="54"/>
      <c r="AJ186" s="69"/>
      <c r="AK186" s="76"/>
      <c r="AL186" s="59"/>
      <c r="AM186" s="56"/>
      <c r="AN186" s="56"/>
      <c r="AO186" s="64"/>
      <c r="AP186" s="64"/>
      <c r="AQ186" s="55"/>
      <c r="AR186" s="68"/>
      <c r="AS186" s="54"/>
      <c r="AT186" s="69"/>
      <c r="AU186" s="66"/>
      <c r="AV186" s="67"/>
      <c r="AW186" s="56"/>
      <c r="AX186" s="56"/>
      <c r="AY186" s="64"/>
      <c r="AZ186" s="64"/>
      <c r="BA186" s="55"/>
      <c r="BB186" s="72"/>
      <c r="BC186" s="68"/>
      <c r="BD186" s="69"/>
      <c r="BE186" s="66"/>
      <c r="BF186" s="67"/>
      <c r="BG186" s="56"/>
      <c r="BH186" s="56"/>
      <c r="BI186" s="64"/>
      <c r="BJ186" s="64"/>
      <c r="BK186" s="57"/>
      <c r="BL186" s="73"/>
      <c r="BM186" s="70"/>
      <c r="BN186" s="74"/>
      <c r="BO186" s="75"/>
      <c r="BP186" s="66"/>
      <c r="BQ186" s="74"/>
    </row>
    <row r="187" spans="1:69" s="44" customFormat="1" ht="22.35" customHeight="1" x14ac:dyDescent="0.2">
      <c r="A187" s="100"/>
      <c r="B187" s="100"/>
      <c r="C187" s="100"/>
      <c r="D187" s="54"/>
      <c r="E187" s="55"/>
      <c r="F187" s="56"/>
      <c r="G187" s="56"/>
      <c r="H187" s="57"/>
      <c r="I187" s="58"/>
      <c r="J187" s="58"/>
      <c r="K187" s="55"/>
      <c r="L187" s="59"/>
      <c r="M187" s="59"/>
      <c r="N187" s="59"/>
      <c r="O187" s="54"/>
      <c r="P187" s="60"/>
      <c r="Q187" s="66"/>
      <c r="R187" s="67"/>
      <c r="S187" s="56"/>
      <c r="T187" s="56"/>
      <c r="U187" s="63"/>
      <c r="V187" s="64"/>
      <c r="W187" s="55"/>
      <c r="X187" s="63"/>
      <c r="Y187" s="54"/>
      <c r="Z187" s="65"/>
      <c r="AA187" s="66"/>
      <c r="AB187" s="67"/>
      <c r="AC187" s="56"/>
      <c r="AD187" s="56"/>
      <c r="AE187" s="64"/>
      <c r="AF187" s="64"/>
      <c r="AG187" s="55"/>
      <c r="AH187" s="68"/>
      <c r="AI187" s="54"/>
      <c r="AJ187" s="69"/>
      <c r="AK187" s="66"/>
      <c r="AL187" s="67"/>
      <c r="AM187" s="56"/>
      <c r="AN187" s="56"/>
      <c r="AO187" s="64"/>
      <c r="AP187" s="64"/>
      <c r="AQ187" s="55"/>
      <c r="AR187" s="68"/>
      <c r="AS187" s="54"/>
      <c r="AT187" s="69"/>
      <c r="AU187" s="61"/>
      <c r="AV187" s="62"/>
      <c r="AW187" s="56"/>
      <c r="AX187" s="56"/>
      <c r="AY187" s="64"/>
      <c r="AZ187" s="64"/>
      <c r="BA187" s="55"/>
      <c r="BB187" s="72"/>
      <c r="BC187" s="68"/>
      <c r="BD187" s="69"/>
      <c r="BE187" s="66"/>
      <c r="BF187" s="67"/>
      <c r="BG187" s="56"/>
      <c r="BH187" s="56"/>
      <c r="BI187" s="64"/>
      <c r="BJ187" s="64"/>
      <c r="BK187" s="57"/>
      <c r="BL187" s="73"/>
      <c r="BM187" s="76"/>
      <c r="BN187" s="74"/>
      <c r="BO187" s="75"/>
      <c r="BP187" s="66"/>
      <c r="BQ187" s="74"/>
    </row>
    <row r="188" spans="1:69" s="44" customFormat="1" ht="22.35" customHeight="1" x14ac:dyDescent="0.2">
      <c r="A188" s="100"/>
      <c r="B188" s="100"/>
      <c r="C188" s="100"/>
      <c r="D188" s="54"/>
      <c r="E188" s="55"/>
      <c r="F188" s="56"/>
      <c r="G188" s="56"/>
      <c r="H188" s="57"/>
      <c r="I188" s="58"/>
      <c r="J188" s="58"/>
      <c r="K188" s="55"/>
      <c r="L188" s="59"/>
      <c r="M188" s="59"/>
      <c r="N188" s="59"/>
      <c r="O188" s="54"/>
      <c r="P188" s="60"/>
      <c r="Q188" s="66"/>
      <c r="R188" s="67"/>
      <c r="S188" s="56"/>
      <c r="T188" s="56"/>
      <c r="U188" s="63"/>
      <c r="V188" s="64"/>
      <c r="W188" s="55"/>
      <c r="X188" s="63"/>
      <c r="Y188" s="54"/>
      <c r="Z188" s="65"/>
      <c r="AA188" s="70"/>
      <c r="AB188" s="71"/>
      <c r="AC188" s="56"/>
      <c r="AD188" s="56"/>
      <c r="AE188" s="64"/>
      <c r="AF188" s="64"/>
      <c r="AG188" s="55"/>
      <c r="AH188" s="68"/>
      <c r="AI188" s="54"/>
      <c r="AJ188" s="69"/>
      <c r="AK188" s="76"/>
      <c r="AL188" s="59"/>
      <c r="AM188" s="56"/>
      <c r="AN188" s="56"/>
      <c r="AO188" s="64"/>
      <c r="AP188" s="64"/>
      <c r="AQ188" s="55"/>
      <c r="AR188" s="68"/>
      <c r="AS188" s="54"/>
      <c r="AT188" s="69"/>
      <c r="AU188" s="61"/>
      <c r="AV188" s="62"/>
      <c r="AW188" s="56"/>
      <c r="AX188" s="56"/>
      <c r="AY188" s="64"/>
      <c r="AZ188" s="64"/>
      <c r="BA188" s="55"/>
      <c r="BB188" s="72"/>
      <c r="BC188" s="68"/>
      <c r="BD188" s="69"/>
      <c r="BE188" s="70"/>
      <c r="BF188" s="71"/>
      <c r="BG188" s="56"/>
      <c r="BH188" s="56"/>
      <c r="BI188" s="64"/>
      <c r="BJ188" s="64"/>
      <c r="BK188" s="57"/>
      <c r="BL188" s="73"/>
      <c r="BM188" s="76"/>
      <c r="BN188" s="74"/>
      <c r="BO188" s="75"/>
      <c r="BP188" s="66"/>
      <c r="BQ188" s="74"/>
    </row>
    <row r="189" spans="1:69" s="44" customFormat="1" ht="22.35" customHeight="1" x14ac:dyDescent="0.2">
      <c r="A189" s="100"/>
      <c r="B189" s="100"/>
      <c r="C189" s="100"/>
      <c r="D189" s="54"/>
      <c r="E189" s="55"/>
      <c r="F189" s="56"/>
      <c r="G189" s="56"/>
      <c r="H189" s="57"/>
      <c r="I189" s="58"/>
      <c r="J189" s="58"/>
      <c r="K189" s="55"/>
      <c r="L189" s="59"/>
      <c r="M189" s="59"/>
      <c r="N189" s="59"/>
      <c r="O189" s="54"/>
      <c r="P189" s="60"/>
      <c r="Q189" s="66"/>
      <c r="R189" s="67"/>
      <c r="S189" s="56"/>
      <c r="T189" s="56"/>
      <c r="U189" s="63"/>
      <c r="V189" s="64"/>
      <c r="W189" s="55"/>
      <c r="X189" s="63"/>
      <c r="Y189" s="54"/>
      <c r="Z189" s="65"/>
      <c r="AA189" s="70"/>
      <c r="AB189" s="71"/>
      <c r="AC189" s="56"/>
      <c r="AD189" s="56"/>
      <c r="AE189" s="64"/>
      <c r="AF189" s="64"/>
      <c r="AG189" s="55"/>
      <c r="AH189" s="68"/>
      <c r="AI189" s="54"/>
      <c r="AJ189" s="69"/>
      <c r="AK189" s="70"/>
      <c r="AL189" s="71"/>
      <c r="AM189" s="56"/>
      <c r="AN189" s="56"/>
      <c r="AO189" s="64"/>
      <c r="AP189" s="64"/>
      <c r="AQ189" s="55"/>
      <c r="AR189" s="68"/>
      <c r="AS189" s="54"/>
      <c r="AT189" s="69"/>
      <c r="AU189" s="61"/>
      <c r="AV189" s="62"/>
      <c r="AW189" s="56"/>
      <c r="AX189" s="56"/>
      <c r="AY189" s="64"/>
      <c r="AZ189" s="64"/>
      <c r="BA189" s="55"/>
      <c r="BB189" s="72"/>
      <c r="BC189" s="68"/>
      <c r="BD189" s="69"/>
      <c r="BE189" s="70"/>
      <c r="BF189" s="71"/>
      <c r="BG189" s="56"/>
      <c r="BH189" s="56"/>
      <c r="BI189" s="64"/>
      <c r="BJ189" s="64"/>
      <c r="BK189" s="57"/>
      <c r="BL189" s="73"/>
      <c r="BM189" s="70"/>
      <c r="BN189" s="74"/>
      <c r="BO189" s="75"/>
      <c r="BP189" s="66"/>
      <c r="BQ189" s="74"/>
    </row>
    <row r="190" spans="1:69" s="44" customFormat="1" ht="22.35" customHeight="1" x14ac:dyDescent="0.2">
      <c r="A190" s="100"/>
      <c r="B190" s="100"/>
      <c r="C190" s="100"/>
      <c r="D190" s="54"/>
      <c r="E190" s="55"/>
      <c r="F190" s="56"/>
      <c r="G190" s="56"/>
      <c r="H190" s="57"/>
      <c r="I190" s="58"/>
      <c r="J190" s="58"/>
      <c r="K190" s="55"/>
      <c r="L190" s="59"/>
      <c r="M190" s="59"/>
      <c r="N190" s="59"/>
      <c r="O190" s="54"/>
      <c r="P190" s="60"/>
      <c r="Q190" s="61"/>
      <c r="R190" s="62"/>
      <c r="S190" s="56"/>
      <c r="T190" s="56"/>
      <c r="U190" s="63"/>
      <c r="V190" s="64"/>
      <c r="W190" s="55"/>
      <c r="X190" s="63"/>
      <c r="Y190" s="54"/>
      <c r="Z190" s="65"/>
      <c r="AA190" s="66"/>
      <c r="AB190" s="67"/>
      <c r="AC190" s="56"/>
      <c r="AD190" s="56"/>
      <c r="AE190" s="64"/>
      <c r="AF190" s="64"/>
      <c r="AG190" s="55"/>
      <c r="AH190" s="68"/>
      <c r="AI190" s="54"/>
      <c r="AJ190" s="69"/>
      <c r="AK190" s="66"/>
      <c r="AL190" s="67"/>
      <c r="AM190" s="56"/>
      <c r="AN190" s="56"/>
      <c r="AO190" s="64"/>
      <c r="AP190" s="64"/>
      <c r="AQ190" s="55"/>
      <c r="AR190" s="68"/>
      <c r="AS190" s="54"/>
      <c r="AT190" s="69"/>
      <c r="AU190" s="66"/>
      <c r="AV190" s="67"/>
      <c r="AW190" s="56"/>
      <c r="AX190" s="56"/>
      <c r="AY190" s="64"/>
      <c r="AZ190" s="64"/>
      <c r="BA190" s="55"/>
      <c r="BB190" s="72"/>
      <c r="BC190" s="68"/>
      <c r="BD190" s="69"/>
      <c r="BE190" s="66"/>
      <c r="BF190" s="67"/>
      <c r="BG190" s="56"/>
      <c r="BH190" s="56"/>
      <c r="BI190" s="64"/>
      <c r="BJ190" s="64"/>
      <c r="BK190" s="57"/>
      <c r="BL190" s="73"/>
      <c r="BM190" s="76"/>
      <c r="BN190" s="74"/>
      <c r="BO190" s="75"/>
      <c r="BP190" s="66"/>
      <c r="BQ190" s="74"/>
    </row>
    <row r="191" spans="1:69" s="44" customFormat="1" ht="22.35" customHeight="1" x14ac:dyDescent="0.2">
      <c r="A191" s="100"/>
      <c r="B191" s="100"/>
      <c r="C191" s="100"/>
      <c r="D191" s="54"/>
      <c r="E191" s="55"/>
      <c r="F191" s="56"/>
      <c r="G191" s="56"/>
      <c r="H191" s="57"/>
      <c r="I191" s="58"/>
      <c r="J191" s="58"/>
      <c r="K191" s="55"/>
      <c r="L191" s="59"/>
      <c r="M191" s="59"/>
      <c r="N191" s="59"/>
      <c r="O191" s="54"/>
      <c r="P191" s="60"/>
      <c r="Q191" s="66"/>
      <c r="R191" s="67"/>
      <c r="S191" s="56"/>
      <c r="T191" s="56"/>
      <c r="U191" s="63"/>
      <c r="V191" s="64"/>
      <c r="W191" s="55"/>
      <c r="X191" s="63"/>
      <c r="Y191" s="54"/>
      <c r="Z191" s="65"/>
      <c r="AA191" s="76"/>
      <c r="AB191" s="59"/>
      <c r="AC191" s="56"/>
      <c r="AD191" s="56"/>
      <c r="AE191" s="64"/>
      <c r="AF191" s="64"/>
      <c r="AG191" s="55"/>
      <c r="AH191" s="68"/>
      <c r="AI191" s="54"/>
      <c r="AJ191" s="69"/>
      <c r="AK191" s="61"/>
      <c r="AL191" s="62"/>
      <c r="AM191" s="56"/>
      <c r="AN191" s="56"/>
      <c r="AO191" s="64"/>
      <c r="AP191" s="64"/>
      <c r="AQ191" s="55"/>
      <c r="AR191" s="68"/>
      <c r="AS191" s="54"/>
      <c r="AT191" s="69"/>
      <c r="AU191" s="61"/>
      <c r="AV191" s="62"/>
      <c r="AW191" s="56"/>
      <c r="AX191" s="56"/>
      <c r="AY191" s="64"/>
      <c r="AZ191" s="64"/>
      <c r="BA191" s="55"/>
      <c r="BB191" s="72"/>
      <c r="BC191" s="68"/>
      <c r="BD191" s="69"/>
      <c r="BE191" s="76"/>
      <c r="BF191" s="59"/>
      <c r="BG191" s="56"/>
      <c r="BH191" s="56"/>
      <c r="BI191" s="64"/>
      <c r="BJ191" s="64"/>
      <c r="BK191" s="57"/>
      <c r="BL191" s="73"/>
      <c r="BM191" s="70"/>
      <c r="BN191" s="74"/>
      <c r="BO191" s="75"/>
      <c r="BP191" s="66"/>
      <c r="BQ191" s="74"/>
    </row>
    <row r="192" spans="1:69" s="44" customFormat="1" ht="22.35" customHeight="1" x14ac:dyDescent="0.2">
      <c r="A192" s="100"/>
      <c r="B192" s="100"/>
      <c r="C192" s="100"/>
      <c r="D192" s="54"/>
      <c r="E192" s="55"/>
      <c r="F192" s="56"/>
      <c r="G192" s="56"/>
      <c r="H192" s="57"/>
      <c r="I192" s="58"/>
      <c r="J192" s="58"/>
      <c r="K192" s="55"/>
      <c r="L192" s="59"/>
      <c r="M192" s="59"/>
      <c r="N192" s="59"/>
      <c r="O192" s="54"/>
      <c r="P192" s="60"/>
      <c r="Q192" s="66"/>
      <c r="R192" s="67"/>
      <c r="S192" s="56"/>
      <c r="T192" s="56"/>
      <c r="U192" s="63"/>
      <c r="V192" s="64"/>
      <c r="W192" s="55"/>
      <c r="X192" s="63"/>
      <c r="Y192" s="54"/>
      <c r="Z192" s="65"/>
      <c r="AA192" s="70"/>
      <c r="AB192" s="71"/>
      <c r="AC192" s="56"/>
      <c r="AD192" s="56"/>
      <c r="AE192" s="64"/>
      <c r="AF192" s="64"/>
      <c r="AG192" s="55"/>
      <c r="AH192" s="68"/>
      <c r="AI192" s="54"/>
      <c r="AJ192" s="69"/>
      <c r="AK192" s="76"/>
      <c r="AL192" s="59"/>
      <c r="AM192" s="56"/>
      <c r="AN192" s="56"/>
      <c r="AO192" s="64"/>
      <c r="AP192" s="64"/>
      <c r="AQ192" s="55"/>
      <c r="AR192" s="68"/>
      <c r="AS192" s="54"/>
      <c r="AT192" s="69"/>
      <c r="AU192" s="76"/>
      <c r="AV192" s="59"/>
      <c r="AW192" s="56"/>
      <c r="AX192" s="56"/>
      <c r="AY192" s="64"/>
      <c r="AZ192" s="64"/>
      <c r="BA192" s="55"/>
      <c r="BB192" s="72"/>
      <c r="BC192" s="68"/>
      <c r="BD192" s="69"/>
      <c r="BE192" s="70"/>
      <c r="BF192" s="71"/>
      <c r="BG192" s="56"/>
      <c r="BH192" s="56"/>
      <c r="BI192" s="64"/>
      <c r="BJ192" s="64"/>
      <c r="BK192" s="57"/>
      <c r="BL192" s="73"/>
      <c r="BM192" s="76"/>
      <c r="BN192" s="74"/>
      <c r="BO192" s="75"/>
      <c r="BP192" s="66"/>
      <c r="BQ192" s="74"/>
    </row>
    <row r="193" spans="1:69" s="44" customFormat="1" ht="22.35" customHeight="1" x14ac:dyDescent="0.2">
      <c r="A193" s="100"/>
      <c r="B193" s="100"/>
      <c r="C193" s="100"/>
      <c r="D193" s="54"/>
      <c r="E193" s="55"/>
      <c r="F193" s="56"/>
      <c r="G193" s="56"/>
      <c r="H193" s="57"/>
      <c r="I193" s="58"/>
      <c r="J193" s="58"/>
      <c r="K193" s="55"/>
      <c r="L193" s="59"/>
      <c r="M193" s="59"/>
      <c r="N193" s="59"/>
      <c r="O193" s="54"/>
      <c r="P193" s="60"/>
      <c r="Q193" s="66"/>
      <c r="R193" s="67"/>
      <c r="S193" s="56"/>
      <c r="T193" s="56"/>
      <c r="U193" s="63"/>
      <c r="V193" s="64"/>
      <c r="W193" s="55"/>
      <c r="X193" s="63"/>
      <c r="Y193" s="54"/>
      <c r="Z193" s="65"/>
      <c r="AA193" s="66"/>
      <c r="AB193" s="67"/>
      <c r="AC193" s="56"/>
      <c r="AD193" s="56"/>
      <c r="AE193" s="64"/>
      <c r="AF193" s="64"/>
      <c r="AG193" s="55"/>
      <c r="AH193" s="68"/>
      <c r="AI193" s="54"/>
      <c r="AJ193" s="69"/>
      <c r="AK193" s="66"/>
      <c r="AL193" s="67"/>
      <c r="AM193" s="56"/>
      <c r="AN193" s="56"/>
      <c r="AO193" s="64"/>
      <c r="AP193" s="64"/>
      <c r="AQ193" s="55"/>
      <c r="AR193" s="68"/>
      <c r="AS193" s="54"/>
      <c r="AT193" s="69"/>
      <c r="AU193" s="66"/>
      <c r="AV193" s="67"/>
      <c r="AW193" s="56"/>
      <c r="AX193" s="56"/>
      <c r="AY193" s="64"/>
      <c r="AZ193" s="64"/>
      <c r="BA193" s="55"/>
      <c r="BB193" s="72"/>
      <c r="BC193" s="68"/>
      <c r="BD193" s="69"/>
      <c r="BE193" s="66"/>
      <c r="BF193" s="67"/>
      <c r="BG193" s="56"/>
      <c r="BH193" s="56"/>
      <c r="BI193" s="64"/>
      <c r="BJ193" s="64"/>
      <c r="BK193" s="57"/>
      <c r="BL193" s="73"/>
      <c r="BM193" s="76"/>
      <c r="BN193" s="74"/>
      <c r="BO193" s="75"/>
      <c r="BP193" s="66"/>
      <c r="BQ193" s="74"/>
    </row>
    <row r="194" spans="1:69" s="44" customFormat="1" ht="22.35" customHeight="1" x14ac:dyDescent="0.2">
      <c r="A194" s="100"/>
      <c r="B194" s="100"/>
      <c r="C194" s="100"/>
      <c r="D194" s="54"/>
      <c r="E194" s="55"/>
      <c r="F194" s="56"/>
      <c r="G194" s="56"/>
      <c r="H194" s="57"/>
      <c r="I194" s="58"/>
      <c r="J194" s="58"/>
      <c r="K194" s="55"/>
      <c r="L194" s="59"/>
      <c r="M194" s="59"/>
      <c r="N194" s="59"/>
      <c r="O194" s="54"/>
      <c r="P194" s="60"/>
      <c r="Q194" s="70"/>
      <c r="R194" s="71"/>
      <c r="S194" s="56"/>
      <c r="T194" s="56"/>
      <c r="U194" s="63"/>
      <c r="V194" s="64"/>
      <c r="W194" s="55"/>
      <c r="X194" s="63"/>
      <c r="Y194" s="54"/>
      <c r="Z194" s="65"/>
      <c r="AA194" s="70"/>
      <c r="AB194" s="71"/>
      <c r="AC194" s="56"/>
      <c r="AD194" s="56"/>
      <c r="AE194" s="64"/>
      <c r="AF194" s="64"/>
      <c r="AG194" s="55"/>
      <c r="AH194" s="68"/>
      <c r="AI194" s="54"/>
      <c r="AJ194" s="69"/>
      <c r="AK194" s="61"/>
      <c r="AL194" s="62"/>
      <c r="AM194" s="56"/>
      <c r="AN194" s="56"/>
      <c r="AO194" s="64"/>
      <c r="AP194" s="64"/>
      <c r="AQ194" s="55"/>
      <c r="AR194" s="68"/>
      <c r="AS194" s="54"/>
      <c r="AT194" s="69"/>
      <c r="AU194" s="61"/>
      <c r="AV194" s="62"/>
      <c r="AW194" s="56"/>
      <c r="AX194" s="56"/>
      <c r="AY194" s="64"/>
      <c r="AZ194" s="64"/>
      <c r="BA194" s="55"/>
      <c r="BB194" s="72"/>
      <c r="BC194" s="68"/>
      <c r="BD194" s="69"/>
      <c r="BE194" s="76"/>
      <c r="BF194" s="59"/>
      <c r="BG194" s="56"/>
      <c r="BH194" s="56"/>
      <c r="BI194" s="64"/>
      <c r="BJ194" s="64"/>
      <c r="BK194" s="57"/>
      <c r="BL194" s="73"/>
      <c r="BM194" s="76"/>
      <c r="BN194" s="74"/>
      <c r="BO194" s="75"/>
      <c r="BP194" s="66"/>
      <c r="BQ194" s="74"/>
    </row>
    <row r="195" spans="1:69" s="44" customFormat="1" ht="22.35" customHeight="1" x14ac:dyDescent="0.2">
      <c r="A195" s="100"/>
      <c r="B195" s="100"/>
      <c r="C195" s="100"/>
      <c r="D195" s="54"/>
      <c r="E195" s="55"/>
      <c r="F195" s="56"/>
      <c r="G195" s="56"/>
      <c r="H195" s="57"/>
      <c r="I195" s="58"/>
      <c r="J195" s="58"/>
      <c r="K195" s="55"/>
      <c r="L195" s="59"/>
      <c r="M195" s="59"/>
      <c r="N195" s="59"/>
      <c r="O195" s="54"/>
      <c r="P195" s="60"/>
      <c r="Q195" s="66"/>
      <c r="R195" s="67"/>
      <c r="S195" s="56"/>
      <c r="T195" s="56"/>
      <c r="U195" s="63"/>
      <c r="V195" s="64"/>
      <c r="W195" s="55"/>
      <c r="X195" s="63"/>
      <c r="Y195" s="54"/>
      <c r="Z195" s="65"/>
      <c r="AA195" s="70"/>
      <c r="AB195" s="71"/>
      <c r="AC195" s="56"/>
      <c r="AD195" s="56"/>
      <c r="AE195" s="64"/>
      <c r="AF195" s="64"/>
      <c r="AG195" s="55"/>
      <c r="AH195" s="68"/>
      <c r="AI195" s="54"/>
      <c r="AJ195" s="69"/>
      <c r="AK195" s="66"/>
      <c r="AL195" s="67"/>
      <c r="AM195" s="56"/>
      <c r="AN195" s="56"/>
      <c r="AO195" s="64"/>
      <c r="AP195" s="64"/>
      <c r="AQ195" s="55"/>
      <c r="AR195" s="68"/>
      <c r="AS195" s="54"/>
      <c r="AT195" s="69"/>
      <c r="AU195" s="76"/>
      <c r="AV195" s="59"/>
      <c r="AW195" s="56"/>
      <c r="AX195" s="56"/>
      <c r="AY195" s="64"/>
      <c r="AZ195" s="64"/>
      <c r="BA195" s="55"/>
      <c r="BB195" s="72"/>
      <c r="BC195" s="68"/>
      <c r="BD195" s="69"/>
      <c r="BE195" s="66"/>
      <c r="BF195" s="67"/>
      <c r="BG195" s="56"/>
      <c r="BH195" s="56"/>
      <c r="BI195" s="64"/>
      <c r="BJ195" s="64"/>
      <c r="BK195" s="57"/>
      <c r="BL195" s="73"/>
      <c r="BM195" s="76"/>
      <c r="BN195" s="74"/>
      <c r="BO195" s="75"/>
      <c r="BP195" s="66"/>
      <c r="BQ195" s="74"/>
    </row>
    <row r="196" spans="1:69" s="44" customFormat="1" ht="22.35" customHeight="1" x14ac:dyDescent="0.2">
      <c r="A196" s="100"/>
      <c r="B196" s="100"/>
      <c r="C196" s="100"/>
      <c r="D196" s="54"/>
      <c r="E196" s="55"/>
      <c r="F196" s="56"/>
      <c r="G196" s="56"/>
      <c r="H196" s="57"/>
      <c r="I196" s="58"/>
      <c r="J196" s="58"/>
      <c r="K196" s="55"/>
      <c r="L196" s="59"/>
      <c r="M196" s="59"/>
      <c r="N196" s="59"/>
      <c r="O196" s="54"/>
      <c r="P196" s="60"/>
      <c r="Q196" s="66"/>
      <c r="R196" s="67"/>
      <c r="S196" s="56"/>
      <c r="T196" s="56"/>
      <c r="U196" s="63"/>
      <c r="V196" s="64"/>
      <c r="W196" s="55"/>
      <c r="X196" s="63"/>
      <c r="Y196" s="54"/>
      <c r="Z196" s="65"/>
      <c r="AA196" s="76"/>
      <c r="AB196" s="59"/>
      <c r="AC196" s="56"/>
      <c r="AD196" s="56"/>
      <c r="AE196" s="64"/>
      <c r="AF196" s="64"/>
      <c r="AG196" s="55"/>
      <c r="AH196" s="68"/>
      <c r="AI196" s="54"/>
      <c r="AJ196" s="69"/>
      <c r="AK196" s="76"/>
      <c r="AL196" s="59"/>
      <c r="AM196" s="56"/>
      <c r="AN196" s="56"/>
      <c r="AO196" s="64"/>
      <c r="AP196" s="64"/>
      <c r="AQ196" s="55"/>
      <c r="AR196" s="68"/>
      <c r="AS196" s="54"/>
      <c r="AT196" s="69"/>
      <c r="AU196" s="61"/>
      <c r="AV196" s="62"/>
      <c r="AW196" s="56"/>
      <c r="AX196" s="56"/>
      <c r="AY196" s="64"/>
      <c r="AZ196" s="64"/>
      <c r="BA196" s="55"/>
      <c r="BB196" s="72"/>
      <c r="BC196" s="68"/>
      <c r="BD196" s="69"/>
      <c r="BE196" s="70"/>
      <c r="BF196" s="71"/>
      <c r="BG196" s="56"/>
      <c r="BH196" s="56"/>
      <c r="BI196" s="64"/>
      <c r="BJ196" s="64"/>
      <c r="BK196" s="57"/>
      <c r="BL196" s="73"/>
      <c r="BM196" s="76"/>
      <c r="BN196" s="74"/>
      <c r="BO196" s="75"/>
      <c r="BP196" s="66"/>
      <c r="BQ196" s="74"/>
    </row>
    <row r="197" spans="1:69" s="44" customFormat="1" ht="22.35" customHeight="1" x14ac:dyDescent="0.2">
      <c r="A197" s="100"/>
      <c r="B197" s="100"/>
      <c r="C197" s="100"/>
      <c r="D197" s="54"/>
      <c r="E197" s="55"/>
      <c r="F197" s="56"/>
      <c r="G197" s="56"/>
      <c r="H197" s="57"/>
      <c r="I197" s="58"/>
      <c r="J197" s="58"/>
      <c r="K197" s="55"/>
      <c r="L197" s="59"/>
      <c r="M197" s="59"/>
      <c r="N197" s="59"/>
      <c r="O197" s="54"/>
      <c r="P197" s="60"/>
      <c r="Q197" s="66"/>
      <c r="R197" s="67"/>
      <c r="S197" s="56"/>
      <c r="T197" s="56"/>
      <c r="U197" s="63"/>
      <c r="V197" s="64"/>
      <c r="W197" s="55"/>
      <c r="X197" s="63"/>
      <c r="Y197" s="54"/>
      <c r="Z197" s="65"/>
      <c r="AA197" s="70"/>
      <c r="AB197" s="71"/>
      <c r="AC197" s="56"/>
      <c r="AD197" s="56"/>
      <c r="AE197" s="64"/>
      <c r="AF197" s="64"/>
      <c r="AG197" s="55"/>
      <c r="AH197" s="68"/>
      <c r="AI197" s="54"/>
      <c r="AJ197" s="69"/>
      <c r="AK197" s="76"/>
      <c r="AL197" s="59"/>
      <c r="AM197" s="56"/>
      <c r="AN197" s="56"/>
      <c r="AO197" s="64"/>
      <c r="AP197" s="64"/>
      <c r="AQ197" s="55"/>
      <c r="AR197" s="68"/>
      <c r="AS197" s="54"/>
      <c r="AT197" s="69"/>
      <c r="AU197" s="61"/>
      <c r="AV197" s="62"/>
      <c r="AW197" s="56"/>
      <c r="AX197" s="56"/>
      <c r="AY197" s="64"/>
      <c r="AZ197" s="64"/>
      <c r="BA197" s="55"/>
      <c r="BB197" s="72"/>
      <c r="BC197" s="68"/>
      <c r="BD197" s="69"/>
      <c r="BE197" s="70"/>
      <c r="BF197" s="71"/>
      <c r="BG197" s="56"/>
      <c r="BH197" s="56"/>
      <c r="BI197" s="64"/>
      <c r="BJ197" s="64"/>
      <c r="BK197" s="57"/>
      <c r="BL197" s="73"/>
      <c r="BM197" s="70"/>
      <c r="BN197" s="74"/>
      <c r="BO197" s="75"/>
      <c r="BP197" s="66"/>
      <c r="BQ197" s="74"/>
    </row>
    <row r="198" spans="1:69" s="44" customFormat="1" ht="22.35" customHeight="1" x14ac:dyDescent="0.2">
      <c r="A198" s="100"/>
      <c r="B198" s="100"/>
      <c r="C198" s="100"/>
      <c r="D198" s="54"/>
      <c r="E198" s="55"/>
      <c r="F198" s="56"/>
      <c r="G198" s="56"/>
      <c r="H198" s="57"/>
      <c r="I198" s="58"/>
      <c r="J198" s="58"/>
      <c r="K198" s="55"/>
      <c r="L198" s="59"/>
      <c r="M198" s="59"/>
      <c r="N198" s="59"/>
      <c r="O198" s="54"/>
      <c r="P198" s="60"/>
      <c r="Q198" s="66"/>
      <c r="R198" s="67"/>
      <c r="S198" s="56"/>
      <c r="T198" s="56"/>
      <c r="U198" s="63"/>
      <c r="V198" s="64"/>
      <c r="W198" s="55"/>
      <c r="X198" s="63"/>
      <c r="Y198" s="54"/>
      <c r="Z198" s="65"/>
      <c r="AA198" s="66"/>
      <c r="AB198" s="67"/>
      <c r="AC198" s="56"/>
      <c r="AD198" s="56"/>
      <c r="AE198" s="64"/>
      <c r="AF198" s="64"/>
      <c r="AG198" s="55"/>
      <c r="AH198" s="68"/>
      <c r="AI198" s="54"/>
      <c r="AJ198" s="69"/>
      <c r="AK198" s="76"/>
      <c r="AL198" s="59"/>
      <c r="AM198" s="56"/>
      <c r="AN198" s="56"/>
      <c r="AO198" s="64"/>
      <c r="AP198" s="64"/>
      <c r="AQ198" s="55"/>
      <c r="AR198" s="68"/>
      <c r="AS198" s="54"/>
      <c r="AT198" s="69"/>
      <c r="AU198" s="61"/>
      <c r="AV198" s="62"/>
      <c r="AW198" s="56"/>
      <c r="AX198" s="56"/>
      <c r="AY198" s="64"/>
      <c r="AZ198" s="64"/>
      <c r="BA198" s="55"/>
      <c r="BB198" s="72"/>
      <c r="BC198" s="68"/>
      <c r="BD198" s="69"/>
      <c r="BE198" s="70"/>
      <c r="BF198" s="71"/>
      <c r="BG198" s="56"/>
      <c r="BH198" s="56"/>
      <c r="BI198" s="64"/>
      <c r="BJ198" s="64"/>
      <c r="BK198" s="57"/>
      <c r="BL198" s="73"/>
      <c r="BM198" s="70"/>
      <c r="BN198" s="74"/>
      <c r="BO198" s="75"/>
      <c r="BP198" s="66"/>
      <c r="BQ198" s="74"/>
    </row>
    <row r="199" spans="1:69" s="44" customFormat="1" ht="22.35" customHeight="1" x14ac:dyDescent="0.2">
      <c r="A199" s="100"/>
      <c r="B199" s="100"/>
      <c r="C199" s="100"/>
      <c r="D199" s="54"/>
      <c r="E199" s="55"/>
      <c r="F199" s="56"/>
      <c r="G199" s="56"/>
      <c r="H199" s="57"/>
      <c r="I199" s="58"/>
      <c r="J199" s="58"/>
      <c r="K199" s="55"/>
      <c r="L199" s="59"/>
      <c r="M199" s="59"/>
      <c r="N199" s="59"/>
      <c r="O199" s="54"/>
      <c r="P199" s="60"/>
      <c r="Q199" s="66"/>
      <c r="R199" s="67"/>
      <c r="S199" s="56"/>
      <c r="T199" s="56"/>
      <c r="U199" s="63"/>
      <c r="V199" s="64"/>
      <c r="W199" s="55"/>
      <c r="X199" s="63"/>
      <c r="Y199" s="54"/>
      <c r="Z199" s="65"/>
      <c r="AA199" s="76"/>
      <c r="AB199" s="59"/>
      <c r="AC199" s="56"/>
      <c r="AD199" s="56"/>
      <c r="AE199" s="64"/>
      <c r="AF199" s="64"/>
      <c r="AG199" s="55"/>
      <c r="AH199" s="68"/>
      <c r="AI199" s="54"/>
      <c r="AJ199" s="69"/>
      <c r="AK199" s="61"/>
      <c r="AL199" s="62"/>
      <c r="AM199" s="56"/>
      <c r="AN199" s="56"/>
      <c r="AO199" s="64"/>
      <c r="AP199" s="64"/>
      <c r="AQ199" s="55"/>
      <c r="AR199" s="68"/>
      <c r="AS199" s="54"/>
      <c r="AT199" s="69"/>
      <c r="AU199" s="61"/>
      <c r="AV199" s="62"/>
      <c r="AW199" s="56"/>
      <c r="AX199" s="56"/>
      <c r="AY199" s="64"/>
      <c r="AZ199" s="64"/>
      <c r="BA199" s="55"/>
      <c r="BB199" s="72"/>
      <c r="BC199" s="68"/>
      <c r="BD199" s="69"/>
      <c r="BE199" s="76"/>
      <c r="BF199" s="59"/>
      <c r="BG199" s="56"/>
      <c r="BH199" s="56"/>
      <c r="BI199" s="64"/>
      <c r="BJ199" s="64"/>
      <c r="BK199" s="57"/>
      <c r="BL199" s="73"/>
      <c r="BM199" s="76"/>
      <c r="BN199" s="74"/>
      <c r="BO199" s="75"/>
      <c r="BP199" s="66"/>
      <c r="BQ199" s="74"/>
    </row>
    <row r="200" spans="1:69" s="44" customFormat="1" ht="22.35" customHeight="1" x14ac:dyDescent="0.2">
      <c r="A200" s="100"/>
      <c r="B200" s="100"/>
      <c r="C200" s="100"/>
      <c r="D200" s="54"/>
      <c r="E200" s="55"/>
      <c r="F200" s="56"/>
      <c r="G200" s="56"/>
      <c r="H200" s="57"/>
      <c r="I200" s="58"/>
      <c r="J200" s="58"/>
      <c r="K200" s="55"/>
      <c r="L200" s="59"/>
      <c r="M200" s="59"/>
      <c r="N200" s="59"/>
      <c r="O200" s="54"/>
      <c r="P200" s="60"/>
      <c r="Q200" s="66"/>
      <c r="R200" s="67"/>
      <c r="S200" s="56"/>
      <c r="T200" s="56"/>
      <c r="U200" s="63"/>
      <c r="V200" s="64"/>
      <c r="W200" s="55"/>
      <c r="X200" s="63"/>
      <c r="Y200" s="54"/>
      <c r="Z200" s="65"/>
      <c r="AA200" s="70"/>
      <c r="AB200" s="71"/>
      <c r="AC200" s="56"/>
      <c r="AD200" s="56"/>
      <c r="AE200" s="64"/>
      <c r="AF200" s="64"/>
      <c r="AG200" s="55"/>
      <c r="AH200" s="68"/>
      <c r="AI200" s="54"/>
      <c r="AJ200" s="69"/>
      <c r="AK200" s="70"/>
      <c r="AL200" s="71"/>
      <c r="AM200" s="56"/>
      <c r="AN200" s="56"/>
      <c r="AO200" s="64"/>
      <c r="AP200" s="64"/>
      <c r="AQ200" s="55"/>
      <c r="AR200" s="68"/>
      <c r="AS200" s="54"/>
      <c r="AT200" s="69"/>
      <c r="AU200" s="61"/>
      <c r="AV200" s="62"/>
      <c r="AW200" s="56"/>
      <c r="AX200" s="56"/>
      <c r="AY200" s="64"/>
      <c r="AZ200" s="64"/>
      <c r="BA200" s="55"/>
      <c r="BB200" s="72"/>
      <c r="BC200" s="68"/>
      <c r="BD200" s="69"/>
      <c r="BE200" s="66"/>
      <c r="BF200" s="67"/>
      <c r="BG200" s="56"/>
      <c r="BH200" s="56"/>
      <c r="BI200" s="64"/>
      <c r="BJ200" s="64"/>
      <c r="BK200" s="57"/>
      <c r="BL200" s="73"/>
      <c r="BM200" s="70"/>
      <c r="BN200" s="74"/>
      <c r="BO200" s="75"/>
      <c r="BP200" s="66"/>
      <c r="BQ200" s="74"/>
    </row>
    <row r="201" spans="1:69" s="44" customFormat="1" ht="22.35" customHeight="1" x14ac:dyDescent="0.2">
      <c r="A201" s="100"/>
      <c r="B201" s="100"/>
      <c r="C201" s="100"/>
      <c r="D201" s="54"/>
      <c r="E201" s="55"/>
      <c r="F201" s="56"/>
      <c r="G201" s="56"/>
      <c r="H201" s="57"/>
      <c r="I201" s="58"/>
      <c r="J201" s="58"/>
      <c r="K201" s="55"/>
      <c r="L201" s="59"/>
      <c r="M201" s="59"/>
      <c r="N201" s="59"/>
      <c r="O201" s="54"/>
      <c r="P201" s="60"/>
      <c r="Q201" s="66"/>
      <c r="R201" s="67"/>
      <c r="S201" s="56"/>
      <c r="T201" s="56"/>
      <c r="U201" s="63"/>
      <c r="V201" s="64"/>
      <c r="W201" s="55"/>
      <c r="X201" s="63"/>
      <c r="Y201" s="54"/>
      <c r="Z201" s="65"/>
      <c r="AA201" s="70"/>
      <c r="AB201" s="71"/>
      <c r="AC201" s="56"/>
      <c r="AD201" s="56"/>
      <c r="AE201" s="64"/>
      <c r="AF201" s="64"/>
      <c r="AG201" s="55"/>
      <c r="AH201" s="68"/>
      <c r="AI201" s="54"/>
      <c r="AJ201" s="69"/>
      <c r="AK201" s="70"/>
      <c r="AL201" s="71"/>
      <c r="AM201" s="56"/>
      <c r="AN201" s="56"/>
      <c r="AO201" s="64"/>
      <c r="AP201" s="64"/>
      <c r="AQ201" s="55"/>
      <c r="AR201" s="68"/>
      <c r="AS201" s="54"/>
      <c r="AT201" s="69"/>
      <c r="AU201" s="61"/>
      <c r="AV201" s="62"/>
      <c r="AW201" s="56"/>
      <c r="AX201" s="56"/>
      <c r="AY201" s="64"/>
      <c r="AZ201" s="64"/>
      <c r="BA201" s="55"/>
      <c r="BB201" s="72"/>
      <c r="BC201" s="68"/>
      <c r="BD201" s="69"/>
      <c r="BE201" s="66"/>
      <c r="BF201" s="67"/>
      <c r="BG201" s="56"/>
      <c r="BH201" s="56"/>
      <c r="BI201" s="64"/>
      <c r="BJ201" s="64"/>
      <c r="BK201" s="57"/>
      <c r="BL201" s="73"/>
      <c r="BM201" s="76"/>
      <c r="BN201" s="74"/>
      <c r="BO201" s="75"/>
      <c r="BP201" s="66"/>
      <c r="BQ201" s="74"/>
    </row>
    <row r="202" spans="1:69" s="44" customFormat="1" ht="22.35" customHeight="1" x14ac:dyDescent="0.2">
      <c r="A202" s="100"/>
      <c r="B202" s="100"/>
      <c r="C202" s="100"/>
      <c r="D202" s="54"/>
      <c r="E202" s="55"/>
      <c r="F202" s="56"/>
      <c r="G202" s="56"/>
      <c r="H202" s="57"/>
      <c r="I202" s="58"/>
      <c r="J202" s="58"/>
      <c r="K202" s="55"/>
      <c r="L202" s="59"/>
      <c r="M202" s="59"/>
      <c r="N202" s="59"/>
      <c r="O202" s="54"/>
      <c r="P202" s="60"/>
      <c r="Q202" s="66"/>
      <c r="R202" s="67"/>
      <c r="S202" s="56"/>
      <c r="T202" s="56"/>
      <c r="U202" s="63"/>
      <c r="V202" s="64"/>
      <c r="W202" s="55"/>
      <c r="X202" s="63"/>
      <c r="Y202" s="54"/>
      <c r="Z202" s="65"/>
      <c r="AA202" s="70"/>
      <c r="AB202" s="71"/>
      <c r="AC202" s="56"/>
      <c r="AD202" s="56"/>
      <c r="AE202" s="64"/>
      <c r="AF202" s="64"/>
      <c r="AG202" s="55"/>
      <c r="AH202" s="68"/>
      <c r="AI202" s="54"/>
      <c r="AJ202" s="69"/>
      <c r="AK202" s="70"/>
      <c r="AL202" s="71"/>
      <c r="AM202" s="56"/>
      <c r="AN202" s="56"/>
      <c r="AO202" s="64"/>
      <c r="AP202" s="64"/>
      <c r="AQ202" s="55"/>
      <c r="AR202" s="68"/>
      <c r="AS202" s="54"/>
      <c r="AT202" s="69"/>
      <c r="AU202" s="61"/>
      <c r="AV202" s="62"/>
      <c r="AW202" s="56"/>
      <c r="AX202" s="56"/>
      <c r="AY202" s="64"/>
      <c r="AZ202" s="64"/>
      <c r="BA202" s="55"/>
      <c r="BB202" s="72"/>
      <c r="BC202" s="68"/>
      <c r="BD202" s="69"/>
      <c r="BE202" s="66"/>
      <c r="BF202" s="67"/>
      <c r="BG202" s="56"/>
      <c r="BH202" s="56"/>
      <c r="BI202" s="64"/>
      <c r="BJ202" s="64"/>
      <c r="BK202" s="57"/>
      <c r="BL202" s="73"/>
      <c r="BM202" s="76"/>
      <c r="BN202" s="74"/>
      <c r="BO202" s="75"/>
      <c r="BP202" s="66"/>
      <c r="BQ202" s="74"/>
    </row>
    <row r="203" spans="1:69" s="44" customFormat="1" ht="22.35" customHeight="1" x14ac:dyDescent="0.2">
      <c r="A203" s="100"/>
      <c r="B203" s="100"/>
      <c r="C203" s="100"/>
      <c r="D203" s="54"/>
      <c r="E203" s="55"/>
      <c r="F203" s="56"/>
      <c r="G203" s="56"/>
      <c r="H203" s="57"/>
      <c r="I203" s="58"/>
      <c r="J203" s="58"/>
      <c r="K203" s="55"/>
      <c r="L203" s="59"/>
      <c r="M203" s="59"/>
      <c r="N203" s="59"/>
      <c r="O203" s="54"/>
      <c r="P203" s="60"/>
      <c r="Q203" s="66"/>
      <c r="R203" s="67"/>
      <c r="S203" s="56"/>
      <c r="T203" s="56"/>
      <c r="U203" s="63"/>
      <c r="V203" s="64"/>
      <c r="W203" s="55"/>
      <c r="X203" s="63"/>
      <c r="Y203" s="54"/>
      <c r="Z203" s="65"/>
      <c r="AA203" s="66"/>
      <c r="AB203" s="67"/>
      <c r="AC203" s="56"/>
      <c r="AD203" s="56"/>
      <c r="AE203" s="64"/>
      <c r="AF203" s="64"/>
      <c r="AG203" s="55"/>
      <c r="AH203" s="68"/>
      <c r="AI203" s="54"/>
      <c r="AJ203" s="69"/>
      <c r="AK203" s="70"/>
      <c r="AL203" s="71"/>
      <c r="AM203" s="56"/>
      <c r="AN203" s="56"/>
      <c r="AO203" s="64"/>
      <c r="AP203" s="64"/>
      <c r="AQ203" s="55"/>
      <c r="AR203" s="68"/>
      <c r="AS203" s="54"/>
      <c r="AT203" s="69"/>
      <c r="AU203" s="61"/>
      <c r="AV203" s="62"/>
      <c r="AW203" s="56"/>
      <c r="AX203" s="56"/>
      <c r="AY203" s="64"/>
      <c r="AZ203" s="64"/>
      <c r="BA203" s="55"/>
      <c r="BB203" s="72"/>
      <c r="BC203" s="68"/>
      <c r="BD203" s="69"/>
      <c r="BE203" s="66"/>
      <c r="BF203" s="67"/>
      <c r="BG203" s="56"/>
      <c r="BH203" s="56"/>
      <c r="BI203" s="64"/>
      <c r="BJ203" s="64"/>
      <c r="BK203" s="57"/>
      <c r="BL203" s="73"/>
      <c r="BM203" s="76"/>
      <c r="BN203" s="74"/>
      <c r="BO203" s="75"/>
      <c r="BP203" s="66"/>
      <c r="BQ203" s="74"/>
    </row>
    <row r="204" spans="1:69" s="44" customFormat="1" ht="22.35" customHeight="1" x14ac:dyDescent="0.2">
      <c r="A204" s="100"/>
      <c r="B204" s="100"/>
      <c r="C204" s="100"/>
      <c r="D204" s="54"/>
      <c r="E204" s="55"/>
      <c r="F204" s="56"/>
      <c r="G204" s="56"/>
      <c r="H204" s="57"/>
      <c r="I204" s="58"/>
      <c r="J204" s="58"/>
      <c r="K204" s="55"/>
      <c r="L204" s="59"/>
      <c r="M204" s="59"/>
      <c r="N204" s="59"/>
      <c r="O204" s="54"/>
      <c r="P204" s="60"/>
      <c r="Q204" s="66"/>
      <c r="R204" s="67"/>
      <c r="S204" s="56"/>
      <c r="T204" s="56"/>
      <c r="U204" s="63"/>
      <c r="V204" s="64"/>
      <c r="W204" s="55"/>
      <c r="X204" s="63"/>
      <c r="Y204" s="54"/>
      <c r="Z204" s="65"/>
      <c r="AA204" s="66"/>
      <c r="AB204" s="67"/>
      <c r="AC204" s="56"/>
      <c r="AD204" s="56"/>
      <c r="AE204" s="64"/>
      <c r="AF204" s="64"/>
      <c r="AG204" s="55"/>
      <c r="AH204" s="68"/>
      <c r="AI204" s="54"/>
      <c r="AJ204" s="69"/>
      <c r="AK204" s="61"/>
      <c r="AL204" s="62"/>
      <c r="AM204" s="56"/>
      <c r="AN204" s="56"/>
      <c r="AO204" s="64"/>
      <c r="AP204" s="64"/>
      <c r="AQ204" s="55"/>
      <c r="AR204" s="68"/>
      <c r="AS204" s="54"/>
      <c r="AT204" s="69"/>
      <c r="AU204" s="61"/>
      <c r="AV204" s="62"/>
      <c r="AW204" s="56"/>
      <c r="AX204" s="56"/>
      <c r="AY204" s="64"/>
      <c r="AZ204" s="64"/>
      <c r="BA204" s="55"/>
      <c r="BB204" s="72"/>
      <c r="BC204" s="68"/>
      <c r="BD204" s="69"/>
      <c r="BE204" s="76"/>
      <c r="BF204" s="59"/>
      <c r="BG204" s="56"/>
      <c r="BH204" s="56"/>
      <c r="BI204" s="64"/>
      <c r="BJ204" s="64"/>
      <c r="BK204" s="57"/>
      <c r="BL204" s="73"/>
      <c r="BM204" s="70"/>
      <c r="BN204" s="74"/>
      <c r="BO204" s="75"/>
      <c r="BP204" s="66"/>
      <c r="BQ204" s="74"/>
    </row>
    <row r="205" spans="1:69" s="44" customFormat="1" ht="22.35" customHeight="1" x14ac:dyDescent="0.2">
      <c r="A205" s="100"/>
      <c r="B205" s="100"/>
      <c r="C205" s="100"/>
      <c r="D205" s="54"/>
      <c r="E205" s="55"/>
      <c r="F205" s="56"/>
      <c r="G205" s="56"/>
      <c r="H205" s="57"/>
      <c r="I205" s="58"/>
      <c r="J205" s="58"/>
      <c r="K205" s="55"/>
      <c r="L205" s="59"/>
      <c r="M205" s="59"/>
      <c r="N205" s="59"/>
      <c r="O205" s="54"/>
      <c r="P205" s="60"/>
      <c r="Q205" s="66"/>
      <c r="R205" s="67"/>
      <c r="S205" s="56"/>
      <c r="T205" s="56"/>
      <c r="U205" s="63"/>
      <c r="V205" s="64"/>
      <c r="W205" s="55"/>
      <c r="X205" s="63"/>
      <c r="Y205" s="54"/>
      <c r="Z205" s="65"/>
      <c r="AA205" s="66"/>
      <c r="AB205" s="67"/>
      <c r="AC205" s="56"/>
      <c r="AD205" s="56"/>
      <c r="AE205" s="64"/>
      <c r="AF205" s="64"/>
      <c r="AG205" s="55"/>
      <c r="AH205" s="68"/>
      <c r="AI205" s="54"/>
      <c r="AJ205" s="69"/>
      <c r="AK205" s="70"/>
      <c r="AL205" s="71"/>
      <c r="AM205" s="56"/>
      <c r="AN205" s="56"/>
      <c r="AO205" s="64"/>
      <c r="AP205" s="64"/>
      <c r="AQ205" s="55"/>
      <c r="AR205" s="68"/>
      <c r="AS205" s="54"/>
      <c r="AT205" s="69"/>
      <c r="AU205" s="61"/>
      <c r="AV205" s="62"/>
      <c r="AW205" s="56"/>
      <c r="AX205" s="56"/>
      <c r="AY205" s="64"/>
      <c r="AZ205" s="64"/>
      <c r="BA205" s="55"/>
      <c r="BB205" s="72"/>
      <c r="BC205" s="68"/>
      <c r="BD205" s="69"/>
      <c r="BE205" s="66"/>
      <c r="BF205" s="67"/>
      <c r="BG205" s="56"/>
      <c r="BH205" s="56"/>
      <c r="BI205" s="64"/>
      <c r="BJ205" s="64"/>
      <c r="BK205" s="57"/>
      <c r="BL205" s="73"/>
      <c r="BM205" s="76"/>
      <c r="BN205" s="74"/>
      <c r="BO205" s="75"/>
      <c r="BP205" s="66"/>
      <c r="BQ205" s="74"/>
    </row>
    <row r="206" spans="1:69" s="44" customFormat="1" ht="22.35" customHeight="1" x14ac:dyDescent="0.2">
      <c r="A206" s="100"/>
      <c r="B206" s="100"/>
      <c r="C206" s="100"/>
      <c r="D206" s="54"/>
      <c r="E206" s="55"/>
      <c r="F206" s="56"/>
      <c r="G206" s="56"/>
      <c r="H206" s="57"/>
      <c r="I206" s="58"/>
      <c r="J206" s="58"/>
      <c r="K206" s="55"/>
      <c r="L206" s="59"/>
      <c r="M206" s="59"/>
      <c r="N206" s="59"/>
      <c r="O206" s="54"/>
      <c r="P206" s="60"/>
      <c r="Q206" s="66"/>
      <c r="R206" s="67"/>
      <c r="S206" s="56"/>
      <c r="T206" s="56"/>
      <c r="U206" s="63"/>
      <c r="V206" s="64"/>
      <c r="W206" s="55"/>
      <c r="X206" s="63"/>
      <c r="Y206" s="54"/>
      <c r="Z206" s="65"/>
      <c r="AA206" s="61"/>
      <c r="AB206" s="62"/>
      <c r="AC206" s="56"/>
      <c r="AD206" s="56"/>
      <c r="AE206" s="64"/>
      <c r="AF206" s="64"/>
      <c r="AG206" s="55"/>
      <c r="AH206" s="68"/>
      <c r="AI206" s="54"/>
      <c r="AJ206" s="69"/>
      <c r="AK206" s="61"/>
      <c r="AL206" s="62"/>
      <c r="AM206" s="56"/>
      <c r="AN206" s="56"/>
      <c r="AO206" s="64"/>
      <c r="AP206" s="64"/>
      <c r="AQ206" s="55"/>
      <c r="AR206" s="68"/>
      <c r="AS206" s="54"/>
      <c r="AT206" s="69"/>
      <c r="AU206" s="61"/>
      <c r="AV206" s="62"/>
      <c r="AW206" s="56"/>
      <c r="AX206" s="56"/>
      <c r="AY206" s="64"/>
      <c r="AZ206" s="64"/>
      <c r="BA206" s="55"/>
      <c r="BB206" s="72"/>
      <c r="BC206" s="68"/>
      <c r="BD206" s="69"/>
      <c r="BE206" s="61"/>
      <c r="BF206" s="62"/>
      <c r="BG206" s="56"/>
      <c r="BH206" s="56"/>
      <c r="BI206" s="64"/>
      <c r="BJ206" s="64"/>
      <c r="BK206" s="57"/>
      <c r="BL206" s="73"/>
      <c r="BM206" s="70"/>
      <c r="BN206" s="74"/>
      <c r="BO206" s="75"/>
      <c r="BP206" s="66"/>
      <c r="BQ206" s="74"/>
    </row>
    <row r="207" spans="1:69" s="44" customFormat="1" ht="22.35" customHeight="1" x14ac:dyDescent="0.2">
      <c r="A207" s="100"/>
      <c r="B207" s="100"/>
      <c r="C207" s="100"/>
      <c r="D207" s="54"/>
      <c r="E207" s="55"/>
      <c r="F207" s="56"/>
      <c r="G207" s="56"/>
      <c r="H207" s="57"/>
      <c r="I207" s="58"/>
      <c r="J207" s="58"/>
      <c r="K207" s="55"/>
      <c r="L207" s="59"/>
      <c r="M207" s="59"/>
      <c r="N207" s="59"/>
      <c r="O207" s="54"/>
      <c r="P207" s="60"/>
      <c r="Q207" s="66"/>
      <c r="R207" s="67"/>
      <c r="S207" s="56"/>
      <c r="T207" s="56"/>
      <c r="U207" s="63"/>
      <c r="V207" s="64"/>
      <c r="W207" s="55"/>
      <c r="X207" s="63"/>
      <c r="Y207" s="54"/>
      <c r="Z207" s="65"/>
      <c r="AA207" s="66"/>
      <c r="AB207" s="67"/>
      <c r="AC207" s="56"/>
      <c r="AD207" s="56"/>
      <c r="AE207" s="64"/>
      <c r="AF207" s="64"/>
      <c r="AG207" s="55"/>
      <c r="AH207" s="68"/>
      <c r="AI207" s="54"/>
      <c r="AJ207" s="69"/>
      <c r="AK207" s="70"/>
      <c r="AL207" s="71"/>
      <c r="AM207" s="56"/>
      <c r="AN207" s="56"/>
      <c r="AO207" s="64"/>
      <c r="AP207" s="64"/>
      <c r="AQ207" s="55"/>
      <c r="AR207" s="68"/>
      <c r="AS207" s="54"/>
      <c r="AT207" s="69"/>
      <c r="AU207" s="76"/>
      <c r="AV207" s="59"/>
      <c r="AW207" s="56"/>
      <c r="AX207" s="56"/>
      <c r="AY207" s="64"/>
      <c r="AZ207" s="64"/>
      <c r="BA207" s="55"/>
      <c r="BB207" s="72"/>
      <c r="BC207" s="68"/>
      <c r="BD207" s="69"/>
      <c r="BE207" s="66"/>
      <c r="BF207" s="67"/>
      <c r="BG207" s="56"/>
      <c r="BH207" s="56"/>
      <c r="BI207" s="64"/>
      <c r="BJ207" s="64"/>
      <c r="BK207" s="57"/>
      <c r="BL207" s="73"/>
      <c r="BM207" s="76"/>
      <c r="BN207" s="74"/>
      <c r="BO207" s="75"/>
      <c r="BP207" s="66"/>
      <c r="BQ207" s="74"/>
    </row>
    <row r="208" spans="1:69" s="44" customFormat="1" ht="22.35" customHeight="1" x14ac:dyDescent="0.2">
      <c r="A208" s="100"/>
      <c r="B208" s="100"/>
      <c r="C208" s="100"/>
      <c r="D208" s="54"/>
      <c r="E208" s="55"/>
      <c r="F208" s="56"/>
      <c r="G208" s="56"/>
      <c r="H208" s="57"/>
      <c r="I208" s="58"/>
      <c r="J208" s="58"/>
      <c r="K208" s="55"/>
      <c r="L208" s="59"/>
      <c r="M208" s="59"/>
      <c r="N208" s="59"/>
      <c r="O208" s="54"/>
      <c r="P208" s="60"/>
      <c r="Q208" s="66"/>
      <c r="R208" s="67"/>
      <c r="S208" s="56"/>
      <c r="T208" s="56"/>
      <c r="U208" s="63"/>
      <c r="V208" s="64"/>
      <c r="W208" s="55"/>
      <c r="X208" s="63"/>
      <c r="Y208" s="54"/>
      <c r="Z208" s="65"/>
      <c r="AA208" s="66"/>
      <c r="AB208" s="67"/>
      <c r="AC208" s="56"/>
      <c r="AD208" s="56"/>
      <c r="AE208" s="64"/>
      <c r="AF208" s="64"/>
      <c r="AG208" s="55"/>
      <c r="AH208" s="68"/>
      <c r="AI208" s="54"/>
      <c r="AJ208" s="69"/>
      <c r="AK208" s="76"/>
      <c r="AL208" s="59"/>
      <c r="AM208" s="56"/>
      <c r="AN208" s="56"/>
      <c r="AO208" s="64"/>
      <c r="AP208" s="64"/>
      <c r="AQ208" s="55"/>
      <c r="AR208" s="68"/>
      <c r="AS208" s="54"/>
      <c r="AT208" s="69"/>
      <c r="AU208" s="61"/>
      <c r="AV208" s="62"/>
      <c r="AW208" s="56"/>
      <c r="AX208" s="56"/>
      <c r="AY208" s="64"/>
      <c r="AZ208" s="64"/>
      <c r="BA208" s="55"/>
      <c r="BB208" s="72"/>
      <c r="BC208" s="68"/>
      <c r="BD208" s="69"/>
      <c r="BE208" s="70"/>
      <c r="BF208" s="71"/>
      <c r="BG208" s="56"/>
      <c r="BH208" s="56"/>
      <c r="BI208" s="64"/>
      <c r="BJ208" s="64"/>
      <c r="BK208" s="57"/>
      <c r="BL208" s="73"/>
      <c r="BM208" s="70"/>
      <c r="BN208" s="74"/>
      <c r="BO208" s="75"/>
      <c r="BP208" s="66"/>
      <c r="BQ208" s="74"/>
    </row>
    <row r="209" spans="1:69" s="44" customFormat="1" ht="22.35" customHeight="1" x14ac:dyDescent="0.2">
      <c r="A209" s="100"/>
      <c r="B209" s="100"/>
      <c r="C209" s="100"/>
      <c r="D209" s="54"/>
      <c r="E209" s="55"/>
      <c r="F209" s="56"/>
      <c r="G209" s="56"/>
      <c r="H209" s="57"/>
      <c r="I209" s="58"/>
      <c r="J209" s="58"/>
      <c r="K209" s="55"/>
      <c r="L209" s="59"/>
      <c r="M209" s="59"/>
      <c r="N209" s="59"/>
      <c r="O209" s="54"/>
      <c r="P209" s="60"/>
      <c r="Q209" s="66"/>
      <c r="R209" s="67"/>
      <c r="S209" s="56"/>
      <c r="T209" s="56"/>
      <c r="U209" s="63"/>
      <c r="V209" s="64"/>
      <c r="W209" s="55"/>
      <c r="X209" s="63"/>
      <c r="Y209" s="54"/>
      <c r="Z209" s="65"/>
      <c r="AA209" s="70"/>
      <c r="AB209" s="71"/>
      <c r="AC209" s="56"/>
      <c r="AD209" s="56"/>
      <c r="AE209" s="64"/>
      <c r="AF209" s="64"/>
      <c r="AG209" s="55"/>
      <c r="AH209" s="68"/>
      <c r="AI209" s="54"/>
      <c r="AJ209" s="69"/>
      <c r="AK209" s="70"/>
      <c r="AL209" s="71"/>
      <c r="AM209" s="56"/>
      <c r="AN209" s="56"/>
      <c r="AO209" s="64"/>
      <c r="AP209" s="64"/>
      <c r="AQ209" s="55"/>
      <c r="AR209" s="68"/>
      <c r="AS209" s="54"/>
      <c r="AT209" s="69"/>
      <c r="AU209" s="61"/>
      <c r="AV209" s="62"/>
      <c r="AW209" s="56"/>
      <c r="AX209" s="56"/>
      <c r="AY209" s="64"/>
      <c r="AZ209" s="64"/>
      <c r="BA209" s="55"/>
      <c r="BB209" s="72"/>
      <c r="BC209" s="68"/>
      <c r="BD209" s="69"/>
      <c r="BE209" s="66"/>
      <c r="BF209" s="67"/>
      <c r="BG209" s="56"/>
      <c r="BH209" s="56"/>
      <c r="BI209" s="64"/>
      <c r="BJ209" s="64"/>
      <c r="BK209" s="57"/>
      <c r="BL209" s="73"/>
      <c r="BM209" s="76"/>
      <c r="BN209" s="74"/>
      <c r="BO209" s="75"/>
      <c r="BP209" s="66"/>
      <c r="BQ209" s="74"/>
    </row>
    <row r="210" spans="1:69" s="44" customFormat="1" ht="22.35" customHeight="1" x14ac:dyDescent="0.2">
      <c r="A210" s="100"/>
      <c r="B210" s="100"/>
      <c r="C210" s="100"/>
      <c r="D210" s="54"/>
      <c r="E210" s="55"/>
      <c r="F210" s="56"/>
      <c r="G210" s="56"/>
      <c r="H210" s="57"/>
      <c r="I210" s="58"/>
      <c r="J210" s="58"/>
      <c r="K210" s="55"/>
      <c r="L210" s="59"/>
      <c r="M210" s="59"/>
      <c r="N210" s="59"/>
      <c r="O210" s="54"/>
      <c r="P210" s="60"/>
      <c r="Q210" s="66"/>
      <c r="R210" s="67"/>
      <c r="S210" s="56"/>
      <c r="T210" s="56"/>
      <c r="U210" s="63"/>
      <c r="V210" s="64"/>
      <c r="W210" s="55"/>
      <c r="X210" s="63"/>
      <c r="Y210" s="54"/>
      <c r="Z210" s="65"/>
      <c r="AA210" s="66"/>
      <c r="AB210" s="67"/>
      <c r="AC210" s="56"/>
      <c r="AD210" s="56"/>
      <c r="AE210" s="64"/>
      <c r="AF210" s="64"/>
      <c r="AG210" s="55"/>
      <c r="AH210" s="68"/>
      <c r="AI210" s="54"/>
      <c r="AJ210" s="69"/>
      <c r="AK210" s="70"/>
      <c r="AL210" s="71"/>
      <c r="AM210" s="56"/>
      <c r="AN210" s="56"/>
      <c r="AO210" s="64"/>
      <c r="AP210" s="64"/>
      <c r="AQ210" s="55"/>
      <c r="AR210" s="68"/>
      <c r="AS210" s="54"/>
      <c r="AT210" s="69"/>
      <c r="AU210" s="61"/>
      <c r="AV210" s="62"/>
      <c r="AW210" s="56"/>
      <c r="AX210" s="56"/>
      <c r="AY210" s="64"/>
      <c r="AZ210" s="64"/>
      <c r="BA210" s="55"/>
      <c r="BB210" s="72"/>
      <c r="BC210" s="68"/>
      <c r="BD210" s="69"/>
      <c r="BE210" s="66"/>
      <c r="BF210" s="67"/>
      <c r="BG210" s="56"/>
      <c r="BH210" s="56"/>
      <c r="BI210" s="64"/>
      <c r="BJ210" s="64"/>
      <c r="BK210" s="57"/>
      <c r="BL210" s="73"/>
      <c r="BM210" s="76"/>
      <c r="BN210" s="74"/>
      <c r="BO210" s="75"/>
      <c r="BP210" s="66"/>
      <c r="BQ210" s="74"/>
    </row>
    <row r="211" spans="1:69" s="44" customFormat="1" ht="22.35" customHeight="1" x14ac:dyDescent="0.2">
      <c r="A211" s="100"/>
      <c r="B211" s="100"/>
      <c r="C211" s="100"/>
      <c r="D211" s="54"/>
      <c r="E211" s="55"/>
      <c r="F211" s="56"/>
      <c r="G211" s="56"/>
      <c r="H211" s="57"/>
      <c r="I211" s="58"/>
      <c r="J211" s="58"/>
      <c r="K211" s="55"/>
      <c r="L211" s="59"/>
      <c r="M211" s="59"/>
      <c r="N211" s="59"/>
      <c r="O211" s="54"/>
      <c r="P211" s="60"/>
      <c r="Q211" s="66"/>
      <c r="R211" s="67"/>
      <c r="S211" s="56"/>
      <c r="T211" s="56"/>
      <c r="U211" s="63"/>
      <c r="V211" s="64"/>
      <c r="W211" s="55"/>
      <c r="X211" s="63"/>
      <c r="Y211" s="54"/>
      <c r="Z211" s="65"/>
      <c r="AA211" s="70"/>
      <c r="AB211" s="71"/>
      <c r="AC211" s="56"/>
      <c r="AD211" s="56"/>
      <c r="AE211" s="64"/>
      <c r="AF211" s="64"/>
      <c r="AG211" s="55"/>
      <c r="AH211" s="68"/>
      <c r="AI211" s="54"/>
      <c r="AJ211" s="69"/>
      <c r="AK211" s="61"/>
      <c r="AL211" s="62"/>
      <c r="AM211" s="56"/>
      <c r="AN211" s="56"/>
      <c r="AO211" s="64"/>
      <c r="AP211" s="64"/>
      <c r="AQ211" s="55"/>
      <c r="AR211" s="68"/>
      <c r="AS211" s="54"/>
      <c r="AT211" s="69"/>
      <c r="AU211" s="61"/>
      <c r="AV211" s="62"/>
      <c r="AW211" s="56"/>
      <c r="AX211" s="56"/>
      <c r="AY211" s="64"/>
      <c r="AZ211" s="64"/>
      <c r="BA211" s="55"/>
      <c r="BB211" s="72"/>
      <c r="BC211" s="68"/>
      <c r="BD211" s="69"/>
      <c r="BE211" s="70"/>
      <c r="BF211" s="71"/>
      <c r="BG211" s="56"/>
      <c r="BH211" s="56"/>
      <c r="BI211" s="64"/>
      <c r="BJ211" s="64"/>
      <c r="BK211" s="57"/>
      <c r="BL211" s="73"/>
      <c r="BM211" s="70"/>
      <c r="BN211" s="74"/>
      <c r="BO211" s="75"/>
      <c r="BP211" s="66"/>
      <c r="BQ211" s="74"/>
    </row>
    <row r="212" spans="1:69" s="44" customFormat="1" ht="22.35" customHeight="1" x14ac:dyDescent="0.2">
      <c r="A212" s="100"/>
      <c r="B212" s="100"/>
      <c r="C212" s="100"/>
      <c r="D212" s="54"/>
      <c r="E212" s="55"/>
      <c r="F212" s="56"/>
      <c r="G212" s="56"/>
      <c r="H212" s="57"/>
      <c r="I212" s="58"/>
      <c r="J212" s="58"/>
      <c r="K212" s="55"/>
      <c r="L212" s="59"/>
      <c r="M212" s="59"/>
      <c r="N212" s="59"/>
      <c r="O212" s="54"/>
      <c r="P212" s="60"/>
      <c r="Q212" s="66"/>
      <c r="R212" s="67"/>
      <c r="S212" s="56"/>
      <c r="T212" s="56"/>
      <c r="U212" s="63"/>
      <c r="V212" s="64"/>
      <c r="W212" s="55"/>
      <c r="X212" s="63"/>
      <c r="Y212" s="54"/>
      <c r="Z212" s="65"/>
      <c r="AA212" s="66"/>
      <c r="AB212" s="67"/>
      <c r="AC212" s="56"/>
      <c r="AD212" s="56"/>
      <c r="AE212" s="64"/>
      <c r="AF212" s="64"/>
      <c r="AG212" s="55"/>
      <c r="AH212" s="68"/>
      <c r="AI212" s="54"/>
      <c r="AJ212" s="69"/>
      <c r="AK212" s="61"/>
      <c r="AL212" s="62"/>
      <c r="AM212" s="56"/>
      <c r="AN212" s="56"/>
      <c r="AO212" s="64"/>
      <c r="AP212" s="64"/>
      <c r="AQ212" s="55"/>
      <c r="AR212" s="68"/>
      <c r="AS212" s="54"/>
      <c r="AT212" s="69"/>
      <c r="AU212" s="61"/>
      <c r="AV212" s="62"/>
      <c r="AW212" s="56"/>
      <c r="AX212" s="56"/>
      <c r="AY212" s="64"/>
      <c r="AZ212" s="64"/>
      <c r="BA212" s="55"/>
      <c r="BB212" s="72"/>
      <c r="BC212" s="68"/>
      <c r="BD212" s="69"/>
      <c r="BE212" s="76"/>
      <c r="BF212" s="59"/>
      <c r="BG212" s="56"/>
      <c r="BH212" s="56"/>
      <c r="BI212" s="64"/>
      <c r="BJ212" s="64"/>
      <c r="BK212" s="57"/>
      <c r="BL212" s="73"/>
      <c r="BM212" s="76"/>
      <c r="BN212" s="74"/>
      <c r="BO212" s="75"/>
      <c r="BP212" s="66"/>
      <c r="BQ212" s="74"/>
    </row>
    <row r="213" spans="1:69" s="44" customFormat="1" ht="22.35" customHeight="1" x14ac:dyDescent="0.2">
      <c r="A213" s="100"/>
      <c r="B213" s="100"/>
      <c r="C213" s="100"/>
      <c r="D213" s="54"/>
      <c r="E213" s="55"/>
      <c r="F213" s="56"/>
      <c r="G213" s="56"/>
      <c r="H213" s="57"/>
      <c r="I213" s="58"/>
      <c r="J213" s="58"/>
      <c r="K213" s="55"/>
      <c r="L213" s="59"/>
      <c r="M213" s="59"/>
      <c r="N213" s="59"/>
      <c r="O213" s="54"/>
      <c r="P213" s="60"/>
      <c r="Q213" s="66"/>
      <c r="R213" s="67"/>
      <c r="S213" s="56"/>
      <c r="T213" s="56"/>
      <c r="U213" s="63"/>
      <c r="V213" s="64"/>
      <c r="W213" s="55"/>
      <c r="X213" s="63"/>
      <c r="Y213" s="54"/>
      <c r="Z213" s="65"/>
      <c r="AA213" s="76"/>
      <c r="AB213" s="59"/>
      <c r="AC213" s="56"/>
      <c r="AD213" s="56"/>
      <c r="AE213" s="64"/>
      <c r="AF213" s="64"/>
      <c r="AG213" s="55"/>
      <c r="AH213" s="68"/>
      <c r="AI213" s="54"/>
      <c r="AJ213" s="69"/>
      <c r="AK213" s="70"/>
      <c r="AL213" s="71"/>
      <c r="AM213" s="56"/>
      <c r="AN213" s="56"/>
      <c r="AO213" s="64"/>
      <c r="AP213" s="64"/>
      <c r="AQ213" s="55"/>
      <c r="AR213" s="68"/>
      <c r="AS213" s="54"/>
      <c r="AT213" s="69"/>
      <c r="AU213" s="61"/>
      <c r="AV213" s="62"/>
      <c r="AW213" s="56"/>
      <c r="AX213" s="56"/>
      <c r="AY213" s="64"/>
      <c r="AZ213" s="64"/>
      <c r="BA213" s="55"/>
      <c r="BB213" s="72"/>
      <c r="BC213" s="68"/>
      <c r="BD213" s="69"/>
      <c r="BE213" s="70"/>
      <c r="BF213" s="71"/>
      <c r="BG213" s="56"/>
      <c r="BH213" s="56"/>
      <c r="BI213" s="64"/>
      <c r="BJ213" s="64"/>
      <c r="BK213" s="57"/>
      <c r="BL213" s="73"/>
      <c r="BM213" s="76"/>
      <c r="BN213" s="74"/>
      <c r="BO213" s="75"/>
      <c r="BP213" s="66"/>
      <c r="BQ213" s="74"/>
    </row>
    <row r="214" spans="1:69" s="44" customFormat="1" ht="22.35" customHeight="1" x14ac:dyDescent="0.2">
      <c r="A214" s="100"/>
      <c r="B214" s="100"/>
      <c r="C214" s="100"/>
      <c r="D214" s="54"/>
      <c r="E214" s="55"/>
      <c r="F214" s="56"/>
      <c r="G214" s="56"/>
      <c r="H214" s="57"/>
      <c r="I214" s="58"/>
      <c r="J214" s="58"/>
      <c r="K214" s="55"/>
      <c r="L214" s="59"/>
      <c r="M214" s="59"/>
      <c r="N214" s="59"/>
      <c r="O214" s="54"/>
      <c r="P214" s="60"/>
      <c r="Q214" s="66"/>
      <c r="R214" s="67"/>
      <c r="S214" s="56"/>
      <c r="T214" s="56"/>
      <c r="U214" s="63"/>
      <c r="V214" s="64"/>
      <c r="W214" s="55"/>
      <c r="X214" s="63"/>
      <c r="Y214" s="54"/>
      <c r="Z214" s="65"/>
      <c r="AA214" s="70"/>
      <c r="AB214" s="71"/>
      <c r="AC214" s="56"/>
      <c r="AD214" s="56"/>
      <c r="AE214" s="64"/>
      <c r="AF214" s="64"/>
      <c r="AG214" s="55"/>
      <c r="AH214" s="68"/>
      <c r="AI214" s="54"/>
      <c r="AJ214" s="69"/>
      <c r="AK214" s="61"/>
      <c r="AL214" s="62"/>
      <c r="AM214" s="56"/>
      <c r="AN214" s="56"/>
      <c r="AO214" s="64"/>
      <c r="AP214" s="64"/>
      <c r="AQ214" s="55"/>
      <c r="AR214" s="68"/>
      <c r="AS214" s="54"/>
      <c r="AT214" s="69"/>
      <c r="AU214" s="61"/>
      <c r="AV214" s="62"/>
      <c r="AW214" s="56"/>
      <c r="AX214" s="56"/>
      <c r="AY214" s="64"/>
      <c r="AZ214" s="64"/>
      <c r="BA214" s="55"/>
      <c r="BB214" s="72"/>
      <c r="BC214" s="68"/>
      <c r="BD214" s="69"/>
      <c r="BE214" s="61"/>
      <c r="BF214" s="62"/>
      <c r="BG214" s="56"/>
      <c r="BH214" s="56"/>
      <c r="BI214" s="64"/>
      <c r="BJ214" s="64"/>
      <c r="BK214" s="57"/>
      <c r="BL214" s="73"/>
      <c r="BM214" s="70"/>
      <c r="BN214" s="74"/>
      <c r="BO214" s="75"/>
      <c r="BP214" s="66"/>
      <c r="BQ214" s="74"/>
    </row>
    <row r="215" spans="1:69" s="44" customFormat="1" ht="22.35" customHeight="1" x14ac:dyDescent="0.2">
      <c r="A215" s="100"/>
      <c r="B215" s="100"/>
      <c r="C215" s="100"/>
      <c r="D215" s="54"/>
      <c r="E215" s="55"/>
      <c r="F215" s="56"/>
      <c r="G215" s="56"/>
      <c r="H215" s="57"/>
      <c r="I215" s="58"/>
      <c r="J215" s="58"/>
      <c r="K215" s="55"/>
      <c r="L215" s="59"/>
      <c r="M215" s="59"/>
      <c r="N215" s="59"/>
      <c r="O215" s="54"/>
      <c r="P215" s="60"/>
      <c r="Q215" s="66"/>
      <c r="R215" s="67"/>
      <c r="S215" s="56"/>
      <c r="T215" s="56"/>
      <c r="U215" s="63"/>
      <c r="V215" s="64"/>
      <c r="W215" s="55"/>
      <c r="X215" s="63"/>
      <c r="Y215" s="54"/>
      <c r="Z215" s="65"/>
      <c r="AA215" s="70"/>
      <c r="AB215" s="71"/>
      <c r="AC215" s="56"/>
      <c r="AD215" s="56"/>
      <c r="AE215" s="64"/>
      <c r="AF215" s="64"/>
      <c r="AG215" s="55"/>
      <c r="AH215" s="68"/>
      <c r="AI215" s="54"/>
      <c r="AJ215" s="69"/>
      <c r="AK215" s="61"/>
      <c r="AL215" s="62"/>
      <c r="AM215" s="56"/>
      <c r="AN215" s="56"/>
      <c r="AO215" s="64"/>
      <c r="AP215" s="64"/>
      <c r="AQ215" s="55"/>
      <c r="AR215" s="68"/>
      <c r="AS215" s="54"/>
      <c r="AT215" s="69"/>
      <c r="AU215" s="61"/>
      <c r="AV215" s="62"/>
      <c r="AW215" s="56"/>
      <c r="AX215" s="56"/>
      <c r="AY215" s="64"/>
      <c r="AZ215" s="64"/>
      <c r="BA215" s="55"/>
      <c r="BB215" s="72"/>
      <c r="BC215" s="68"/>
      <c r="BD215" s="69"/>
      <c r="BE215" s="66"/>
      <c r="BF215" s="67"/>
      <c r="BG215" s="56"/>
      <c r="BH215" s="56"/>
      <c r="BI215" s="64"/>
      <c r="BJ215" s="64"/>
      <c r="BK215" s="57"/>
      <c r="BL215" s="73"/>
      <c r="BM215" s="70"/>
      <c r="BN215" s="74"/>
      <c r="BO215" s="75"/>
      <c r="BP215" s="66"/>
      <c r="BQ215" s="74"/>
    </row>
    <row r="216" spans="1:69" s="44" customFormat="1" ht="22.35" customHeight="1" x14ac:dyDescent="0.2">
      <c r="A216" s="100"/>
      <c r="B216" s="100"/>
      <c r="C216" s="100"/>
      <c r="D216" s="54"/>
      <c r="E216" s="55"/>
      <c r="F216" s="56"/>
      <c r="G216" s="56"/>
      <c r="H216" s="57"/>
      <c r="I216" s="58"/>
      <c r="J216" s="58"/>
      <c r="K216" s="55"/>
      <c r="L216" s="59"/>
      <c r="M216" s="59"/>
      <c r="N216" s="59"/>
      <c r="O216" s="54"/>
      <c r="P216" s="60"/>
      <c r="Q216" s="66"/>
      <c r="R216" s="67"/>
      <c r="S216" s="56"/>
      <c r="T216" s="56"/>
      <c r="U216" s="63"/>
      <c r="V216" s="64"/>
      <c r="W216" s="55"/>
      <c r="X216" s="63"/>
      <c r="Y216" s="54"/>
      <c r="Z216" s="65"/>
      <c r="AA216" s="70"/>
      <c r="AB216" s="71"/>
      <c r="AC216" s="56"/>
      <c r="AD216" s="56"/>
      <c r="AE216" s="64"/>
      <c r="AF216" s="64"/>
      <c r="AG216" s="55"/>
      <c r="AH216" s="68"/>
      <c r="AI216" s="54"/>
      <c r="AJ216" s="69"/>
      <c r="AK216" s="61"/>
      <c r="AL216" s="62"/>
      <c r="AM216" s="56"/>
      <c r="AN216" s="56"/>
      <c r="AO216" s="64"/>
      <c r="AP216" s="64"/>
      <c r="AQ216" s="55"/>
      <c r="AR216" s="68"/>
      <c r="AS216" s="54"/>
      <c r="AT216" s="69"/>
      <c r="AU216" s="61"/>
      <c r="AV216" s="62"/>
      <c r="AW216" s="56"/>
      <c r="AX216" s="56"/>
      <c r="AY216" s="64"/>
      <c r="AZ216" s="64"/>
      <c r="BA216" s="55"/>
      <c r="BB216" s="72"/>
      <c r="BC216" s="68"/>
      <c r="BD216" s="69"/>
      <c r="BE216" s="66"/>
      <c r="BF216" s="67"/>
      <c r="BG216" s="56"/>
      <c r="BH216" s="56"/>
      <c r="BI216" s="64"/>
      <c r="BJ216" s="64"/>
      <c r="BK216" s="57"/>
      <c r="BL216" s="73"/>
      <c r="BM216" s="76"/>
      <c r="BN216" s="74"/>
      <c r="BO216" s="75"/>
      <c r="BP216" s="66"/>
      <c r="BQ216" s="74"/>
    </row>
    <row r="217" spans="1:69" s="44" customFormat="1" ht="22.35" customHeight="1" x14ac:dyDescent="0.2">
      <c r="A217" s="100"/>
      <c r="B217" s="100"/>
      <c r="C217" s="100"/>
      <c r="D217" s="54"/>
      <c r="E217" s="55"/>
      <c r="F217" s="56"/>
      <c r="G217" s="56"/>
      <c r="H217" s="57"/>
      <c r="I217" s="58"/>
      <c r="J217" s="58"/>
      <c r="K217" s="55"/>
      <c r="L217" s="59"/>
      <c r="M217" s="59"/>
      <c r="N217" s="59"/>
      <c r="O217" s="54"/>
      <c r="P217" s="60"/>
      <c r="Q217" s="66"/>
      <c r="R217" s="67"/>
      <c r="S217" s="56"/>
      <c r="T217" s="56"/>
      <c r="U217" s="63"/>
      <c r="V217" s="64"/>
      <c r="W217" s="55"/>
      <c r="X217" s="63"/>
      <c r="Y217" s="54"/>
      <c r="Z217" s="65"/>
      <c r="AA217" s="70"/>
      <c r="AB217" s="71"/>
      <c r="AC217" s="56"/>
      <c r="AD217" s="56"/>
      <c r="AE217" s="64"/>
      <c r="AF217" s="64"/>
      <c r="AG217" s="55"/>
      <c r="AH217" s="68"/>
      <c r="AI217" s="54"/>
      <c r="AJ217" s="69"/>
      <c r="AK217" s="61"/>
      <c r="AL217" s="62"/>
      <c r="AM217" s="56"/>
      <c r="AN217" s="56"/>
      <c r="AO217" s="64"/>
      <c r="AP217" s="64"/>
      <c r="AQ217" s="55"/>
      <c r="AR217" s="68"/>
      <c r="AS217" s="54"/>
      <c r="AT217" s="69"/>
      <c r="AU217" s="61"/>
      <c r="AV217" s="62"/>
      <c r="AW217" s="56"/>
      <c r="AX217" s="56"/>
      <c r="AY217" s="64"/>
      <c r="AZ217" s="64"/>
      <c r="BA217" s="55"/>
      <c r="BB217" s="72"/>
      <c r="BC217" s="68"/>
      <c r="BD217" s="69"/>
      <c r="BE217" s="76"/>
      <c r="BF217" s="59"/>
      <c r="BG217" s="56"/>
      <c r="BH217" s="56"/>
      <c r="BI217" s="64"/>
      <c r="BJ217" s="64"/>
      <c r="BK217" s="57"/>
      <c r="BL217" s="73"/>
      <c r="BM217" s="76"/>
      <c r="BN217" s="74"/>
      <c r="BO217" s="75"/>
      <c r="BP217" s="66"/>
      <c r="BQ217" s="74"/>
    </row>
    <row r="218" spans="1:69" s="44" customFormat="1" ht="22.35" customHeight="1" x14ac:dyDescent="0.2">
      <c r="A218" s="100"/>
      <c r="B218" s="100"/>
      <c r="C218" s="100"/>
      <c r="D218" s="54"/>
      <c r="E218" s="55"/>
      <c r="F218" s="56"/>
      <c r="G218" s="56"/>
      <c r="H218" s="57"/>
      <c r="I218" s="58"/>
      <c r="J218" s="58"/>
      <c r="K218" s="55"/>
      <c r="L218" s="59"/>
      <c r="M218" s="59"/>
      <c r="N218" s="59"/>
      <c r="O218" s="54"/>
      <c r="P218" s="60"/>
      <c r="Q218" s="66"/>
      <c r="R218" s="67"/>
      <c r="S218" s="56"/>
      <c r="T218" s="56"/>
      <c r="U218" s="63"/>
      <c r="V218" s="64"/>
      <c r="W218" s="55"/>
      <c r="X218" s="63"/>
      <c r="Y218" s="54"/>
      <c r="Z218" s="65"/>
      <c r="AA218" s="66"/>
      <c r="AB218" s="67"/>
      <c r="AC218" s="56"/>
      <c r="AD218" s="56"/>
      <c r="AE218" s="64"/>
      <c r="AF218" s="64"/>
      <c r="AG218" s="55"/>
      <c r="AH218" s="68"/>
      <c r="AI218" s="54"/>
      <c r="AJ218" s="69"/>
      <c r="AK218" s="76"/>
      <c r="AL218" s="59"/>
      <c r="AM218" s="56"/>
      <c r="AN218" s="56"/>
      <c r="AO218" s="64"/>
      <c r="AP218" s="64"/>
      <c r="AQ218" s="55"/>
      <c r="AR218" s="68"/>
      <c r="AS218" s="54"/>
      <c r="AT218" s="69"/>
      <c r="AU218" s="61"/>
      <c r="AV218" s="62"/>
      <c r="AW218" s="56"/>
      <c r="AX218" s="56"/>
      <c r="AY218" s="64"/>
      <c r="AZ218" s="64"/>
      <c r="BA218" s="55"/>
      <c r="BB218" s="72"/>
      <c r="BC218" s="68"/>
      <c r="BD218" s="69"/>
      <c r="BE218" s="70"/>
      <c r="BF218" s="71"/>
      <c r="BG218" s="56"/>
      <c r="BH218" s="56"/>
      <c r="BI218" s="64"/>
      <c r="BJ218" s="64"/>
      <c r="BK218" s="57"/>
      <c r="BL218" s="73"/>
      <c r="BM218" s="70"/>
      <c r="BN218" s="74"/>
      <c r="BO218" s="75"/>
      <c r="BP218" s="66"/>
      <c r="BQ218" s="74"/>
    </row>
    <row r="219" spans="1:69" s="44" customFormat="1" ht="22.35" customHeight="1" x14ac:dyDescent="0.2">
      <c r="A219" s="100"/>
      <c r="B219" s="100"/>
      <c r="C219" s="100"/>
      <c r="D219" s="54"/>
      <c r="E219" s="55"/>
      <c r="F219" s="56"/>
      <c r="G219" s="56"/>
      <c r="H219" s="57"/>
      <c r="I219" s="58"/>
      <c r="J219" s="58"/>
      <c r="K219" s="55"/>
      <c r="L219" s="59"/>
      <c r="M219" s="59"/>
      <c r="N219" s="59"/>
      <c r="O219" s="54"/>
      <c r="P219" s="60"/>
      <c r="Q219" s="66"/>
      <c r="R219" s="67"/>
      <c r="S219" s="56"/>
      <c r="T219" s="56"/>
      <c r="U219" s="63"/>
      <c r="V219" s="64"/>
      <c r="W219" s="55"/>
      <c r="X219" s="63"/>
      <c r="Y219" s="54"/>
      <c r="Z219" s="65"/>
      <c r="AA219" s="61"/>
      <c r="AB219" s="62"/>
      <c r="AC219" s="56"/>
      <c r="AD219" s="56"/>
      <c r="AE219" s="64"/>
      <c r="AF219" s="64"/>
      <c r="AG219" s="55"/>
      <c r="AH219" s="68"/>
      <c r="AI219" s="54"/>
      <c r="AJ219" s="69"/>
      <c r="AK219" s="61"/>
      <c r="AL219" s="62"/>
      <c r="AM219" s="56"/>
      <c r="AN219" s="56"/>
      <c r="AO219" s="64"/>
      <c r="AP219" s="64"/>
      <c r="AQ219" s="55"/>
      <c r="AR219" s="68"/>
      <c r="AS219" s="54"/>
      <c r="AT219" s="69"/>
      <c r="AU219" s="61"/>
      <c r="AV219" s="62"/>
      <c r="AW219" s="56"/>
      <c r="AX219" s="56"/>
      <c r="AY219" s="64"/>
      <c r="AZ219" s="64"/>
      <c r="BA219" s="55"/>
      <c r="BB219" s="72"/>
      <c r="BC219" s="68"/>
      <c r="BD219" s="69"/>
      <c r="BE219" s="66"/>
      <c r="BF219" s="67"/>
      <c r="BG219" s="56"/>
      <c r="BH219" s="56"/>
      <c r="BI219" s="64"/>
      <c r="BJ219" s="64"/>
      <c r="BK219" s="57"/>
      <c r="BL219" s="73"/>
      <c r="BM219" s="76"/>
      <c r="BN219" s="74"/>
      <c r="BO219" s="75"/>
      <c r="BP219" s="66"/>
      <c r="BQ219" s="74"/>
    </row>
    <row r="220" spans="1:69" s="44" customFormat="1" ht="22.35" customHeight="1" x14ac:dyDescent="0.2">
      <c r="A220" s="100"/>
      <c r="B220" s="100"/>
      <c r="C220" s="100"/>
      <c r="D220" s="54"/>
      <c r="E220" s="55"/>
      <c r="F220" s="56"/>
      <c r="G220" s="56"/>
      <c r="H220" s="57"/>
      <c r="I220" s="58"/>
      <c r="J220" s="58"/>
      <c r="K220" s="55"/>
      <c r="L220" s="59"/>
      <c r="M220" s="59"/>
      <c r="N220" s="59"/>
      <c r="O220" s="54"/>
      <c r="P220" s="60"/>
      <c r="Q220" s="66"/>
      <c r="R220" s="67"/>
      <c r="S220" s="56"/>
      <c r="T220" s="56"/>
      <c r="U220" s="63"/>
      <c r="V220" s="64"/>
      <c r="W220" s="55"/>
      <c r="X220" s="63"/>
      <c r="Y220" s="54"/>
      <c r="Z220" s="65"/>
      <c r="AA220" s="76"/>
      <c r="AB220" s="59"/>
      <c r="AC220" s="56"/>
      <c r="AD220" s="56"/>
      <c r="AE220" s="64"/>
      <c r="AF220" s="64"/>
      <c r="AG220" s="55"/>
      <c r="AH220" s="68"/>
      <c r="AI220" s="54"/>
      <c r="AJ220" s="69"/>
      <c r="AK220" s="61"/>
      <c r="AL220" s="62"/>
      <c r="AM220" s="56"/>
      <c r="AN220" s="56"/>
      <c r="AO220" s="64"/>
      <c r="AP220" s="64"/>
      <c r="AQ220" s="55"/>
      <c r="AR220" s="68"/>
      <c r="AS220" s="54"/>
      <c r="AT220" s="69"/>
      <c r="AU220" s="61"/>
      <c r="AV220" s="62"/>
      <c r="AW220" s="56"/>
      <c r="AX220" s="56"/>
      <c r="AY220" s="64"/>
      <c r="AZ220" s="64"/>
      <c r="BA220" s="55"/>
      <c r="BB220" s="72"/>
      <c r="BC220" s="68"/>
      <c r="BD220" s="69"/>
      <c r="BE220" s="66"/>
      <c r="BF220" s="67"/>
      <c r="BG220" s="56"/>
      <c r="BH220" s="56"/>
      <c r="BI220" s="64"/>
      <c r="BJ220" s="64"/>
      <c r="BK220" s="57"/>
      <c r="BL220" s="73"/>
      <c r="BM220" s="76"/>
      <c r="BN220" s="74"/>
      <c r="BO220" s="75"/>
      <c r="BP220" s="66"/>
      <c r="BQ220" s="74"/>
    </row>
    <row r="221" spans="1:69" s="44" customFormat="1" ht="22.35" customHeight="1" x14ac:dyDescent="0.2">
      <c r="A221" s="100"/>
      <c r="B221" s="100"/>
      <c r="C221" s="100"/>
      <c r="D221" s="54"/>
      <c r="E221" s="55"/>
      <c r="F221" s="56"/>
      <c r="G221" s="56"/>
      <c r="H221" s="57"/>
      <c r="I221" s="58"/>
      <c r="J221" s="58"/>
      <c r="K221" s="55"/>
      <c r="L221" s="59"/>
      <c r="M221" s="59"/>
      <c r="N221" s="59"/>
      <c r="O221" s="54"/>
      <c r="P221" s="60"/>
      <c r="Q221" s="66"/>
      <c r="R221" s="67"/>
      <c r="S221" s="56"/>
      <c r="T221" s="56"/>
      <c r="U221" s="63"/>
      <c r="V221" s="64"/>
      <c r="W221" s="55"/>
      <c r="X221" s="63"/>
      <c r="Y221" s="54"/>
      <c r="Z221" s="65"/>
      <c r="AA221" s="61"/>
      <c r="AB221" s="62"/>
      <c r="AC221" s="56"/>
      <c r="AD221" s="56"/>
      <c r="AE221" s="64"/>
      <c r="AF221" s="64"/>
      <c r="AG221" s="55"/>
      <c r="AH221" s="68"/>
      <c r="AI221" s="54"/>
      <c r="AJ221" s="69"/>
      <c r="AK221" s="61"/>
      <c r="AL221" s="62"/>
      <c r="AM221" s="56"/>
      <c r="AN221" s="56"/>
      <c r="AO221" s="64"/>
      <c r="AP221" s="64"/>
      <c r="AQ221" s="55"/>
      <c r="AR221" s="68"/>
      <c r="AS221" s="54"/>
      <c r="AT221" s="69"/>
      <c r="AU221" s="61"/>
      <c r="AV221" s="62"/>
      <c r="AW221" s="56"/>
      <c r="AX221" s="56"/>
      <c r="AY221" s="64"/>
      <c r="AZ221" s="64"/>
      <c r="BA221" s="55"/>
      <c r="BB221" s="72"/>
      <c r="BC221" s="68"/>
      <c r="BD221" s="69"/>
      <c r="BE221" s="70"/>
      <c r="BF221" s="71"/>
      <c r="BG221" s="56"/>
      <c r="BH221" s="56"/>
      <c r="BI221" s="64"/>
      <c r="BJ221" s="64"/>
      <c r="BK221" s="57"/>
      <c r="BL221" s="73"/>
      <c r="BM221" s="70"/>
      <c r="BN221" s="74"/>
      <c r="BO221" s="75"/>
      <c r="BP221" s="66"/>
      <c r="BQ221" s="74"/>
    </row>
    <row r="222" spans="1:69" s="44" customFormat="1" ht="22.35" customHeight="1" x14ac:dyDescent="0.2">
      <c r="A222" s="100"/>
      <c r="B222" s="100"/>
      <c r="C222" s="100"/>
      <c r="D222" s="54"/>
      <c r="E222" s="55"/>
      <c r="F222" s="56"/>
      <c r="G222" s="56"/>
      <c r="H222" s="57"/>
      <c r="I222" s="58"/>
      <c r="J222" s="58"/>
      <c r="K222" s="55"/>
      <c r="L222" s="59"/>
      <c r="M222" s="59"/>
      <c r="N222" s="59"/>
      <c r="O222" s="54"/>
      <c r="P222" s="60"/>
      <c r="Q222" s="66"/>
      <c r="R222" s="67"/>
      <c r="S222" s="56"/>
      <c r="T222" s="56"/>
      <c r="U222" s="63"/>
      <c r="V222" s="64"/>
      <c r="W222" s="55"/>
      <c r="X222" s="63"/>
      <c r="Y222" s="54"/>
      <c r="Z222" s="65"/>
      <c r="AA222" s="76"/>
      <c r="AB222" s="59"/>
      <c r="AC222" s="56"/>
      <c r="AD222" s="56"/>
      <c r="AE222" s="64"/>
      <c r="AF222" s="64"/>
      <c r="AG222" s="55"/>
      <c r="AH222" s="68"/>
      <c r="AI222" s="54"/>
      <c r="AJ222" s="69"/>
      <c r="AK222" s="61"/>
      <c r="AL222" s="62"/>
      <c r="AM222" s="56"/>
      <c r="AN222" s="56"/>
      <c r="AO222" s="64"/>
      <c r="AP222" s="64"/>
      <c r="AQ222" s="55"/>
      <c r="AR222" s="68"/>
      <c r="AS222" s="54"/>
      <c r="AT222" s="69"/>
      <c r="AU222" s="61"/>
      <c r="AV222" s="62"/>
      <c r="AW222" s="56"/>
      <c r="AX222" s="56"/>
      <c r="AY222" s="64"/>
      <c r="AZ222" s="64"/>
      <c r="BA222" s="55"/>
      <c r="BB222" s="72"/>
      <c r="BC222" s="68"/>
      <c r="BD222" s="69"/>
      <c r="BE222" s="70"/>
      <c r="BF222" s="71"/>
      <c r="BG222" s="56"/>
      <c r="BH222" s="56"/>
      <c r="BI222" s="64"/>
      <c r="BJ222" s="64"/>
      <c r="BK222" s="57"/>
      <c r="BL222" s="73"/>
      <c r="BM222" s="61"/>
      <c r="BN222" s="74"/>
      <c r="BO222" s="75"/>
      <c r="BP222" s="66"/>
      <c r="BQ222" s="74"/>
    </row>
    <row r="223" spans="1:69" s="44" customFormat="1" ht="22.35" customHeight="1" x14ac:dyDescent="0.2">
      <c r="A223" s="100"/>
      <c r="B223" s="100"/>
      <c r="C223" s="100"/>
      <c r="D223" s="54"/>
      <c r="E223" s="55"/>
      <c r="F223" s="56"/>
      <c r="G223" s="56"/>
      <c r="H223" s="57"/>
      <c r="I223" s="58"/>
      <c r="J223" s="58"/>
      <c r="K223" s="55"/>
      <c r="L223" s="59"/>
      <c r="M223" s="59"/>
      <c r="N223" s="59"/>
      <c r="O223" s="54"/>
      <c r="P223" s="60"/>
      <c r="Q223" s="66"/>
      <c r="R223" s="67"/>
      <c r="S223" s="56"/>
      <c r="T223" s="56"/>
      <c r="U223" s="63"/>
      <c r="V223" s="64"/>
      <c r="W223" s="55"/>
      <c r="X223" s="63"/>
      <c r="Y223" s="54"/>
      <c r="Z223" s="65"/>
      <c r="AA223" s="70"/>
      <c r="AB223" s="71"/>
      <c r="AC223" s="56"/>
      <c r="AD223" s="56"/>
      <c r="AE223" s="64"/>
      <c r="AF223" s="64"/>
      <c r="AG223" s="55"/>
      <c r="AH223" s="68"/>
      <c r="AI223" s="54"/>
      <c r="AJ223" s="69"/>
      <c r="AK223" s="76"/>
      <c r="AL223" s="59"/>
      <c r="AM223" s="56"/>
      <c r="AN223" s="56"/>
      <c r="AO223" s="64"/>
      <c r="AP223" s="64"/>
      <c r="AQ223" s="55"/>
      <c r="AR223" s="68"/>
      <c r="AS223" s="54"/>
      <c r="AT223" s="69"/>
      <c r="AU223" s="66"/>
      <c r="AV223" s="67"/>
      <c r="AW223" s="56"/>
      <c r="AX223" s="56"/>
      <c r="AY223" s="64"/>
      <c r="AZ223" s="64"/>
      <c r="BA223" s="55"/>
      <c r="BB223" s="72"/>
      <c r="BC223" s="68"/>
      <c r="BD223" s="69"/>
      <c r="BE223" s="66"/>
      <c r="BF223" s="67"/>
      <c r="BG223" s="56"/>
      <c r="BH223" s="56"/>
      <c r="BI223" s="64"/>
      <c r="BJ223" s="64"/>
      <c r="BK223" s="57"/>
      <c r="BL223" s="73"/>
      <c r="BM223" s="70"/>
      <c r="BN223" s="74"/>
      <c r="BO223" s="75"/>
      <c r="BP223" s="66"/>
      <c r="BQ223" s="74"/>
    </row>
    <row r="224" spans="1:69" s="44" customFormat="1" ht="22.35" customHeight="1" x14ac:dyDescent="0.2">
      <c r="A224" s="100"/>
      <c r="B224" s="100"/>
      <c r="C224" s="100"/>
      <c r="D224" s="54"/>
      <c r="E224" s="55"/>
      <c r="F224" s="56"/>
      <c r="G224" s="56"/>
      <c r="H224" s="57"/>
      <c r="I224" s="58"/>
      <c r="J224" s="58"/>
      <c r="K224" s="55"/>
      <c r="L224" s="59"/>
      <c r="M224" s="59"/>
      <c r="N224" s="59"/>
      <c r="O224" s="54"/>
      <c r="P224" s="60"/>
      <c r="Q224" s="66"/>
      <c r="R224" s="67"/>
      <c r="S224" s="56"/>
      <c r="T224" s="56"/>
      <c r="U224" s="63"/>
      <c r="V224" s="64"/>
      <c r="W224" s="55"/>
      <c r="X224" s="63"/>
      <c r="Y224" s="54"/>
      <c r="Z224" s="65"/>
      <c r="AA224" s="76"/>
      <c r="AB224" s="59"/>
      <c r="AC224" s="56"/>
      <c r="AD224" s="56"/>
      <c r="AE224" s="64"/>
      <c r="AF224" s="64"/>
      <c r="AG224" s="55"/>
      <c r="AH224" s="68"/>
      <c r="AI224" s="54"/>
      <c r="AJ224" s="69"/>
      <c r="AK224" s="70"/>
      <c r="AL224" s="71"/>
      <c r="AM224" s="56"/>
      <c r="AN224" s="56"/>
      <c r="AO224" s="64"/>
      <c r="AP224" s="64"/>
      <c r="AQ224" s="55"/>
      <c r="AR224" s="68"/>
      <c r="AS224" s="54"/>
      <c r="AT224" s="69"/>
      <c r="AU224" s="61"/>
      <c r="AV224" s="62"/>
      <c r="AW224" s="56"/>
      <c r="AX224" s="56"/>
      <c r="AY224" s="64"/>
      <c r="AZ224" s="64"/>
      <c r="BA224" s="55"/>
      <c r="BB224" s="72"/>
      <c r="BC224" s="68"/>
      <c r="BD224" s="69"/>
      <c r="BE224" s="66"/>
      <c r="BF224" s="67"/>
      <c r="BG224" s="56"/>
      <c r="BH224" s="56"/>
      <c r="BI224" s="64"/>
      <c r="BJ224" s="64"/>
      <c r="BK224" s="57"/>
      <c r="BL224" s="73"/>
      <c r="BM224" s="76"/>
      <c r="BN224" s="74"/>
      <c r="BO224" s="75"/>
      <c r="BP224" s="66"/>
      <c r="BQ224" s="74"/>
    </row>
    <row r="225" spans="1:69" s="44" customFormat="1" ht="22.35" customHeight="1" x14ac:dyDescent="0.2">
      <c r="A225" s="100"/>
      <c r="B225" s="100"/>
      <c r="C225" s="100"/>
      <c r="D225" s="54"/>
      <c r="E225" s="55"/>
      <c r="F225" s="56"/>
      <c r="G225" s="56"/>
      <c r="H225" s="57"/>
      <c r="I225" s="58"/>
      <c r="J225" s="58"/>
      <c r="K225" s="55"/>
      <c r="L225" s="59"/>
      <c r="M225" s="59"/>
      <c r="N225" s="59"/>
      <c r="O225" s="54"/>
      <c r="P225" s="60"/>
      <c r="Q225" s="66"/>
      <c r="R225" s="67"/>
      <c r="S225" s="56"/>
      <c r="T225" s="56"/>
      <c r="U225" s="63"/>
      <c r="V225" s="64"/>
      <c r="W225" s="55"/>
      <c r="X225" s="63"/>
      <c r="Y225" s="54"/>
      <c r="Z225" s="65"/>
      <c r="AA225" s="70"/>
      <c r="AB225" s="71"/>
      <c r="AC225" s="56"/>
      <c r="AD225" s="56"/>
      <c r="AE225" s="64"/>
      <c r="AF225" s="64"/>
      <c r="AG225" s="55"/>
      <c r="AH225" s="68"/>
      <c r="AI225" s="54"/>
      <c r="AJ225" s="69"/>
      <c r="AK225" s="61"/>
      <c r="AL225" s="62"/>
      <c r="AM225" s="56"/>
      <c r="AN225" s="56"/>
      <c r="AO225" s="64"/>
      <c r="AP225" s="64"/>
      <c r="AQ225" s="55"/>
      <c r="AR225" s="68"/>
      <c r="AS225" s="54"/>
      <c r="AT225" s="69"/>
      <c r="AU225" s="70"/>
      <c r="AV225" s="71"/>
      <c r="AW225" s="56"/>
      <c r="AX225" s="56"/>
      <c r="AY225" s="64"/>
      <c r="AZ225" s="64"/>
      <c r="BA225" s="55"/>
      <c r="BB225" s="72"/>
      <c r="BC225" s="68"/>
      <c r="BD225" s="69"/>
      <c r="BE225" s="66"/>
      <c r="BF225" s="67"/>
      <c r="BG225" s="56"/>
      <c r="BH225" s="56"/>
      <c r="BI225" s="64"/>
      <c r="BJ225" s="64"/>
      <c r="BK225" s="57"/>
      <c r="BL225" s="73"/>
      <c r="BM225" s="76"/>
      <c r="BN225" s="74"/>
      <c r="BO225" s="75"/>
      <c r="BP225" s="66"/>
      <c r="BQ225" s="74"/>
    </row>
    <row r="226" spans="1:69" s="44" customFormat="1" ht="22.35" customHeight="1" x14ac:dyDescent="0.2">
      <c r="A226" s="100"/>
      <c r="B226" s="100"/>
      <c r="C226" s="100"/>
      <c r="D226" s="54"/>
      <c r="E226" s="55"/>
      <c r="F226" s="56"/>
      <c r="G226" s="56"/>
      <c r="H226" s="57"/>
      <c r="I226" s="58"/>
      <c r="J226" s="58"/>
      <c r="K226" s="55"/>
      <c r="L226" s="59"/>
      <c r="M226" s="59"/>
      <c r="N226" s="59"/>
      <c r="O226" s="54"/>
      <c r="P226" s="60"/>
      <c r="Q226" s="66"/>
      <c r="R226" s="67"/>
      <c r="S226" s="56"/>
      <c r="T226" s="56"/>
      <c r="U226" s="63"/>
      <c r="V226" s="64"/>
      <c r="W226" s="55"/>
      <c r="X226" s="63"/>
      <c r="Y226" s="54"/>
      <c r="Z226" s="65"/>
      <c r="AA226" s="70"/>
      <c r="AB226" s="71"/>
      <c r="AC226" s="56"/>
      <c r="AD226" s="56"/>
      <c r="AE226" s="64"/>
      <c r="AF226" s="64"/>
      <c r="AG226" s="55"/>
      <c r="AH226" s="68"/>
      <c r="AI226" s="54"/>
      <c r="AJ226" s="69"/>
      <c r="AK226" s="61"/>
      <c r="AL226" s="62"/>
      <c r="AM226" s="56"/>
      <c r="AN226" s="56"/>
      <c r="AO226" s="64"/>
      <c r="AP226" s="64"/>
      <c r="AQ226" s="55"/>
      <c r="AR226" s="68"/>
      <c r="AS226" s="54"/>
      <c r="AT226" s="69"/>
      <c r="AU226" s="61"/>
      <c r="AV226" s="62"/>
      <c r="AW226" s="56"/>
      <c r="AX226" s="56"/>
      <c r="AY226" s="64"/>
      <c r="AZ226" s="64"/>
      <c r="BA226" s="55"/>
      <c r="BB226" s="72"/>
      <c r="BC226" s="68"/>
      <c r="BD226" s="69"/>
      <c r="BE226" s="76"/>
      <c r="BF226" s="59"/>
      <c r="BG226" s="56"/>
      <c r="BH226" s="56"/>
      <c r="BI226" s="64"/>
      <c r="BJ226" s="64"/>
      <c r="BK226" s="57"/>
      <c r="BL226" s="73"/>
      <c r="BM226" s="70"/>
      <c r="BN226" s="74"/>
      <c r="BO226" s="75"/>
      <c r="BP226" s="66"/>
      <c r="BQ226" s="74"/>
    </row>
    <row r="227" spans="1:69" s="44" customFormat="1" ht="22.35" customHeight="1" x14ac:dyDescent="0.2">
      <c r="A227" s="100"/>
      <c r="B227" s="100"/>
      <c r="C227" s="100"/>
      <c r="D227" s="54"/>
      <c r="E227" s="55"/>
      <c r="F227" s="56"/>
      <c r="G227" s="56"/>
      <c r="H227" s="57"/>
      <c r="I227" s="58"/>
      <c r="J227" s="58"/>
      <c r="K227" s="55"/>
      <c r="L227" s="59"/>
      <c r="M227" s="59"/>
      <c r="N227" s="59"/>
      <c r="O227" s="54"/>
      <c r="P227" s="60"/>
      <c r="Q227" s="66"/>
      <c r="R227" s="67"/>
      <c r="S227" s="56"/>
      <c r="T227" s="56"/>
      <c r="U227" s="63"/>
      <c r="V227" s="64"/>
      <c r="W227" s="55"/>
      <c r="X227" s="63"/>
      <c r="Y227" s="54"/>
      <c r="Z227" s="65"/>
      <c r="AA227" s="66"/>
      <c r="AB227" s="67"/>
      <c r="AC227" s="56"/>
      <c r="AD227" s="56"/>
      <c r="AE227" s="64"/>
      <c r="AF227" s="64"/>
      <c r="AG227" s="55"/>
      <c r="AH227" s="68"/>
      <c r="AI227" s="54"/>
      <c r="AJ227" s="69"/>
      <c r="AK227" s="61"/>
      <c r="AL227" s="62"/>
      <c r="AM227" s="56"/>
      <c r="AN227" s="56"/>
      <c r="AO227" s="64"/>
      <c r="AP227" s="64"/>
      <c r="AQ227" s="55"/>
      <c r="AR227" s="68"/>
      <c r="AS227" s="54"/>
      <c r="AT227" s="69"/>
      <c r="AU227" s="61"/>
      <c r="AV227" s="62"/>
      <c r="AW227" s="56"/>
      <c r="AX227" s="56"/>
      <c r="AY227" s="64"/>
      <c r="AZ227" s="64"/>
      <c r="BA227" s="55"/>
      <c r="BB227" s="72"/>
      <c r="BC227" s="68"/>
      <c r="BD227" s="69"/>
      <c r="BE227" s="70"/>
      <c r="BF227" s="71"/>
      <c r="BG227" s="56"/>
      <c r="BH227" s="56"/>
      <c r="BI227" s="64"/>
      <c r="BJ227" s="64"/>
      <c r="BK227" s="57"/>
      <c r="BL227" s="73"/>
      <c r="BM227" s="70"/>
      <c r="BN227" s="74"/>
      <c r="BO227" s="75"/>
      <c r="BP227" s="66"/>
      <c r="BQ227" s="74"/>
    </row>
    <row r="228" spans="1:69" s="44" customFormat="1" ht="22.35" customHeight="1" x14ac:dyDescent="0.2">
      <c r="A228" s="100"/>
      <c r="B228" s="100"/>
      <c r="C228" s="100"/>
      <c r="D228" s="54"/>
      <c r="E228" s="55"/>
      <c r="F228" s="56"/>
      <c r="G228" s="56"/>
      <c r="H228" s="57"/>
      <c r="I228" s="58"/>
      <c r="J228" s="58"/>
      <c r="K228" s="55"/>
      <c r="L228" s="59"/>
      <c r="M228" s="59"/>
      <c r="N228" s="59"/>
      <c r="O228" s="54"/>
      <c r="P228" s="60"/>
      <c r="Q228" s="66"/>
      <c r="R228" s="67"/>
      <c r="S228" s="56"/>
      <c r="T228" s="56"/>
      <c r="U228" s="63"/>
      <c r="V228" s="64"/>
      <c r="W228" s="55"/>
      <c r="X228" s="63"/>
      <c r="Y228" s="54"/>
      <c r="Z228" s="65"/>
      <c r="AA228" s="76"/>
      <c r="AB228" s="59"/>
      <c r="AC228" s="56"/>
      <c r="AD228" s="56"/>
      <c r="AE228" s="64"/>
      <c r="AF228" s="64"/>
      <c r="AG228" s="55"/>
      <c r="AH228" s="68"/>
      <c r="AI228" s="54"/>
      <c r="AJ228" s="69"/>
      <c r="AK228" s="76"/>
      <c r="AL228" s="59"/>
      <c r="AM228" s="56"/>
      <c r="AN228" s="56"/>
      <c r="AO228" s="64"/>
      <c r="AP228" s="64"/>
      <c r="AQ228" s="55"/>
      <c r="AR228" s="68"/>
      <c r="AS228" s="54"/>
      <c r="AT228" s="69"/>
      <c r="AU228" s="61"/>
      <c r="AV228" s="62"/>
      <c r="AW228" s="56"/>
      <c r="AX228" s="56"/>
      <c r="AY228" s="64"/>
      <c r="AZ228" s="64"/>
      <c r="BA228" s="55"/>
      <c r="BB228" s="72"/>
      <c r="BC228" s="68"/>
      <c r="BD228" s="69"/>
      <c r="BE228" s="70"/>
      <c r="BF228" s="71"/>
      <c r="BG228" s="56"/>
      <c r="BH228" s="56"/>
      <c r="BI228" s="64"/>
      <c r="BJ228" s="64"/>
      <c r="BK228" s="57"/>
      <c r="BL228" s="73"/>
      <c r="BM228" s="70"/>
      <c r="BN228" s="74"/>
      <c r="BO228" s="75"/>
      <c r="BP228" s="66"/>
      <c r="BQ228" s="74"/>
    </row>
    <row r="229" spans="1:69" s="44" customFormat="1" ht="22.35" customHeight="1" x14ac:dyDescent="0.2">
      <c r="A229" s="100"/>
      <c r="B229" s="100"/>
      <c r="C229" s="100"/>
      <c r="D229" s="54"/>
      <c r="E229" s="55"/>
      <c r="F229" s="56"/>
      <c r="G229" s="56"/>
      <c r="H229" s="57"/>
      <c r="I229" s="58"/>
      <c r="J229" s="58"/>
      <c r="K229" s="55"/>
      <c r="L229" s="59"/>
      <c r="M229" s="59"/>
      <c r="N229" s="59"/>
      <c r="O229" s="54"/>
      <c r="P229" s="60"/>
      <c r="Q229" s="66"/>
      <c r="R229" s="67"/>
      <c r="S229" s="56"/>
      <c r="T229" s="56"/>
      <c r="U229" s="63"/>
      <c r="V229" s="64"/>
      <c r="W229" s="55"/>
      <c r="X229" s="63"/>
      <c r="Y229" s="54"/>
      <c r="Z229" s="65"/>
      <c r="AA229" s="76"/>
      <c r="AB229" s="59"/>
      <c r="AC229" s="56"/>
      <c r="AD229" s="56"/>
      <c r="AE229" s="64"/>
      <c r="AF229" s="64"/>
      <c r="AG229" s="55"/>
      <c r="AH229" s="68"/>
      <c r="AI229" s="54"/>
      <c r="AJ229" s="69"/>
      <c r="AK229" s="61"/>
      <c r="AL229" s="62"/>
      <c r="AM229" s="56"/>
      <c r="AN229" s="56"/>
      <c r="AO229" s="64"/>
      <c r="AP229" s="64"/>
      <c r="AQ229" s="55"/>
      <c r="AR229" s="68"/>
      <c r="AS229" s="54"/>
      <c r="AT229" s="69"/>
      <c r="AU229" s="61"/>
      <c r="AV229" s="62"/>
      <c r="AW229" s="56"/>
      <c r="AX229" s="56"/>
      <c r="AY229" s="64"/>
      <c r="AZ229" s="64"/>
      <c r="BA229" s="55"/>
      <c r="BB229" s="72"/>
      <c r="BC229" s="68"/>
      <c r="BD229" s="69"/>
      <c r="BE229" s="76"/>
      <c r="BF229" s="59"/>
      <c r="BG229" s="56"/>
      <c r="BH229" s="56"/>
      <c r="BI229" s="64"/>
      <c r="BJ229" s="64"/>
      <c r="BK229" s="57"/>
      <c r="BL229" s="73"/>
      <c r="BM229" s="76"/>
      <c r="BN229" s="74"/>
      <c r="BO229" s="75"/>
      <c r="BP229" s="66"/>
      <c r="BQ229" s="74"/>
    </row>
    <row r="230" spans="1:69" s="44" customFormat="1" ht="22.35" customHeight="1" x14ac:dyDescent="0.2">
      <c r="A230" s="100"/>
      <c r="B230" s="100"/>
      <c r="C230" s="100"/>
      <c r="D230" s="54"/>
      <c r="E230" s="55"/>
      <c r="F230" s="56"/>
      <c r="G230" s="56"/>
      <c r="H230" s="57"/>
      <c r="I230" s="58"/>
      <c r="J230" s="58"/>
      <c r="K230" s="55"/>
      <c r="L230" s="59"/>
      <c r="M230" s="59"/>
      <c r="N230" s="59"/>
      <c r="O230" s="54"/>
      <c r="P230" s="60"/>
      <c r="Q230" s="66"/>
      <c r="R230" s="67"/>
      <c r="S230" s="56"/>
      <c r="T230" s="56"/>
      <c r="U230" s="63"/>
      <c r="V230" s="64"/>
      <c r="W230" s="55"/>
      <c r="X230" s="63"/>
      <c r="Y230" s="54"/>
      <c r="Z230" s="65"/>
      <c r="AA230" s="70"/>
      <c r="AB230" s="71"/>
      <c r="AC230" s="56"/>
      <c r="AD230" s="56"/>
      <c r="AE230" s="64"/>
      <c r="AF230" s="64"/>
      <c r="AG230" s="55"/>
      <c r="AH230" s="68"/>
      <c r="AI230" s="54"/>
      <c r="AJ230" s="69"/>
      <c r="AK230" s="76"/>
      <c r="AL230" s="59"/>
      <c r="AM230" s="56"/>
      <c r="AN230" s="56"/>
      <c r="AO230" s="64"/>
      <c r="AP230" s="64"/>
      <c r="AQ230" s="55"/>
      <c r="AR230" s="68"/>
      <c r="AS230" s="54"/>
      <c r="AT230" s="69"/>
      <c r="AU230" s="61"/>
      <c r="AV230" s="62"/>
      <c r="AW230" s="56"/>
      <c r="AX230" s="56"/>
      <c r="AY230" s="64"/>
      <c r="AZ230" s="64"/>
      <c r="BA230" s="55"/>
      <c r="BB230" s="72"/>
      <c r="BC230" s="68"/>
      <c r="BD230" s="69"/>
      <c r="BE230" s="66"/>
      <c r="BF230" s="67"/>
      <c r="BG230" s="56"/>
      <c r="BH230" s="56"/>
      <c r="BI230" s="64"/>
      <c r="BJ230" s="64"/>
      <c r="BK230" s="57"/>
      <c r="BL230" s="73"/>
      <c r="BM230" s="70"/>
      <c r="BN230" s="74"/>
      <c r="BO230" s="75"/>
      <c r="BP230" s="66"/>
      <c r="BQ230" s="74"/>
    </row>
    <row r="231" spans="1:69" s="44" customFormat="1" ht="22.35" customHeight="1" x14ac:dyDescent="0.2">
      <c r="A231" s="100"/>
      <c r="B231" s="100"/>
      <c r="C231" s="100"/>
      <c r="D231" s="54"/>
      <c r="E231" s="55"/>
      <c r="F231" s="56"/>
      <c r="G231" s="56"/>
      <c r="H231" s="57"/>
      <c r="I231" s="58"/>
      <c r="J231" s="58"/>
      <c r="K231" s="55"/>
      <c r="L231" s="59"/>
      <c r="M231" s="59"/>
      <c r="N231" s="59"/>
      <c r="O231" s="54"/>
      <c r="P231" s="60"/>
      <c r="Q231" s="66"/>
      <c r="R231" s="67"/>
      <c r="S231" s="56"/>
      <c r="T231" s="56"/>
      <c r="U231" s="63"/>
      <c r="V231" s="64"/>
      <c r="W231" s="55"/>
      <c r="X231" s="63"/>
      <c r="Y231" s="54"/>
      <c r="Z231" s="65"/>
      <c r="AA231" s="76"/>
      <c r="AB231" s="59"/>
      <c r="AC231" s="56"/>
      <c r="AD231" s="56"/>
      <c r="AE231" s="64"/>
      <c r="AF231" s="64"/>
      <c r="AG231" s="55"/>
      <c r="AH231" s="68"/>
      <c r="AI231" s="54"/>
      <c r="AJ231" s="69"/>
      <c r="AK231" s="76"/>
      <c r="AL231" s="59"/>
      <c r="AM231" s="56"/>
      <c r="AN231" s="56"/>
      <c r="AO231" s="64"/>
      <c r="AP231" s="64"/>
      <c r="AQ231" s="55"/>
      <c r="AR231" s="68"/>
      <c r="AS231" s="54"/>
      <c r="AT231" s="69"/>
      <c r="AU231" s="61"/>
      <c r="AV231" s="62"/>
      <c r="AW231" s="56"/>
      <c r="AX231" s="56"/>
      <c r="AY231" s="64"/>
      <c r="AZ231" s="64"/>
      <c r="BA231" s="55"/>
      <c r="BB231" s="72"/>
      <c r="BC231" s="68"/>
      <c r="BD231" s="69"/>
      <c r="BE231" s="66"/>
      <c r="BF231" s="67"/>
      <c r="BG231" s="56"/>
      <c r="BH231" s="56"/>
      <c r="BI231" s="64"/>
      <c r="BJ231" s="64"/>
      <c r="BK231" s="57"/>
      <c r="BL231" s="73"/>
      <c r="BM231" s="76"/>
      <c r="BN231" s="74"/>
      <c r="BO231" s="75"/>
      <c r="BP231" s="66"/>
      <c r="BQ231" s="74"/>
    </row>
    <row r="232" spans="1:69" s="44" customFormat="1" ht="22.35" customHeight="1" x14ac:dyDescent="0.2">
      <c r="A232" s="100"/>
      <c r="B232" s="100"/>
      <c r="C232" s="100"/>
      <c r="D232" s="54"/>
      <c r="E232" s="55"/>
      <c r="F232" s="56"/>
      <c r="G232" s="56"/>
      <c r="H232" s="57"/>
      <c r="I232" s="58"/>
      <c r="J232" s="58"/>
      <c r="K232" s="55"/>
      <c r="L232" s="59"/>
      <c r="M232" s="59"/>
      <c r="N232" s="59"/>
      <c r="O232" s="54"/>
      <c r="P232" s="60"/>
      <c r="Q232" s="66"/>
      <c r="R232" s="67"/>
      <c r="S232" s="56"/>
      <c r="T232" s="56"/>
      <c r="U232" s="63"/>
      <c r="V232" s="64"/>
      <c r="W232" s="55"/>
      <c r="X232" s="63"/>
      <c r="Y232" s="54"/>
      <c r="Z232" s="65"/>
      <c r="AA232" s="66"/>
      <c r="AB232" s="67"/>
      <c r="AC232" s="56"/>
      <c r="AD232" s="56"/>
      <c r="AE232" s="64"/>
      <c r="AF232" s="64"/>
      <c r="AG232" s="55"/>
      <c r="AH232" s="68"/>
      <c r="AI232" s="54"/>
      <c r="AJ232" s="69"/>
      <c r="AK232" s="70"/>
      <c r="AL232" s="71"/>
      <c r="AM232" s="56"/>
      <c r="AN232" s="56"/>
      <c r="AO232" s="64"/>
      <c r="AP232" s="64"/>
      <c r="AQ232" s="55"/>
      <c r="AR232" s="68"/>
      <c r="AS232" s="54"/>
      <c r="AT232" s="69"/>
      <c r="AU232" s="61"/>
      <c r="AV232" s="62"/>
      <c r="AW232" s="56"/>
      <c r="AX232" s="56"/>
      <c r="AY232" s="64"/>
      <c r="AZ232" s="64"/>
      <c r="BA232" s="55"/>
      <c r="BB232" s="72"/>
      <c r="BC232" s="68"/>
      <c r="BD232" s="69"/>
      <c r="BE232" s="66"/>
      <c r="BF232" s="67"/>
      <c r="BG232" s="56"/>
      <c r="BH232" s="56"/>
      <c r="BI232" s="64"/>
      <c r="BJ232" s="64"/>
      <c r="BK232" s="57"/>
      <c r="BL232" s="73"/>
      <c r="BM232" s="70"/>
      <c r="BN232" s="74"/>
      <c r="BO232" s="75"/>
      <c r="BP232" s="66"/>
      <c r="BQ232" s="74"/>
    </row>
    <row r="233" spans="1:69" s="44" customFormat="1" ht="22.35" customHeight="1" x14ac:dyDescent="0.2">
      <c r="A233" s="100"/>
      <c r="B233" s="100"/>
      <c r="C233" s="100"/>
      <c r="D233" s="54"/>
      <c r="E233" s="55"/>
      <c r="F233" s="56"/>
      <c r="G233" s="56"/>
      <c r="H233" s="57"/>
      <c r="I233" s="58"/>
      <c r="J233" s="58"/>
      <c r="K233" s="55"/>
      <c r="L233" s="59"/>
      <c r="M233" s="59"/>
      <c r="N233" s="59"/>
      <c r="O233" s="54"/>
      <c r="P233" s="60"/>
      <c r="Q233" s="66"/>
      <c r="R233" s="67"/>
      <c r="S233" s="56"/>
      <c r="T233" s="56"/>
      <c r="U233" s="63"/>
      <c r="V233" s="64"/>
      <c r="W233" s="55"/>
      <c r="X233" s="63"/>
      <c r="Y233" s="54"/>
      <c r="Z233" s="65"/>
      <c r="AA233" s="70"/>
      <c r="AB233" s="71"/>
      <c r="AC233" s="56"/>
      <c r="AD233" s="56"/>
      <c r="AE233" s="64"/>
      <c r="AF233" s="64"/>
      <c r="AG233" s="55"/>
      <c r="AH233" s="68"/>
      <c r="AI233" s="54"/>
      <c r="AJ233" s="69"/>
      <c r="AK233" s="76"/>
      <c r="AL233" s="59"/>
      <c r="AM233" s="56"/>
      <c r="AN233" s="56"/>
      <c r="AO233" s="64"/>
      <c r="AP233" s="64"/>
      <c r="AQ233" s="55"/>
      <c r="AR233" s="68"/>
      <c r="AS233" s="54"/>
      <c r="AT233" s="69"/>
      <c r="AU233" s="61"/>
      <c r="AV233" s="62"/>
      <c r="AW233" s="56"/>
      <c r="AX233" s="56"/>
      <c r="AY233" s="64"/>
      <c r="AZ233" s="64"/>
      <c r="BA233" s="55"/>
      <c r="BB233" s="72"/>
      <c r="BC233" s="68"/>
      <c r="BD233" s="69"/>
      <c r="BE233" s="66"/>
      <c r="BF233" s="67"/>
      <c r="BG233" s="56"/>
      <c r="BH233" s="56"/>
      <c r="BI233" s="64"/>
      <c r="BJ233" s="64"/>
      <c r="BK233" s="57"/>
      <c r="BL233" s="73"/>
      <c r="BM233" s="76"/>
      <c r="BN233" s="74"/>
      <c r="BO233" s="75"/>
      <c r="BP233" s="66"/>
      <c r="BQ233" s="74"/>
    </row>
    <row r="234" spans="1:69" s="44" customFormat="1" ht="22.35" customHeight="1" x14ac:dyDescent="0.2">
      <c r="A234" s="100"/>
      <c r="B234" s="100"/>
      <c r="C234" s="100"/>
      <c r="D234" s="54"/>
      <c r="E234" s="55"/>
      <c r="F234" s="56"/>
      <c r="G234" s="56"/>
      <c r="H234" s="57"/>
      <c r="I234" s="58"/>
      <c r="J234" s="58"/>
      <c r="K234" s="55"/>
      <c r="L234" s="59"/>
      <c r="M234" s="59"/>
      <c r="N234" s="59"/>
      <c r="O234" s="54"/>
      <c r="P234" s="60"/>
      <c r="Q234" s="66"/>
      <c r="R234" s="67"/>
      <c r="S234" s="56"/>
      <c r="T234" s="56"/>
      <c r="U234" s="63"/>
      <c r="V234" s="64"/>
      <c r="W234" s="55"/>
      <c r="X234" s="63"/>
      <c r="Y234" s="54"/>
      <c r="Z234" s="65"/>
      <c r="AA234" s="66"/>
      <c r="AB234" s="67"/>
      <c r="AC234" s="56"/>
      <c r="AD234" s="56"/>
      <c r="AE234" s="64"/>
      <c r="AF234" s="64"/>
      <c r="AG234" s="55"/>
      <c r="AH234" s="68"/>
      <c r="AI234" s="54"/>
      <c r="AJ234" s="69"/>
      <c r="AK234" s="76"/>
      <c r="AL234" s="59"/>
      <c r="AM234" s="56"/>
      <c r="AN234" s="56"/>
      <c r="AO234" s="64"/>
      <c r="AP234" s="64"/>
      <c r="AQ234" s="55"/>
      <c r="AR234" s="68"/>
      <c r="AS234" s="54"/>
      <c r="AT234" s="69"/>
      <c r="AU234" s="61"/>
      <c r="AV234" s="62"/>
      <c r="AW234" s="56"/>
      <c r="AX234" s="56"/>
      <c r="AY234" s="64"/>
      <c r="AZ234" s="64"/>
      <c r="BA234" s="55"/>
      <c r="BB234" s="72"/>
      <c r="BC234" s="68"/>
      <c r="BD234" s="69"/>
      <c r="BE234" s="70"/>
      <c r="BF234" s="71"/>
      <c r="BG234" s="56"/>
      <c r="BH234" s="56"/>
      <c r="BI234" s="64"/>
      <c r="BJ234" s="64"/>
      <c r="BK234" s="57"/>
      <c r="BL234" s="73"/>
      <c r="BM234" s="70"/>
      <c r="BN234" s="74"/>
      <c r="BO234" s="75"/>
      <c r="BP234" s="66"/>
      <c r="BQ234" s="74"/>
    </row>
    <row r="235" spans="1:69" s="44" customFormat="1" ht="22.35" customHeight="1" x14ac:dyDescent="0.2">
      <c r="A235" s="100"/>
      <c r="B235" s="100"/>
      <c r="C235" s="100"/>
      <c r="D235" s="54"/>
      <c r="E235" s="55"/>
      <c r="F235" s="56"/>
      <c r="G235" s="56"/>
      <c r="H235" s="57"/>
      <c r="I235" s="58"/>
      <c r="J235" s="58"/>
      <c r="K235" s="55"/>
      <c r="L235" s="59"/>
      <c r="M235" s="59"/>
      <c r="N235" s="59"/>
      <c r="O235" s="54"/>
      <c r="P235" s="60"/>
      <c r="Q235" s="66"/>
      <c r="R235" s="67"/>
      <c r="S235" s="56"/>
      <c r="T235" s="56"/>
      <c r="U235" s="63"/>
      <c r="V235" s="64"/>
      <c r="W235" s="55"/>
      <c r="X235" s="63"/>
      <c r="Y235" s="54"/>
      <c r="Z235" s="65"/>
      <c r="AA235" s="66"/>
      <c r="AB235" s="67"/>
      <c r="AC235" s="56"/>
      <c r="AD235" s="56"/>
      <c r="AE235" s="64"/>
      <c r="AF235" s="64"/>
      <c r="AG235" s="55"/>
      <c r="AH235" s="68"/>
      <c r="AI235" s="54"/>
      <c r="AJ235" s="69"/>
      <c r="AK235" s="66"/>
      <c r="AL235" s="67"/>
      <c r="AM235" s="56"/>
      <c r="AN235" s="56"/>
      <c r="AO235" s="64"/>
      <c r="AP235" s="64"/>
      <c r="AQ235" s="55"/>
      <c r="AR235" s="68"/>
      <c r="AS235" s="54"/>
      <c r="AT235" s="69"/>
      <c r="AU235" s="61"/>
      <c r="AV235" s="62"/>
      <c r="AW235" s="56"/>
      <c r="AX235" s="56"/>
      <c r="AY235" s="64"/>
      <c r="AZ235" s="64"/>
      <c r="BA235" s="55"/>
      <c r="BB235" s="72"/>
      <c r="BC235" s="68"/>
      <c r="BD235" s="69"/>
      <c r="BE235" s="66"/>
      <c r="BF235" s="67"/>
      <c r="BG235" s="56"/>
      <c r="BH235" s="56"/>
      <c r="BI235" s="64"/>
      <c r="BJ235" s="64"/>
      <c r="BK235" s="57"/>
      <c r="BL235" s="73"/>
      <c r="BM235" s="76"/>
      <c r="BN235" s="74"/>
      <c r="BO235" s="75"/>
      <c r="BP235" s="66"/>
      <c r="BQ235" s="74"/>
    </row>
    <row r="236" spans="1:69" s="44" customFormat="1" ht="22.35" customHeight="1" x14ac:dyDescent="0.2">
      <c r="A236" s="100"/>
      <c r="B236" s="100"/>
      <c r="C236" s="100"/>
      <c r="D236" s="54"/>
      <c r="E236" s="55"/>
      <c r="F236" s="56"/>
      <c r="G236" s="56"/>
      <c r="H236" s="57"/>
      <c r="I236" s="58"/>
      <c r="J236" s="58"/>
      <c r="K236" s="55"/>
      <c r="L236" s="59"/>
      <c r="M236" s="59"/>
      <c r="N236" s="59"/>
      <c r="O236" s="54"/>
      <c r="P236" s="60"/>
      <c r="Q236" s="66"/>
      <c r="R236" s="67"/>
      <c r="S236" s="56"/>
      <c r="T236" s="56"/>
      <c r="U236" s="63"/>
      <c r="V236" s="64"/>
      <c r="W236" s="55"/>
      <c r="X236" s="63"/>
      <c r="Y236" s="54"/>
      <c r="Z236" s="65"/>
      <c r="AA236" s="61"/>
      <c r="AB236" s="62"/>
      <c r="AC236" s="56"/>
      <c r="AD236" s="56"/>
      <c r="AE236" s="64"/>
      <c r="AF236" s="64"/>
      <c r="AG236" s="55"/>
      <c r="AH236" s="68"/>
      <c r="AI236" s="54"/>
      <c r="AJ236" s="69"/>
      <c r="AK236" s="61"/>
      <c r="AL236" s="62"/>
      <c r="AM236" s="56"/>
      <c r="AN236" s="56"/>
      <c r="AO236" s="64"/>
      <c r="AP236" s="64"/>
      <c r="AQ236" s="55"/>
      <c r="AR236" s="68"/>
      <c r="AS236" s="54"/>
      <c r="AT236" s="69"/>
      <c r="AU236" s="61"/>
      <c r="AV236" s="62"/>
      <c r="AW236" s="56"/>
      <c r="AX236" s="56"/>
      <c r="AY236" s="64"/>
      <c r="AZ236" s="64"/>
      <c r="BA236" s="55"/>
      <c r="BB236" s="72"/>
      <c r="BC236" s="68"/>
      <c r="BD236" s="69"/>
      <c r="BE236" s="76"/>
      <c r="BF236" s="59"/>
      <c r="BG236" s="56"/>
      <c r="BH236" s="56"/>
      <c r="BI236" s="64"/>
      <c r="BJ236" s="64"/>
      <c r="BK236" s="57"/>
      <c r="BL236" s="73"/>
      <c r="BM236" s="76"/>
      <c r="BN236" s="74"/>
      <c r="BO236" s="75"/>
      <c r="BP236" s="66"/>
      <c r="BQ236" s="74"/>
    </row>
    <row r="237" spans="1:69" s="44" customFormat="1" ht="22.35" customHeight="1" x14ac:dyDescent="0.2">
      <c r="A237" s="100"/>
      <c r="B237" s="100"/>
      <c r="C237" s="100"/>
      <c r="D237" s="54"/>
      <c r="E237" s="55"/>
      <c r="F237" s="56"/>
      <c r="G237" s="56"/>
      <c r="H237" s="57"/>
      <c r="I237" s="58"/>
      <c r="J237" s="58"/>
      <c r="K237" s="55"/>
      <c r="L237" s="59"/>
      <c r="M237" s="59"/>
      <c r="N237" s="59"/>
      <c r="O237" s="54"/>
      <c r="P237" s="60"/>
      <c r="Q237" s="66"/>
      <c r="R237" s="67"/>
      <c r="S237" s="56"/>
      <c r="T237" s="56"/>
      <c r="U237" s="63"/>
      <c r="V237" s="64"/>
      <c r="W237" s="55"/>
      <c r="X237" s="63"/>
      <c r="Y237" s="54"/>
      <c r="Z237" s="65"/>
      <c r="AA237" s="70"/>
      <c r="AB237" s="71"/>
      <c r="AC237" s="56"/>
      <c r="AD237" s="56"/>
      <c r="AE237" s="64"/>
      <c r="AF237" s="64"/>
      <c r="AG237" s="55"/>
      <c r="AH237" s="68"/>
      <c r="AI237" s="54"/>
      <c r="AJ237" s="69"/>
      <c r="AK237" s="70"/>
      <c r="AL237" s="71"/>
      <c r="AM237" s="56"/>
      <c r="AN237" s="56"/>
      <c r="AO237" s="64"/>
      <c r="AP237" s="64"/>
      <c r="AQ237" s="55"/>
      <c r="AR237" s="68"/>
      <c r="AS237" s="54"/>
      <c r="AT237" s="69"/>
      <c r="AU237" s="66"/>
      <c r="AV237" s="67"/>
      <c r="AW237" s="56"/>
      <c r="AX237" s="56"/>
      <c r="AY237" s="64"/>
      <c r="AZ237" s="64"/>
      <c r="BA237" s="55"/>
      <c r="BB237" s="72"/>
      <c r="BC237" s="68"/>
      <c r="BD237" s="69"/>
      <c r="BE237" s="66"/>
      <c r="BF237" s="67"/>
      <c r="BG237" s="56"/>
      <c r="BH237" s="56"/>
      <c r="BI237" s="64"/>
      <c r="BJ237" s="64"/>
      <c r="BK237" s="57"/>
      <c r="BL237" s="73"/>
      <c r="BM237" s="70"/>
      <c r="BN237" s="74"/>
      <c r="BO237" s="75"/>
      <c r="BP237" s="66"/>
      <c r="BQ237" s="74"/>
    </row>
    <row r="238" spans="1:69" s="44" customFormat="1" ht="22.35" customHeight="1" x14ac:dyDescent="0.2">
      <c r="A238" s="100"/>
      <c r="B238" s="100"/>
      <c r="C238" s="100"/>
      <c r="D238" s="54"/>
      <c r="E238" s="55"/>
      <c r="F238" s="56"/>
      <c r="G238" s="56"/>
      <c r="H238" s="57"/>
      <c r="I238" s="58"/>
      <c r="J238" s="58"/>
      <c r="K238" s="55"/>
      <c r="L238" s="59"/>
      <c r="M238" s="59"/>
      <c r="N238" s="59"/>
      <c r="O238" s="54"/>
      <c r="P238" s="60"/>
      <c r="Q238" s="66"/>
      <c r="R238" s="67"/>
      <c r="S238" s="56"/>
      <c r="T238" s="56"/>
      <c r="U238" s="63"/>
      <c r="V238" s="64"/>
      <c r="W238" s="55"/>
      <c r="X238" s="63"/>
      <c r="Y238" s="54"/>
      <c r="Z238" s="65"/>
      <c r="AA238" s="70"/>
      <c r="AB238" s="71"/>
      <c r="AC238" s="56"/>
      <c r="AD238" s="56"/>
      <c r="AE238" s="64"/>
      <c r="AF238" s="64"/>
      <c r="AG238" s="55"/>
      <c r="AH238" s="68"/>
      <c r="AI238" s="54"/>
      <c r="AJ238" s="69"/>
      <c r="AK238" s="76"/>
      <c r="AL238" s="59"/>
      <c r="AM238" s="56"/>
      <c r="AN238" s="56"/>
      <c r="AO238" s="64"/>
      <c r="AP238" s="64"/>
      <c r="AQ238" s="55"/>
      <c r="AR238" s="68"/>
      <c r="AS238" s="54"/>
      <c r="AT238" s="69"/>
      <c r="AU238" s="61"/>
      <c r="AV238" s="62"/>
      <c r="AW238" s="56"/>
      <c r="AX238" s="56"/>
      <c r="AY238" s="64"/>
      <c r="AZ238" s="64"/>
      <c r="BA238" s="55"/>
      <c r="BB238" s="72"/>
      <c r="BC238" s="68"/>
      <c r="BD238" s="69"/>
      <c r="BE238" s="66"/>
      <c r="BF238" s="67"/>
      <c r="BG238" s="56"/>
      <c r="BH238" s="56"/>
      <c r="BI238" s="64"/>
      <c r="BJ238" s="64"/>
      <c r="BK238" s="57"/>
      <c r="BL238" s="73"/>
      <c r="BM238" s="76"/>
      <c r="BN238" s="74"/>
      <c r="BO238" s="75"/>
      <c r="BP238" s="66"/>
      <c r="BQ238" s="74"/>
    </row>
    <row r="239" spans="1:69" s="44" customFormat="1" ht="22.35" customHeight="1" x14ac:dyDescent="0.2">
      <c r="A239" s="100"/>
      <c r="B239" s="100"/>
      <c r="C239" s="100"/>
      <c r="D239" s="54"/>
      <c r="E239" s="55"/>
      <c r="F239" s="56"/>
      <c r="G239" s="56"/>
      <c r="H239" s="57"/>
      <c r="I239" s="58"/>
      <c r="J239" s="58"/>
      <c r="K239" s="55"/>
      <c r="L239" s="59"/>
      <c r="M239" s="59"/>
      <c r="N239" s="59"/>
      <c r="O239" s="54"/>
      <c r="P239" s="60"/>
      <c r="Q239" s="66"/>
      <c r="R239" s="67"/>
      <c r="S239" s="56"/>
      <c r="T239" s="56"/>
      <c r="U239" s="63"/>
      <c r="V239" s="64"/>
      <c r="W239" s="55"/>
      <c r="X239" s="63"/>
      <c r="Y239" s="54"/>
      <c r="Z239" s="65"/>
      <c r="AA239" s="66"/>
      <c r="AB239" s="67"/>
      <c r="AC239" s="56"/>
      <c r="AD239" s="56"/>
      <c r="AE239" s="64"/>
      <c r="AF239" s="64"/>
      <c r="AG239" s="55"/>
      <c r="AH239" s="68"/>
      <c r="AI239" s="54"/>
      <c r="AJ239" s="69"/>
      <c r="AK239" s="61"/>
      <c r="AL239" s="62"/>
      <c r="AM239" s="56"/>
      <c r="AN239" s="56"/>
      <c r="AO239" s="64"/>
      <c r="AP239" s="64"/>
      <c r="AQ239" s="55"/>
      <c r="AR239" s="68"/>
      <c r="AS239" s="54"/>
      <c r="AT239" s="69"/>
      <c r="AU239" s="61"/>
      <c r="AV239" s="62"/>
      <c r="AW239" s="56"/>
      <c r="AX239" s="56"/>
      <c r="AY239" s="64"/>
      <c r="AZ239" s="64"/>
      <c r="BA239" s="55"/>
      <c r="BB239" s="72"/>
      <c r="BC239" s="68"/>
      <c r="BD239" s="69"/>
      <c r="BE239" s="66"/>
      <c r="BF239" s="67"/>
      <c r="BG239" s="56"/>
      <c r="BH239" s="56"/>
      <c r="BI239" s="64"/>
      <c r="BJ239" s="64"/>
      <c r="BK239" s="57"/>
      <c r="BL239" s="73"/>
      <c r="BM239" s="76"/>
      <c r="BN239" s="74"/>
      <c r="BO239" s="75"/>
      <c r="BP239" s="66"/>
      <c r="BQ239" s="74"/>
    </row>
    <row r="240" spans="1:69" s="44" customFormat="1" ht="22.35" customHeight="1" x14ac:dyDescent="0.2">
      <c r="A240" s="100"/>
      <c r="B240" s="100"/>
      <c r="C240" s="100"/>
      <c r="D240" s="54"/>
      <c r="E240" s="55"/>
      <c r="F240" s="56"/>
      <c r="G240" s="56"/>
      <c r="H240" s="57"/>
      <c r="I240" s="58"/>
      <c r="J240" s="58"/>
      <c r="K240" s="55"/>
      <c r="L240" s="59"/>
      <c r="M240" s="59"/>
      <c r="N240" s="59"/>
      <c r="O240" s="54"/>
      <c r="P240" s="60"/>
      <c r="Q240" s="61"/>
      <c r="R240" s="62"/>
      <c r="S240" s="56"/>
      <c r="T240" s="56"/>
      <c r="U240" s="63"/>
      <c r="V240" s="64"/>
      <c r="W240" s="55"/>
      <c r="X240" s="63"/>
      <c r="Y240" s="54"/>
      <c r="Z240" s="65"/>
      <c r="AA240" s="76"/>
      <c r="AB240" s="59"/>
      <c r="AC240" s="56"/>
      <c r="AD240" s="56"/>
      <c r="AE240" s="64"/>
      <c r="AF240" s="64"/>
      <c r="AG240" s="55"/>
      <c r="AH240" s="68"/>
      <c r="AI240" s="54"/>
      <c r="AJ240" s="69"/>
      <c r="AK240" s="61"/>
      <c r="AL240" s="62"/>
      <c r="AM240" s="56"/>
      <c r="AN240" s="56"/>
      <c r="AO240" s="64"/>
      <c r="AP240" s="64"/>
      <c r="AQ240" s="55"/>
      <c r="AR240" s="68"/>
      <c r="AS240" s="54"/>
      <c r="AT240" s="69"/>
      <c r="AU240" s="61"/>
      <c r="AV240" s="62"/>
      <c r="AW240" s="56"/>
      <c r="AX240" s="56"/>
      <c r="AY240" s="64"/>
      <c r="AZ240" s="64"/>
      <c r="BA240" s="55"/>
      <c r="BB240" s="72"/>
      <c r="BC240" s="68"/>
      <c r="BD240" s="69"/>
      <c r="BE240" s="76"/>
      <c r="BF240" s="59"/>
      <c r="BG240" s="56"/>
      <c r="BH240" s="56"/>
      <c r="BI240" s="64"/>
      <c r="BJ240" s="64"/>
      <c r="BK240" s="57"/>
      <c r="BL240" s="73"/>
      <c r="BM240" s="61"/>
      <c r="BN240" s="74"/>
      <c r="BO240" s="75"/>
      <c r="BP240" s="66"/>
      <c r="BQ240" s="74"/>
    </row>
    <row r="241" spans="1:69" s="44" customFormat="1" ht="22.35" customHeight="1" x14ac:dyDescent="0.2">
      <c r="A241" s="100"/>
      <c r="B241" s="100"/>
      <c r="C241" s="100"/>
      <c r="D241" s="54"/>
      <c r="E241" s="55"/>
      <c r="F241" s="56"/>
      <c r="G241" s="56"/>
      <c r="H241" s="57"/>
      <c r="I241" s="58"/>
      <c r="J241" s="58"/>
      <c r="K241" s="55"/>
      <c r="L241" s="59"/>
      <c r="M241" s="59"/>
      <c r="N241" s="59"/>
      <c r="O241" s="54"/>
      <c r="P241" s="60"/>
      <c r="Q241" s="66"/>
      <c r="R241" s="67"/>
      <c r="S241" s="56"/>
      <c r="T241" s="56"/>
      <c r="U241" s="63"/>
      <c r="V241" s="64"/>
      <c r="W241" s="55"/>
      <c r="X241" s="63"/>
      <c r="Y241" s="54"/>
      <c r="Z241" s="65"/>
      <c r="AA241" s="76"/>
      <c r="AB241" s="59"/>
      <c r="AC241" s="56"/>
      <c r="AD241" s="56"/>
      <c r="AE241" s="64"/>
      <c r="AF241" s="64"/>
      <c r="AG241" s="55"/>
      <c r="AH241" s="68"/>
      <c r="AI241" s="54"/>
      <c r="AJ241" s="69"/>
      <c r="AK241" s="70"/>
      <c r="AL241" s="71"/>
      <c r="AM241" s="56"/>
      <c r="AN241" s="56"/>
      <c r="AO241" s="64"/>
      <c r="AP241" s="64"/>
      <c r="AQ241" s="55"/>
      <c r="AR241" s="68"/>
      <c r="AS241" s="54"/>
      <c r="AT241" s="69"/>
      <c r="AU241" s="61"/>
      <c r="AV241" s="62"/>
      <c r="AW241" s="56"/>
      <c r="AX241" s="56"/>
      <c r="AY241" s="64"/>
      <c r="AZ241" s="64"/>
      <c r="BA241" s="55"/>
      <c r="BB241" s="72"/>
      <c r="BC241" s="68"/>
      <c r="BD241" s="69"/>
      <c r="BE241" s="66"/>
      <c r="BF241" s="67"/>
      <c r="BG241" s="56"/>
      <c r="BH241" s="56"/>
      <c r="BI241" s="64"/>
      <c r="BJ241" s="64"/>
      <c r="BK241" s="57"/>
      <c r="BL241" s="73"/>
      <c r="BM241" s="76"/>
      <c r="BN241" s="74"/>
      <c r="BO241" s="75"/>
      <c r="BP241" s="66"/>
      <c r="BQ241" s="74"/>
    </row>
    <row r="242" spans="1:69" s="44" customFormat="1" ht="22.35" customHeight="1" x14ac:dyDescent="0.2">
      <c r="A242" s="100"/>
      <c r="B242" s="100"/>
      <c r="C242" s="100"/>
      <c r="D242" s="54"/>
      <c r="E242" s="55"/>
      <c r="F242" s="56"/>
      <c r="G242" s="56"/>
      <c r="H242" s="57"/>
      <c r="I242" s="58"/>
      <c r="J242" s="58"/>
      <c r="K242" s="55"/>
      <c r="L242" s="59"/>
      <c r="M242" s="59"/>
      <c r="N242" s="59"/>
      <c r="O242" s="54"/>
      <c r="P242" s="60"/>
      <c r="Q242" s="66"/>
      <c r="R242" s="67"/>
      <c r="S242" s="56"/>
      <c r="T242" s="56"/>
      <c r="U242" s="63"/>
      <c r="V242" s="64"/>
      <c r="W242" s="55"/>
      <c r="X242" s="63"/>
      <c r="Y242" s="54"/>
      <c r="Z242" s="65"/>
      <c r="AA242" s="70"/>
      <c r="AB242" s="71"/>
      <c r="AC242" s="56"/>
      <c r="AD242" s="56"/>
      <c r="AE242" s="64"/>
      <c r="AF242" s="64"/>
      <c r="AG242" s="55"/>
      <c r="AH242" s="68"/>
      <c r="AI242" s="54"/>
      <c r="AJ242" s="69"/>
      <c r="AK242" s="70"/>
      <c r="AL242" s="71"/>
      <c r="AM242" s="56"/>
      <c r="AN242" s="56"/>
      <c r="AO242" s="64"/>
      <c r="AP242" s="64"/>
      <c r="AQ242" s="55"/>
      <c r="AR242" s="68"/>
      <c r="AS242" s="54"/>
      <c r="AT242" s="69"/>
      <c r="AU242" s="76"/>
      <c r="AV242" s="59"/>
      <c r="AW242" s="56"/>
      <c r="AX242" s="56"/>
      <c r="AY242" s="64"/>
      <c r="AZ242" s="64"/>
      <c r="BA242" s="55"/>
      <c r="BB242" s="72"/>
      <c r="BC242" s="68"/>
      <c r="BD242" s="69"/>
      <c r="BE242" s="66"/>
      <c r="BF242" s="67"/>
      <c r="BG242" s="56"/>
      <c r="BH242" s="56"/>
      <c r="BI242" s="64"/>
      <c r="BJ242" s="64"/>
      <c r="BK242" s="57"/>
      <c r="BL242" s="73"/>
      <c r="BM242" s="76"/>
      <c r="BN242" s="74"/>
      <c r="BO242" s="75"/>
      <c r="BP242" s="66"/>
      <c r="BQ242" s="74"/>
    </row>
    <row r="243" spans="1:69" s="44" customFormat="1" ht="22.35" customHeight="1" x14ac:dyDescent="0.2">
      <c r="A243" s="100"/>
      <c r="B243" s="100"/>
      <c r="C243" s="100"/>
      <c r="D243" s="54"/>
      <c r="E243" s="55"/>
      <c r="F243" s="56"/>
      <c r="G243" s="56"/>
      <c r="H243" s="57"/>
      <c r="I243" s="58"/>
      <c r="J243" s="58"/>
      <c r="K243" s="55"/>
      <c r="L243" s="59"/>
      <c r="M243" s="59"/>
      <c r="N243" s="59"/>
      <c r="O243" s="54"/>
      <c r="P243" s="60"/>
      <c r="Q243" s="66"/>
      <c r="R243" s="67"/>
      <c r="S243" s="56"/>
      <c r="T243" s="56"/>
      <c r="U243" s="63"/>
      <c r="V243" s="64"/>
      <c r="W243" s="55"/>
      <c r="X243" s="63"/>
      <c r="Y243" s="54"/>
      <c r="Z243" s="65"/>
      <c r="AA243" s="66"/>
      <c r="AB243" s="67"/>
      <c r="AC243" s="56"/>
      <c r="AD243" s="56"/>
      <c r="AE243" s="64"/>
      <c r="AF243" s="64"/>
      <c r="AG243" s="55"/>
      <c r="AH243" s="68"/>
      <c r="AI243" s="54"/>
      <c r="AJ243" s="69"/>
      <c r="AK243" s="61"/>
      <c r="AL243" s="62"/>
      <c r="AM243" s="56"/>
      <c r="AN243" s="56"/>
      <c r="AO243" s="64"/>
      <c r="AP243" s="64"/>
      <c r="AQ243" s="55"/>
      <c r="AR243" s="68"/>
      <c r="AS243" s="54"/>
      <c r="AT243" s="69"/>
      <c r="AU243" s="61"/>
      <c r="AV243" s="62"/>
      <c r="AW243" s="56"/>
      <c r="AX243" s="56"/>
      <c r="AY243" s="64"/>
      <c r="AZ243" s="64"/>
      <c r="BA243" s="55"/>
      <c r="BB243" s="72"/>
      <c r="BC243" s="68"/>
      <c r="BD243" s="69"/>
      <c r="BE243" s="70"/>
      <c r="BF243" s="71"/>
      <c r="BG243" s="56"/>
      <c r="BH243" s="56"/>
      <c r="BI243" s="64"/>
      <c r="BJ243" s="64"/>
      <c r="BK243" s="57"/>
      <c r="BL243" s="73"/>
      <c r="BM243" s="70"/>
      <c r="BN243" s="74"/>
      <c r="BO243" s="75"/>
      <c r="BP243" s="66"/>
      <c r="BQ243" s="74"/>
    </row>
    <row r="244" spans="1:69" s="44" customFormat="1" ht="22.35" customHeight="1" x14ac:dyDescent="0.2">
      <c r="A244" s="100"/>
      <c r="B244" s="100"/>
      <c r="C244" s="100"/>
      <c r="D244" s="54"/>
      <c r="E244" s="55"/>
      <c r="F244" s="56"/>
      <c r="G244" s="56"/>
      <c r="H244" s="57"/>
      <c r="I244" s="58"/>
      <c r="J244" s="58"/>
      <c r="K244" s="55"/>
      <c r="L244" s="59"/>
      <c r="M244" s="59"/>
      <c r="N244" s="59"/>
      <c r="O244" s="54"/>
      <c r="P244" s="60"/>
      <c r="Q244" s="66"/>
      <c r="R244" s="67"/>
      <c r="S244" s="56"/>
      <c r="T244" s="56"/>
      <c r="U244" s="63"/>
      <c r="V244" s="64"/>
      <c r="W244" s="55"/>
      <c r="X244" s="63"/>
      <c r="Y244" s="54"/>
      <c r="Z244" s="65"/>
      <c r="AA244" s="70"/>
      <c r="AB244" s="71"/>
      <c r="AC244" s="56"/>
      <c r="AD244" s="56"/>
      <c r="AE244" s="64"/>
      <c r="AF244" s="64"/>
      <c r="AG244" s="55"/>
      <c r="AH244" s="68"/>
      <c r="AI244" s="54"/>
      <c r="AJ244" s="69"/>
      <c r="AK244" s="76"/>
      <c r="AL244" s="59"/>
      <c r="AM244" s="56"/>
      <c r="AN244" s="56"/>
      <c r="AO244" s="64"/>
      <c r="AP244" s="64"/>
      <c r="AQ244" s="55"/>
      <c r="AR244" s="68"/>
      <c r="AS244" s="54"/>
      <c r="AT244" s="69"/>
      <c r="AU244" s="61"/>
      <c r="AV244" s="62"/>
      <c r="AW244" s="56"/>
      <c r="AX244" s="56"/>
      <c r="AY244" s="64"/>
      <c r="AZ244" s="64"/>
      <c r="BA244" s="55"/>
      <c r="BB244" s="72"/>
      <c r="BC244" s="68"/>
      <c r="BD244" s="69"/>
      <c r="BE244" s="70"/>
      <c r="BF244" s="71"/>
      <c r="BG244" s="56"/>
      <c r="BH244" s="56"/>
      <c r="BI244" s="64"/>
      <c r="BJ244" s="64"/>
      <c r="BK244" s="57"/>
      <c r="BL244" s="73"/>
      <c r="BM244" s="76"/>
      <c r="BN244" s="74"/>
      <c r="BO244" s="75"/>
      <c r="BP244" s="66"/>
      <c r="BQ244" s="74"/>
    </row>
    <row r="245" spans="1:69" s="44" customFormat="1" ht="22.35" customHeight="1" x14ac:dyDescent="0.2">
      <c r="A245" s="100"/>
      <c r="B245" s="100"/>
      <c r="C245" s="100"/>
      <c r="D245" s="54"/>
      <c r="E245" s="55"/>
      <c r="F245" s="56"/>
      <c r="G245" s="56"/>
      <c r="H245" s="57"/>
      <c r="I245" s="58"/>
      <c r="J245" s="58"/>
      <c r="K245" s="55"/>
      <c r="L245" s="59"/>
      <c r="M245" s="59"/>
      <c r="N245" s="59"/>
      <c r="O245" s="54"/>
      <c r="P245" s="60"/>
      <c r="Q245" s="61"/>
      <c r="R245" s="62"/>
      <c r="S245" s="56"/>
      <c r="T245" s="56"/>
      <c r="U245" s="63"/>
      <c r="V245" s="64"/>
      <c r="W245" s="55"/>
      <c r="X245" s="63"/>
      <c r="Y245" s="54"/>
      <c r="Z245" s="65"/>
      <c r="AA245" s="61"/>
      <c r="AB245" s="62"/>
      <c r="AC245" s="56"/>
      <c r="AD245" s="56"/>
      <c r="AE245" s="64"/>
      <c r="AF245" s="64"/>
      <c r="AG245" s="55"/>
      <c r="AH245" s="68"/>
      <c r="AI245" s="54"/>
      <c r="AJ245" s="69"/>
      <c r="AK245" s="61"/>
      <c r="AL245" s="62"/>
      <c r="AM245" s="56"/>
      <c r="AN245" s="56"/>
      <c r="AO245" s="64"/>
      <c r="AP245" s="64"/>
      <c r="AQ245" s="55"/>
      <c r="AR245" s="68"/>
      <c r="AS245" s="54"/>
      <c r="AT245" s="69"/>
      <c r="AU245" s="61"/>
      <c r="AV245" s="62"/>
      <c r="AW245" s="56"/>
      <c r="AX245" s="56"/>
      <c r="AY245" s="64"/>
      <c r="AZ245" s="64"/>
      <c r="BA245" s="55"/>
      <c r="BB245" s="72"/>
      <c r="BC245" s="68"/>
      <c r="BD245" s="69"/>
      <c r="BE245" s="70"/>
      <c r="BF245" s="71"/>
      <c r="BG245" s="56"/>
      <c r="BH245" s="56"/>
      <c r="BI245" s="64"/>
      <c r="BJ245" s="64"/>
      <c r="BK245" s="57"/>
      <c r="BL245" s="73"/>
      <c r="BM245" s="70"/>
      <c r="BN245" s="74"/>
      <c r="BO245" s="75"/>
      <c r="BP245" s="66"/>
      <c r="BQ245" s="74"/>
    </row>
    <row r="246" spans="1:69" s="44" customFormat="1" ht="22.35" customHeight="1" x14ac:dyDescent="0.2">
      <c r="A246" s="100"/>
      <c r="B246" s="100"/>
      <c r="C246" s="100"/>
      <c r="D246" s="54"/>
      <c r="E246" s="55"/>
      <c r="F246" s="56"/>
      <c r="G246" s="56"/>
      <c r="H246" s="57"/>
      <c r="I246" s="58"/>
      <c r="J246" s="58"/>
      <c r="K246" s="55"/>
      <c r="L246" s="59"/>
      <c r="M246" s="59"/>
      <c r="N246" s="59"/>
      <c r="O246" s="54"/>
      <c r="P246" s="60"/>
      <c r="Q246" s="66"/>
      <c r="R246" s="67"/>
      <c r="S246" s="56"/>
      <c r="T246" s="56"/>
      <c r="U246" s="63"/>
      <c r="V246" s="64"/>
      <c r="W246" s="55"/>
      <c r="X246" s="63"/>
      <c r="Y246" s="54"/>
      <c r="Z246" s="65"/>
      <c r="AA246" s="70"/>
      <c r="AB246" s="71"/>
      <c r="AC246" s="56"/>
      <c r="AD246" s="56"/>
      <c r="AE246" s="64"/>
      <c r="AF246" s="64"/>
      <c r="AG246" s="55"/>
      <c r="AH246" s="68"/>
      <c r="AI246" s="54"/>
      <c r="AJ246" s="69"/>
      <c r="AK246" s="76"/>
      <c r="AL246" s="59"/>
      <c r="AM246" s="56"/>
      <c r="AN246" s="56"/>
      <c r="AO246" s="64"/>
      <c r="AP246" s="64"/>
      <c r="AQ246" s="55"/>
      <c r="AR246" s="68"/>
      <c r="AS246" s="54"/>
      <c r="AT246" s="69"/>
      <c r="AU246" s="61"/>
      <c r="AV246" s="62"/>
      <c r="AW246" s="56"/>
      <c r="AX246" s="56"/>
      <c r="AY246" s="64"/>
      <c r="AZ246" s="64"/>
      <c r="BA246" s="55"/>
      <c r="BB246" s="72"/>
      <c r="BC246" s="68"/>
      <c r="BD246" s="69"/>
      <c r="BE246" s="66"/>
      <c r="BF246" s="67"/>
      <c r="BG246" s="56"/>
      <c r="BH246" s="56"/>
      <c r="BI246" s="64"/>
      <c r="BJ246" s="64"/>
      <c r="BK246" s="57"/>
      <c r="BL246" s="73"/>
      <c r="BM246" s="70"/>
      <c r="BN246" s="74"/>
      <c r="BO246" s="75"/>
      <c r="BP246" s="66"/>
      <c r="BQ246" s="74"/>
    </row>
    <row r="247" spans="1:69" s="44" customFormat="1" ht="22.35" customHeight="1" x14ac:dyDescent="0.2">
      <c r="A247" s="100"/>
      <c r="B247" s="100"/>
      <c r="C247" s="100"/>
      <c r="D247" s="54"/>
      <c r="E247" s="55"/>
      <c r="F247" s="56"/>
      <c r="G247" s="56"/>
      <c r="H247" s="57"/>
      <c r="I247" s="58"/>
      <c r="J247" s="58"/>
      <c r="K247" s="55"/>
      <c r="L247" s="59"/>
      <c r="M247" s="59"/>
      <c r="N247" s="59"/>
      <c r="O247" s="54"/>
      <c r="P247" s="60"/>
      <c r="Q247" s="66"/>
      <c r="R247" s="67"/>
      <c r="S247" s="56"/>
      <c r="T247" s="56"/>
      <c r="U247" s="63"/>
      <c r="V247" s="64"/>
      <c r="W247" s="55"/>
      <c r="X247" s="63"/>
      <c r="Y247" s="54"/>
      <c r="Z247" s="65"/>
      <c r="AA247" s="70"/>
      <c r="AB247" s="71"/>
      <c r="AC247" s="56"/>
      <c r="AD247" s="56"/>
      <c r="AE247" s="64"/>
      <c r="AF247" s="64"/>
      <c r="AG247" s="55"/>
      <c r="AH247" s="68"/>
      <c r="AI247" s="54"/>
      <c r="AJ247" s="69"/>
      <c r="AK247" s="61"/>
      <c r="AL247" s="62"/>
      <c r="AM247" s="56"/>
      <c r="AN247" s="56"/>
      <c r="AO247" s="64"/>
      <c r="AP247" s="64"/>
      <c r="AQ247" s="55"/>
      <c r="AR247" s="68"/>
      <c r="AS247" s="54"/>
      <c r="AT247" s="69"/>
      <c r="AU247" s="61"/>
      <c r="AV247" s="62"/>
      <c r="AW247" s="56"/>
      <c r="AX247" s="56"/>
      <c r="AY247" s="64"/>
      <c r="AZ247" s="64"/>
      <c r="BA247" s="55"/>
      <c r="BB247" s="72"/>
      <c r="BC247" s="68"/>
      <c r="BD247" s="69"/>
      <c r="BE247" s="76"/>
      <c r="BF247" s="59"/>
      <c r="BG247" s="56"/>
      <c r="BH247" s="56"/>
      <c r="BI247" s="64"/>
      <c r="BJ247" s="64"/>
      <c r="BK247" s="57"/>
      <c r="BL247" s="73"/>
      <c r="BM247" s="76"/>
      <c r="BN247" s="74"/>
      <c r="BO247" s="75"/>
      <c r="BP247" s="66"/>
      <c r="BQ247" s="74"/>
    </row>
    <row r="248" spans="1:69" s="44" customFormat="1" ht="22.35" customHeight="1" x14ac:dyDescent="0.2">
      <c r="A248" s="100"/>
      <c r="B248" s="100"/>
      <c r="C248" s="100"/>
      <c r="D248" s="54"/>
      <c r="E248" s="55"/>
      <c r="F248" s="56"/>
      <c r="G248" s="56"/>
      <c r="H248" s="57"/>
      <c r="I248" s="58"/>
      <c r="J248" s="58"/>
      <c r="K248" s="55"/>
      <c r="L248" s="59"/>
      <c r="M248" s="59"/>
      <c r="N248" s="59"/>
      <c r="O248" s="54"/>
      <c r="P248" s="60"/>
      <c r="Q248" s="66"/>
      <c r="R248" s="67"/>
      <c r="S248" s="56"/>
      <c r="T248" s="56"/>
      <c r="U248" s="63"/>
      <c r="V248" s="64"/>
      <c r="W248" s="55"/>
      <c r="X248" s="63"/>
      <c r="Y248" s="54"/>
      <c r="Z248" s="65"/>
      <c r="AA248" s="76"/>
      <c r="AB248" s="59"/>
      <c r="AC248" s="56"/>
      <c r="AD248" s="56"/>
      <c r="AE248" s="64"/>
      <c r="AF248" s="64"/>
      <c r="AG248" s="55"/>
      <c r="AH248" s="68"/>
      <c r="AI248" s="54"/>
      <c r="AJ248" s="69"/>
      <c r="AK248" s="61"/>
      <c r="AL248" s="62"/>
      <c r="AM248" s="56"/>
      <c r="AN248" s="56"/>
      <c r="AO248" s="64"/>
      <c r="AP248" s="64"/>
      <c r="AQ248" s="55"/>
      <c r="AR248" s="68"/>
      <c r="AS248" s="54"/>
      <c r="AT248" s="69"/>
      <c r="AU248" s="61"/>
      <c r="AV248" s="62"/>
      <c r="AW248" s="56"/>
      <c r="AX248" s="56"/>
      <c r="AY248" s="64"/>
      <c r="AZ248" s="64"/>
      <c r="BA248" s="55"/>
      <c r="BB248" s="72"/>
      <c r="BC248" s="68"/>
      <c r="BD248" s="69"/>
      <c r="BE248" s="76"/>
      <c r="BF248" s="59"/>
      <c r="BG248" s="56"/>
      <c r="BH248" s="56"/>
      <c r="BI248" s="64"/>
      <c r="BJ248" s="64"/>
      <c r="BK248" s="57"/>
      <c r="BL248" s="73"/>
      <c r="BM248" s="76"/>
      <c r="BN248" s="74"/>
      <c r="BO248" s="75"/>
      <c r="BP248" s="66"/>
      <c r="BQ248" s="74"/>
    </row>
    <row r="249" spans="1:69" s="44" customFormat="1" ht="22.35" customHeight="1" x14ac:dyDescent="0.2">
      <c r="A249" s="100"/>
      <c r="B249" s="100"/>
      <c r="C249" s="100"/>
      <c r="D249" s="54"/>
      <c r="E249" s="55"/>
      <c r="F249" s="56"/>
      <c r="G249" s="56"/>
      <c r="H249" s="57"/>
      <c r="I249" s="58"/>
      <c r="J249" s="58"/>
      <c r="K249" s="55"/>
      <c r="L249" s="59"/>
      <c r="M249" s="59"/>
      <c r="N249" s="59"/>
      <c r="O249" s="54"/>
      <c r="P249" s="60"/>
      <c r="Q249" s="66"/>
      <c r="R249" s="67"/>
      <c r="S249" s="56"/>
      <c r="T249" s="56"/>
      <c r="U249" s="63"/>
      <c r="V249" s="64"/>
      <c r="W249" s="55"/>
      <c r="X249" s="63"/>
      <c r="Y249" s="54"/>
      <c r="Z249" s="65"/>
      <c r="AA249" s="70"/>
      <c r="AB249" s="71"/>
      <c r="AC249" s="56"/>
      <c r="AD249" s="56"/>
      <c r="AE249" s="64"/>
      <c r="AF249" s="64"/>
      <c r="AG249" s="55"/>
      <c r="AH249" s="68"/>
      <c r="AI249" s="54"/>
      <c r="AJ249" s="69"/>
      <c r="AK249" s="61"/>
      <c r="AL249" s="62"/>
      <c r="AM249" s="56"/>
      <c r="AN249" s="56"/>
      <c r="AO249" s="64"/>
      <c r="AP249" s="64"/>
      <c r="AQ249" s="55"/>
      <c r="AR249" s="68"/>
      <c r="AS249" s="54"/>
      <c r="AT249" s="69"/>
      <c r="AU249" s="61"/>
      <c r="AV249" s="62"/>
      <c r="AW249" s="56"/>
      <c r="AX249" s="56"/>
      <c r="AY249" s="64"/>
      <c r="AZ249" s="64"/>
      <c r="BA249" s="55"/>
      <c r="BB249" s="72"/>
      <c r="BC249" s="68"/>
      <c r="BD249" s="69"/>
      <c r="BE249" s="70"/>
      <c r="BF249" s="71"/>
      <c r="BG249" s="56"/>
      <c r="BH249" s="56"/>
      <c r="BI249" s="64"/>
      <c r="BJ249" s="64"/>
      <c r="BK249" s="57"/>
      <c r="BL249" s="73"/>
      <c r="BM249" s="70"/>
      <c r="BN249" s="74"/>
      <c r="BO249" s="75"/>
      <c r="BP249" s="66"/>
      <c r="BQ249" s="74"/>
    </row>
    <row r="250" spans="1:69" s="44" customFormat="1" ht="22.35" customHeight="1" x14ac:dyDescent="0.2">
      <c r="A250" s="100"/>
      <c r="B250" s="100"/>
      <c r="C250" s="100"/>
      <c r="D250" s="54"/>
      <c r="E250" s="55"/>
      <c r="F250" s="56"/>
      <c r="G250" s="56"/>
      <c r="H250" s="57"/>
      <c r="I250" s="58"/>
      <c r="J250" s="58"/>
      <c r="K250" s="55"/>
      <c r="L250" s="59"/>
      <c r="M250" s="59"/>
      <c r="N250" s="59"/>
      <c r="O250" s="54"/>
      <c r="P250" s="60"/>
      <c r="Q250" s="66"/>
      <c r="R250" s="67"/>
      <c r="S250" s="56"/>
      <c r="T250" s="56"/>
      <c r="U250" s="63"/>
      <c r="V250" s="64"/>
      <c r="W250" s="55"/>
      <c r="X250" s="63"/>
      <c r="Y250" s="54"/>
      <c r="Z250" s="65"/>
      <c r="AA250" s="66"/>
      <c r="AB250" s="67"/>
      <c r="AC250" s="56"/>
      <c r="AD250" s="56"/>
      <c r="AE250" s="64"/>
      <c r="AF250" s="64"/>
      <c r="AG250" s="55"/>
      <c r="AH250" s="68"/>
      <c r="AI250" s="54"/>
      <c r="AJ250" s="69"/>
      <c r="AK250" s="66"/>
      <c r="AL250" s="67"/>
      <c r="AM250" s="56"/>
      <c r="AN250" s="56"/>
      <c r="AO250" s="64"/>
      <c r="AP250" s="64"/>
      <c r="AQ250" s="55"/>
      <c r="AR250" s="68"/>
      <c r="AS250" s="54"/>
      <c r="AT250" s="69"/>
      <c r="AU250" s="61"/>
      <c r="AV250" s="62"/>
      <c r="AW250" s="56"/>
      <c r="AX250" s="56"/>
      <c r="AY250" s="64"/>
      <c r="AZ250" s="64"/>
      <c r="BA250" s="55"/>
      <c r="BB250" s="72"/>
      <c r="BC250" s="68"/>
      <c r="BD250" s="69"/>
      <c r="BE250" s="66"/>
      <c r="BF250" s="67"/>
      <c r="BG250" s="56"/>
      <c r="BH250" s="56"/>
      <c r="BI250" s="64"/>
      <c r="BJ250" s="64"/>
      <c r="BK250" s="57"/>
      <c r="BL250" s="73"/>
      <c r="BM250" s="76"/>
      <c r="BN250" s="74"/>
      <c r="BO250" s="75"/>
      <c r="BP250" s="66"/>
      <c r="BQ250" s="74"/>
    </row>
    <row r="251" spans="1:69" s="44" customFormat="1" ht="22.35" customHeight="1" x14ac:dyDescent="0.2">
      <c r="A251" s="100"/>
      <c r="B251" s="100"/>
      <c r="C251" s="100"/>
      <c r="D251" s="54"/>
      <c r="E251" s="55"/>
      <c r="F251" s="56"/>
      <c r="G251" s="56"/>
      <c r="H251" s="57"/>
      <c r="I251" s="58"/>
      <c r="J251" s="58"/>
      <c r="K251" s="55"/>
      <c r="L251" s="59"/>
      <c r="M251" s="59"/>
      <c r="N251" s="59"/>
      <c r="O251" s="54"/>
      <c r="P251" s="60"/>
      <c r="Q251" s="66"/>
      <c r="R251" s="67"/>
      <c r="S251" s="56"/>
      <c r="T251" s="56"/>
      <c r="U251" s="63"/>
      <c r="V251" s="64"/>
      <c r="W251" s="55"/>
      <c r="X251" s="63"/>
      <c r="Y251" s="54"/>
      <c r="Z251" s="65"/>
      <c r="AA251" s="76"/>
      <c r="AB251" s="59"/>
      <c r="AC251" s="56"/>
      <c r="AD251" s="56"/>
      <c r="AE251" s="64"/>
      <c r="AF251" s="64"/>
      <c r="AG251" s="55"/>
      <c r="AH251" s="68"/>
      <c r="AI251" s="54"/>
      <c r="AJ251" s="69"/>
      <c r="AK251" s="61"/>
      <c r="AL251" s="62"/>
      <c r="AM251" s="56"/>
      <c r="AN251" s="56"/>
      <c r="AO251" s="64"/>
      <c r="AP251" s="64"/>
      <c r="AQ251" s="55"/>
      <c r="AR251" s="68"/>
      <c r="AS251" s="54"/>
      <c r="AT251" s="69"/>
      <c r="AU251" s="61"/>
      <c r="AV251" s="62"/>
      <c r="AW251" s="56"/>
      <c r="AX251" s="56"/>
      <c r="AY251" s="64"/>
      <c r="AZ251" s="64"/>
      <c r="BA251" s="55"/>
      <c r="BB251" s="72"/>
      <c r="BC251" s="68"/>
      <c r="BD251" s="69"/>
      <c r="BE251" s="76"/>
      <c r="BF251" s="59"/>
      <c r="BG251" s="56"/>
      <c r="BH251" s="56"/>
      <c r="BI251" s="64"/>
      <c r="BJ251" s="64"/>
      <c r="BK251" s="57"/>
      <c r="BL251" s="73"/>
      <c r="BM251" s="70"/>
      <c r="BN251" s="74"/>
      <c r="BO251" s="75"/>
      <c r="BP251" s="66"/>
      <c r="BQ251" s="74"/>
    </row>
    <row r="252" spans="1:69" s="44" customFormat="1" ht="22.35" customHeight="1" x14ac:dyDescent="0.2">
      <c r="A252" s="100"/>
      <c r="B252" s="100"/>
      <c r="C252" s="100"/>
      <c r="D252" s="54"/>
      <c r="E252" s="55"/>
      <c r="F252" s="56"/>
      <c r="G252" s="56"/>
      <c r="H252" s="57"/>
      <c r="I252" s="58"/>
      <c r="J252" s="58"/>
      <c r="K252" s="55"/>
      <c r="L252" s="59"/>
      <c r="M252" s="59"/>
      <c r="N252" s="59"/>
      <c r="O252" s="54"/>
      <c r="P252" s="60"/>
      <c r="Q252" s="66"/>
      <c r="R252" s="67"/>
      <c r="S252" s="56"/>
      <c r="T252" s="56"/>
      <c r="U252" s="63"/>
      <c r="V252" s="64"/>
      <c r="W252" s="55"/>
      <c r="X252" s="63"/>
      <c r="Y252" s="54"/>
      <c r="Z252" s="65"/>
      <c r="AA252" s="61"/>
      <c r="AB252" s="62"/>
      <c r="AC252" s="56"/>
      <c r="AD252" s="56"/>
      <c r="AE252" s="64"/>
      <c r="AF252" s="64"/>
      <c r="AG252" s="55"/>
      <c r="AH252" s="68"/>
      <c r="AI252" s="54"/>
      <c r="AJ252" s="69"/>
      <c r="AK252" s="61"/>
      <c r="AL252" s="62"/>
      <c r="AM252" s="56"/>
      <c r="AN252" s="56"/>
      <c r="AO252" s="64"/>
      <c r="AP252" s="64"/>
      <c r="AQ252" s="55"/>
      <c r="AR252" s="68"/>
      <c r="AS252" s="54"/>
      <c r="AT252" s="69"/>
      <c r="AU252" s="61"/>
      <c r="AV252" s="62"/>
      <c r="AW252" s="56"/>
      <c r="AX252" s="56"/>
      <c r="AY252" s="64"/>
      <c r="AZ252" s="64"/>
      <c r="BA252" s="55"/>
      <c r="BB252" s="72"/>
      <c r="BC252" s="68"/>
      <c r="BD252" s="69"/>
      <c r="BE252" s="61"/>
      <c r="BF252" s="62"/>
      <c r="BG252" s="56"/>
      <c r="BH252" s="56"/>
      <c r="BI252" s="64"/>
      <c r="BJ252" s="64"/>
      <c r="BK252" s="57"/>
      <c r="BL252" s="73"/>
      <c r="BM252" s="70"/>
      <c r="BN252" s="74"/>
      <c r="BO252" s="75"/>
      <c r="BP252" s="66"/>
      <c r="BQ252" s="74"/>
    </row>
    <row r="253" spans="1:69" s="44" customFormat="1" ht="22.35" customHeight="1" x14ac:dyDescent="0.2">
      <c r="A253" s="100"/>
      <c r="B253" s="100"/>
      <c r="C253" s="100"/>
      <c r="D253" s="54"/>
      <c r="E253" s="55"/>
      <c r="F253" s="56"/>
      <c r="G253" s="56"/>
      <c r="H253" s="57"/>
      <c r="I253" s="58"/>
      <c r="J253" s="58"/>
      <c r="K253" s="55"/>
      <c r="L253" s="59"/>
      <c r="M253" s="59"/>
      <c r="N253" s="59"/>
      <c r="O253" s="54"/>
      <c r="P253" s="60"/>
      <c r="Q253" s="66"/>
      <c r="R253" s="67"/>
      <c r="S253" s="56"/>
      <c r="T253" s="56"/>
      <c r="U253" s="63"/>
      <c r="V253" s="64"/>
      <c r="W253" s="55"/>
      <c r="X253" s="63"/>
      <c r="Y253" s="54"/>
      <c r="Z253" s="65"/>
      <c r="AA253" s="66"/>
      <c r="AB253" s="67"/>
      <c r="AC253" s="56"/>
      <c r="AD253" s="56"/>
      <c r="AE253" s="64"/>
      <c r="AF253" s="64"/>
      <c r="AG253" s="55"/>
      <c r="AH253" s="68"/>
      <c r="AI253" s="54"/>
      <c r="AJ253" s="69"/>
      <c r="AK253" s="70"/>
      <c r="AL253" s="71"/>
      <c r="AM253" s="56"/>
      <c r="AN253" s="56"/>
      <c r="AO253" s="64"/>
      <c r="AP253" s="64"/>
      <c r="AQ253" s="55"/>
      <c r="AR253" s="68"/>
      <c r="AS253" s="54"/>
      <c r="AT253" s="69"/>
      <c r="AU253" s="61"/>
      <c r="AV253" s="62"/>
      <c r="AW253" s="56"/>
      <c r="AX253" s="56"/>
      <c r="AY253" s="64"/>
      <c r="AZ253" s="64"/>
      <c r="BA253" s="55"/>
      <c r="BB253" s="72"/>
      <c r="BC253" s="68"/>
      <c r="BD253" s="69"/>
      <c r="BE253" s="70"/>
      <c r="BF253" s="71"/>
      <c r="BG253" s="56"/>
      <c r="BH253" s="56"/>
      <c r="BI253" s="64"/>
      <c r="BJ253" s="64"/>
      <c r="BK253" s="57"/>
      <c r="BL253" s="73"/>
      <c r="BM253" s="70"/>
      <c r="BN253" s="74"/>
      <c r="BO253" s="75"/>
      <c r="BP253" s="66"/>
      <c r="BQ253" s="74"/>
    </row>
    <row r="254" spans="1:69" s="44" customFormat="1" ht="22.35" customHeight="1" x14ac:dyDescent="0.2">
      <c r="A254" s="100"/>
      <c r="B254" s="100"/>
      <c r="C254" s="100"/>
      <c r="D254" s="54"/>
      <c r="E254" s="55"/>
      <c r="F254" s="56"/>
      <c r="G254" s="56"/>
      <c r="H254" s="57"/>
      <c r="I254" s="58"/>
      <c r="J254" s="58"/>
      <c r="K254" s="55"/>
      <c r="L254" s="59"/>
      <c r="M254" s="59"/>
      <c r="N254" s="59"/>
      <c r="O254" s="54"/>
      <c r="P254" s="60"/>
      <c r="Q254" s="66"/>
      <c r="R254" s="67"/>
      <c r="S254" s="56"/>
      <c r="T254" s="56"/>
      <c r="U254" s="63"/>
      <c r="V254" s="64"/>
      <c r="W254" s="55"/>
      <c r="X254" s="63"/>
      <c r="Y254" s="54"/>
      <c r="Z254" s="65"/>
      <c r="AA254" s="66"/>
      <c r="AB254" s="67"/>
      <c r="AC254" s="56"/>
      <c r="AD254" s="56"/>
      <c r="AE254" s="64"/>
      <c r="AF254" s="64"/>
      <c r="AG254" s="55"/>
      <c r="AH254" s="68"/>
      <c r="AI254" s="54"/>
      <c r="AJ254" s="69"/>
      <c r="AK254" s="61"/>
      <c r="AL254" s="62"/>
      <c r="AM254" s="56"/>
      <c r="AN254" s="56"/>
      <c r="AO254" s="64"/>
      <c r="AP254" s="64"/>
      <c r="AQ254" s="55"/>
      <c r="AR254" s="68"/>
      <c r="AS254" s="54"/>
      <c r="AT254" s="69"/>
      <c r="AU254" s="61"/>
      <c r="AV254" s="62"/>
      <c r="AW254" s="56"/>
      <c r="AX254" s="56"/>
      <c r="AY254" s="64"/>
      <c r="AZ254" s="64"/>
      <c r="BA254" s="55"/>
      <c r="BB254" s="72"/>
      <c r="BC254" s="68"/>
      <c r="BD254" s="69"/>
      <c r="BE254" s="66"/>
      <c r="BF254" s="67"/>
      <c r="BG254" s="56"/>
      <c r="BH254" s="56"/>
      <c r="BI254" s="64"/>
      <c r="BJ254" s="64"/>
      <c r="BK254" s="57"/>
      <c r="BL254" s="73"/>
      <c r="BM254" s="76"/>
      <c r="BN254" s="74"/>
      <c r="BO254" s="75"/>
      <c r="BP254" s="66"/>
      <c r="BQ254" s="74"/>
    </row>
    <row r="255" spans="1:69" s="44" customFormat="1" ht="22.35" customHeight="1" x14ac:dyDescent="0.2">
      <c r="A255" s="100"/>
      <c r="B255" s="100"/>
      <c r="C255" s="100"/>
      <c r="D255" s="54"/>
      <c r="E255" s="55"/>
      <c r="F255" s="56"/>
      <c r="G255" s="56"/>
      <c r="H255" s="57"/>
      <c r="I255" s="58"/>
      <c r="J255" s="58"/>
      <c r="K255" s="55"/>
      <c r="L255" s="59"/>
      <c r="M255" s="59"/>
      <c r="N255" s="59"/>
      <c r="O255" s="54"/>
      <c r="P255" s="60"/>
      <c r="Q255" s="66"/>
      <c r="R255" s="67"/>
      <c r="S255" s="56"/>
      <c r="T255" s="56"/>
      <c r="U255" s="63"/>
      <c r="V255" s="64"/>
      <c r="W255" s="55"/>
      <c r="X255" s="63"/>
      <c r="Y255" s="54"/>
      <c r="Z255" s="65"/>
      <c r="AA255" s="66"/>
      <c r="AB255" s="67"/>
      <c r="AC255" s="56"/>
      <c r="AD255" s="56"/>
      <c r="AE255" s="64"/>
      <c r="AF255" s="64"/>
      <c r="AG255" s="55"/>
      <c r="AH255" s="68"/>
      <c r="AI255" s="54"/>
      <c r="AJ255" s="69"/>
      <c r="AK255" s="66"/>
      <c r="AL255" s="67"/>
      <c r="AM255" s="56"/>
      <c r="AN255" s="56"/>
      <c r="AO255" s="64"/>
      <c r="AP255" s="64"/>
      <c r="AQ255" s="55"/>
      <c r="AR255" s="68"/>
      <c r="AS255" s="54"/>
      <c r="AT255" s="69"/>
      <c r="AU255" s="66"/>
      <c r="AV255" s="67"/>
      <c r="AW255" s="56"/>
      <c r="AX255" s="56"/>
      <c r="AY255" s="64"/>
      <c r="AZ255" s="64"/>
      <c r="BA255" s="55"/>
      <c r="BB255" s="72"/>
      <c r="BC255" s="68"/>
      <c r="BD255" s="69"/>
      <c r="BE255" s="66"/>
      <c r="BF255" s="67"/>
      <c r="BG255" s="56"/>
      <c r="BH255" s="56"/>
      <c r="BI255" s="64"/>
      <c r="BJ255" s="64"/>
      <c r="BK255" s="57"/>
      <c r="BL255" s="73"/>
      <c r="BM255" s="76"/>
      <c r="BN255" s="74"/>
      <c r="BO255" s="75"/>
      <c r="BP255" s="66"/>
      <c r="BQ255" s="74"/>
    </row>
    <row r="256" spans="1:69" s="44" customFormat="1" ht="22.35" customHeight="1" x14ac:dyDescent="0.2">
      <c r="A256" s="100"/>
      <c r="B256" s="100"/>
      <c r="C256" s="100"/>
      <c r="D256" s="54"/>
      <c r="E256" s="55"/>
      <c r="F256" s="56"/>
      <c r="G256" s="56"/>
      <c r="H256" s="57"/>
      <c r="I256" s="58"/>
      <c r="J256" s="58"/>
      <c r="K256" s="55"/>
      <c r="L256" s="59"/>
      <c r="M256" s="59"/>
      <c r="N256" s="59"/>
      <c r="O256" s="54"/>
      <c r="P256" s="60"/>
      <c r="Q256" s="66"/>
      <c r="R256" s="67"/>
      <c r="S256" s="56"/>
      <c r="T256" s="56"/>
      <c r="U256" s="63"/>
      <c r="V256" s="64"/>
      <c r="W256" s="55"/>
      <c r="X256" s="63"/>
      <c r="Y256" s="54"/>
      <c r="Z256" s="65"/>
      <c r="AA256" s="70"/>
      <c r="AB256" s="71"/>
      <c r="AC256" s="56"/>
      <c r="AD256" s="56"/>
      <c r="AE256" s="64"/>
      <c r="AF256" s="64"/>
      <c r="AG256" s="55"/>
      <c r="AH256" s="68"/>
      <c r="AI256" s="54"/>
      <c r="AJ256" s="69"/>
      <c r="AK256" s="61"/>
      <c r="AL256" s="62"/>
      <c r="AM256" s="56"/>
      <c r="AN256" s="56"/>
      <c r="AO256" s="64"/>
      <c r="AP256" s="64"/>
      <c r="AQ256" s="55"/>
      <c r="AR256" s="68"/>
      <c r="AS256" s="54"/>
      <c r="AT256" s="69"/>
      <c r="AU256" s="61"/>
      <c r="AV256" s="62"/>
      <c r="AW256" s="56"/>
      <c r="AX256" s="56"/>
      <c r="AY256" s="64"/>
      <c r="AZ256" s="64"/>
      <c r="BA256" s="55"/>
      <c r="BB256" s="72"/>
      <c r="BC256" s="68"/>
      <c r="BD256" s="69"/>
      <c r="BE256" s="70"/>
      <c r="BF256" s="71"/>
      <c r="BG256" s="56"/>
      <c r="BH256" s="56"/>
      <c r="BI256" s="64"/>
      <c r="BJ256" s="64"/>
      <c r="BK256" s="57"/>
      <c r="BL256" s="73"/>
      <c r="BM256" s="70"/>
      <c r="BN256" s="74"/>
      <c r="BO256" s="75"/>
      <c r="BP256" s="66"/>
      <c r="BQ256" s="74"/>
    </row>
    <row r="257" spans="1:69" s="44" customFormat="1" ht="22.35" customHeight="1" x14ac:dyDescent="0.2">
      <c r="A257" s="100"/>
      <c r="B257" s="100"/>
      <c r="C257" s="100"/>
      <c r="D257" s="54"/>
      <c r="E257" s="55"/>
      <c r="F257" s="56"/>
      <c r="G257" s="56"/>
      <c r="H257" s="57"/>
      <c r="I257" s="58"/>
      <c r="J257" s="58"/>
      <c r="K257" s="55"/>
      <c r="L257" s="59"/>
      <c r="M257" s="59"/>
      <c r="N257" s="59"/>
      <c r="O257" s="54"/>
      <c r="P257" s="60"/>
      <c r="Q257" s="66"/>
      <c r="R257" s="67"/>
      <c r="S257" s="56"/>
      <c r="T257" s="56"/>
      <c r="U257" s="63"/>
      <c r="V257" s="64"/>
      <c r="W257" s="55"/>
      <c r="X257" s="63"/>
      <c r="Y257" s="54"/>
      <c r="Z257" s="65"/>
      <c r="AA257" s="66"/>
      <c r="AB257" s="67"/>
      <c r="AC257" s="56"/>
      <c r="AD257" s="56"/>
      <c r="AE257" s="64"/>
      <c r="AF257" s="64"/>
      <c r="AG257" s="55"/>
      <c r="AH257" s="68"/>
      <c r="AI257" s="54"/>
      <c r="AJ257" s="69"/>
      <c r="AK257" s="76"/>
      <c r="AL257" s="59"/>
      <c r="AM257" s="56"/>
      <c r="AN257" s="56"/>
      <c r="AO257" s="64"/>
      <c r="AP257" s="64"/>
      <c r="AQ257" s="55"/>
      <c r="AR257" s="68"/>
      <c r="AS257" s="54"/>
      <c r="AT257" s="69"/>
      <c r="AU257" s="61"/>
      <c r="AV257" s="62"/>
      <c r="AW257" s="56"/>
      <c r="AX257" s="56"/>
      <c r="AY257" s="64"/>
      <c r="AZ257" s="64"/>
      <c r="BA257" s="55"/>
      <c r="BB257" s="72"/>
      <c r="BC257" s="68"/>
      <c r="BD257" s="69"/>
      <c r="BE257" s="66"/>
      <c r="BF257" s="67"/>
      <c r="BG257" s="56"/>
      <c r="BH257" s="56"/>
      <c r="BI257" s="64"/>
      <c r="BJ257" s="64"/>
      <c r="BK257" s="57"/>
      <c r="BL257" s="73"/>
      <c r="BM257" s="70"/>
      <c r="BN257" s="74"/>
      <c r="BO257" s="75"/>
      <c r="BP257" s="66"/>
      <c r="BQ257" s="74"/>
    </row>
    <row r="258" spans="1:69" s="44" customFormat="1" ht="22.35" customHeight="1" x14ac:dyDescent="0.2">
      <c r="A258" s="100"/>
      <c r="B258" s="100"/>
      <c r="C258" s="100"/>
      <c r="D258" s="54"/>
      <c r="E258" s="55"/>
      <c r="F258" s="56"/>
      <c r="G258" s="56"/>
      <c r="H258" s="57"/>
      <c r="I258" s="58"/>
      <c r="J258" s="58"/>
      <c r="K258" s="55"/>
      <c r="L258" s="59"/>
      <c r="M258" s="59"/>
      <c r="N258" s="59"/>
      <c r="O258" s="54"/>
      <c r="P258" s="60"/>
      <c r="Q258" s="66"/>
      <c r="R258" s="67"/>
      <c r="S258" s="56"/>
      <c r="T258" s="56"/>
      <c r="U258" s="63"/>
      <c r="V258" s="64"/>
      <c r="W258" s="55"/>
      <c r="X258" s="63"/>
      <c r="Y258" s="54"/>
      <c r="Z258" s="65"/>
      <c r="AA258" s="70"/>
      <c r="AB258" s="71"/>
      <c r="AC258" s="56"/>
      <c r="AD258" s="56"/>
      <c r="AE258" s="64"/>
      <c r="AF258" s="64"/>
      <c r="AG258" s="55"/>
      <c r="AH258" s="68"/>
      <c r="AI258" s="54"/>
      <c r="AJ258" s="69"/>
      <c r="AK258" s="76"/>
      <c r="AL258" s="59"/>
      <c r="AM258" s="56"/>
      <c r="AN258" s="56"/>
      <c r="AO258" s="64"/>
      <c r="AP258" s="64"/>
      <c r="AQ258" s="55"/>
      <c r="AR258" s="68"/>
      <c r="AS258" s="54"/>
      <c r="AT258" s="69"/>
      <c r="AU258" s="61"/>
      <c r="AV258" s="62"/>
      <c r="AW258" s="56"/>
      <c r="AX258" s="56"/>
      <c r="AY258" s="64"/>
      <c r="AZ258" s="64"/>
      <c r="BA258" s="55"/>
      <c r="BB258" s="72"/>
      <c r="BC258" s="68"/>
      <c r="BD258" s="69"/>
      <c r="BE258" s="70"/>
      <c r="BF258" s="71"/>
      <c r="BG258" s="56"/>
      <c r="BH258" s="56"/>
      <c r="BI258" s="64"/>
      <c r="BJ258" s="64"/>
      <c r="BK258" s="57"/>
      <c r="BL258" s="73"/>
      <c r="BM258" s="70"/>
      <c r="BN258" s="74"/>
      <c r="BO258" s="75"/>
      <c r="BP258" s="66"/>
      <c r="BQ258" s="74"/>
    </row>
    <row r="259" spans="1:69" s="44" customFormat="1" ht="22.35" customHeight="1" x14ac:dyDescent="0.2">
      <c r="A259" s="100"/>
      <c r="B259" s="100"/>
      <c r="C259" s="100"/>
      <c r="D259" s="54"/>
      <c r="E259" s="55"/>
      <c r="F259" s="56"/>
      <c r="G259" s="56"/>
      <c r="H259" s="57"/>
      <c r="I259" s="58"/>
      <c r="J259" s="58"/>
      <c r="K259" s="55"/>
      <c r="L259" s="59"/>
      <c r="M259" s="59"/>
      <c r="N259" s="59"/>
      <c r="O259" s="54"/>
      <c r="P259" s="60"/>
      <c r="Q259" s="70"/>
      <c r="R259" s="71"/>
      <c r="S259" s="56"/>
      <c r="T259" s="56"/>
      <c r="U259" s="63"/>
      <c r="V259" s="64"/>
      <c r="W259" s="55"/>
      <c r="X259" s="63"/>
      <c r="Y259" s="54"/>
      <c r="Z259" s="65"/>
      <c r="AA259" s="61"/>
      <c r="AB259" s="62"/>
      <c r="AC259" s="56"/>
      <c r="AD259" s="56"/>
      <c r="AE259" s="64"/>
      <c r="AF259" s="64"/>
      <c r="AG259" s="55"/>
      <c r="AH259" s="68"/>
      <c r="AI259" s="54"/>
      <c r="AJ259" s="69"/>
      <c r="AK259" s="76"/>
      <c r="AL259" s="59"/>
      <c r="AM259" s="56"/>
      <c r="AN259" s="56"/>
      <c r="AO259" s="64"/>
      <c r="AP259" s="64"/>
      <c r="AQ259" s="55"/>
      <c r="AR259" s="68"/>
      <c r="AS259" s="54"/>
      <c r="AT259" s="69"/>
      <c r="AU259" s="61"/>
      <c r="AV259" s="62"/>
      <c r="AW259" s="56"/>
      <c r="AX259" s="56"/>
      <c r="AY259" s="64"/>
      <c r="AZ259" s="64"/>
      <c r="BA259" s="55"/>
      <c r="BB259" s="72"/>
      <c r="BC259" s="68"/>
      <c r="BD259" s="69"/>
      <c r="BE259" s="70"/>
      <c r="BF259" s="71"/>
      <c r="BG259" s="56"/>
      <c r="BH259" s="56"/>
      <c r="BI259" s="64"/>
      <c r="BJ259" s="64"/>
      <c r="BK259" s="57"/>
      <c r="BL259" s="73"/>
      <c r="BM259" s="76"/>
      <c r="BN259" s="74"/>
      <c r="BO259" s="75"/>
      <c r="BP259" s="66"/>
      <c r="BQ259" s="74"/>
    </row>
    <row r="260" spans="1:69" s="44" customFormat="1" ht="22.35" customHeight="1" x14ac:dyDescent="0.2">
      <c r="A260" s="100"/>
      <c r="B260" s="100"/>
      <c r="C260" s="100"/>
      <c r="D260" s="54"/>
      <c r="E260" s="55"/>
      <c r="F260" s="56"/>
      <c r="G260" s="56"/>
      <c r="H260" s="57"/>
      <c r="I260" s="58"/>
      <c r="J260" s="58"/>
      <c r="K260" s="55"/>
      <c r="L260" s="59"/>
      <c r="M260" s="59"/>
      <c r="N260" s="59"/>
      <c r="O260" s="54"/>
      <c r="P260" s="60"/>
      <c r="Q260" s="66"/>
      <c r="R260" s="67"/>
      <c r="S260" s="56"/>
      <c r="T260" s="56"/>
      <c r="U260" s="63"/>
      <c r="V260" s="64"/>
      <c r="W260" s="55"/>
      <c r="X260" s="63"/>
      <c r="Y260" s="54"/>
      <c r="Z260" s="65"/>
      <c r="AA260" s="66"/>
      <c r="AB260" s="67"/>
      <c r="AC260" s="56"/>
      <c r="AD260" s="56"/>
      <c r="AE260" s="64"/>
      <c r="AF260" s="64"/>
      <c r="AG260" s="55"/>
      <c r="AH260" s="68"/>
      <c r="AI260" s="54"/>
      <c r="AJ260" s="69"/>
      <c r="AK260" s="70"/>
      <c r="AL260" s="71"/>
      <c r="AM260" s="56"/>
      <c r="AN260" s="56"/>
      <c r="AO260" s="64"/>
      <c r="AP260" s="64"/>
      <c r="AQ260" s="55"/>
      <c r="AR260" s="68"/>
      <c r="AS260" s="54"/>
      <c r="AT260" s="69"/>
      <c r="AU260" s="61"/>
      <c r="AV260" s="62"/>
      <c r="AW260" s="56"/>
      <c r="AX260" s="56"/>
      <c r="AY260" s="64"/>
      <c r="AZ260" s="64"/>
      <c r="BA260" s="55"/>
      <c r="BB260" s="72"/>
      <c r="BC260" s="68"/>
      <c r="BD260" s="69"/>
      <c r="BE260" s="66"/>
      <c r="BF260" s="67"/>
      <c r="BG260" s="56"/>
      <c r="BH260" s="56"/>
      <c r="BI260" s="64"/>
      <c r="BJ260" s="64"/>
      <c r="BK260" s="57"/>
      <c r="BL260" s="73"/>
      <c r="BM260" s="76"/>
      <c r="BN260" s="74"/>
      <c r="BO260" s="75"/>
      <c r="BP260" s="66"/>
      <c r="BQ260" s="74"/>
    </row>
    <row r="261" spans="1:69" s="44" customFormat="1" ht="22.35" customHeight="1" x14ac:dyDescent="0.2">
      <c r="A261" s="100"/>
      <c r="B261" s="100"/>
      <c r="C261" s="100"/>
      <c r="D261" s="54"/>
      <c r="E261" s="55"/>
      <c r="F261" s="56"/>
      <c r="G261" s="56"/>
      <c r="H261" s="57"/>
      <c r="I261" s="58"/>
      <c r="J261" s="58"/>
      <c r="K261" s="55"/>
      <c r="L261" s="59"/>
      <c r="M261" s="59"/>
      <c r="N261" s="59"/>
      <c r="O261" s="54"/>
      <c r="P261" s="60"/>
      <c r="Q261" s="66"/>
      <c r="R261" s="67"/>
      <c r="S261" s="56"/>
      <c r="T261" s="56"/>
      <c r="U261" s="63"/>
      <c r="V261" s="64"/>
      <c r="W261" s="55"/>
      <c r="X261" s="63"/>
      <c r="Y261" s="54"/>
      <c r="Z261" s="65"/>
      <c r="AA261" s="76"/>
      <c r="AB261" s="59"/>
      <c r="AC261" s="56"/>
      <c r="AD261" s="56"/>
      <c r="AE261" s="64"/>
      <c r="AF261" s="64"/>
      <c r="AG261" s="55"/>
      <c r="AH261" s="68"/>
      <c r="AI261" s="54"/>
      <c r="AJ261" s="69"/>
      <c r="AK261" s="70"/>
      <c r="AL261" s="71"/>
      <c r="AM261" s="56"/>
      <c r="AN261" s="56"/>
      <c r="AO261" s="64"/>
      <c r="AP261" s="64"/>
      <c r="AQ261" s="55"/>
      <c r="AR261" s="68"/>
      <c r="AS261" s="54"/>
      <c r="AT261" s="69"/>
      <c r="AU261" s="61"/>
      <c r="AV261" s="62"/>
      <c r="AW261" s="56"/>
      <c r="AX261" s="56"/>
      <c r="AY261" s="64"/>
      <c r="AZ261" s="64"/>
      <c r="BA261" s="55"/>
      <c r="BB261" s="72"/>
      <c r="BC261" s="68"/>
      <c r="BD261" s="69"/>
      <c r="BE261" s="66"/>
      <c r="BF261" s="67"/>
      <c r="BG261" s="56"/>
      <c r="BH261" s="56"/>
      <c r="BI261" s="64"/>
      <c r="BJ261" s="64"/>
      <c r="BK261" s="57"/>
      <c r="BL261" s="73"/>
      <c r="BM261" s="70"/>
      <c r="BN261" s="74"/>
      <c r="BO261" s="75"/>
      <c r="BP261" s="66"/>
      <c r="BQ261" s="74"/>
    </row>
    <row r="262" spans="1:69" s="44" customFormat="1" ht="22.35" customHeight="1" x14ac:dyDescent="0.2">
      <c r="A262" s="100"/>
      <c r="B262" s="100"/>
      <c r="C262" s="100"/>
      <c r="D262" s="54"/>
      <c r="E262" s="55"/>
      <c r="F262" s="56"/>
      <c r="G262" s="56"/>
      <c r="H262" s="57"/>
      <c r="I262" s="58"/>
      <c r="J262" s="58"/>
      <c r="K262" s="55"/>
      <c r="L262" s="59"/>
      <c r="M262" s="59"/>
      <c r="N262" s="59"/>
      <c r="O262" s="54"/>
      <c r="P262" s="60"/>
      <c r="Q262" s="66"/>
      <c r="R262" s="67"/>
      <c r="S262" s="56"/>
      <c r="T262" s="56"/>
      <c r="U262" s="63"/>
      <c r="V262" s="64"/>
      <c r="W262" s="55"/>
      <c r="X262" s="63"/>
      <c r="Y262" s="54"/>
      <c r="Z262" s="65"/>
      <c r="AA262" s="66"/>
      <c r="AB262" s="67"/>
      <c r="AC262" s="56"/>
      <c r="AD262" s="56"/>
      <c r="AE262" s="64"/>
      <c r="AF262" s="64"/>
      <c r="AG262" s="55"/>
      <c r="AH262" s="68"/>
      <c r="AI262" s="54"/>
      <c r="AJ262" s="69"/>
      <c r="AK262" s="66"/>
      <c r="AL262" s="67"/>
      <c r="AM262" s="56"/>
      <c r="AN262" s="56"/>
      <c r="AO262" s="64"/>
      <c r="AP262" s="64"/>
      <c r="AQ262" s="55"/>
      <c r="AR262" s="68"/>
      <c r="AS262" s="54"/>
      <c r="AT262" s="69"/>
      <c r="AU262" s="61"/>
      <c r="AV262" s="62"/>
      <c r="AW262" s="56"/>
      <c r="AX262" s="56"/>
      <c r="AY262" s="64"/>
      <c r="AZ262" s="64"/>
      <c r="BA262" s="55"/>
      <c r="BB262" s="72"/>
      <c r="BC262" s="68"/>
      <c r="BD262" s="69"/>
      <c r="BE262" s="66"/>
      <c r="BF262" s="67"/>
      <c r="BG262" s="56"/>
      <c r="BH262" s="56"/>
      <c r="BI262" s="64"/>
      <c r="BJ262" s="64"/>
      <c r="BK262" s="57"/>
      <c r="BL262" s="73"/>
      <c r="BM262" s="70"/>
      <c r="BN262" s="74"/>
      <c r="BO262" s="75"/>
      <c r="BP262" s="66"/>
      <c r="BQ262" s="74"/>
    </row>
    <row r="263" spans="1:69" s="44" customFormat="1" ht="22.35" customHeight="1" x14ac:dyDescent="0.2">
      <c r="A263" s="100"/>
      <c r="B263" s="100"/>
      <c r="C263" s="100"/>
      <c r="D263" s="54"/>
      <c r="E263" s="55"/>
      <c r="F263" s="56"/>
      <c r="G263" s="56"/>
      <c r="H263" s="57"/>
      <c r="I263" s="58"/>
      <c r="J263" s="58"/>
      <c r="K263" s="55"/>
      <c r="L263" s="59"/>
      <c r="M263" s="59"/>
      <c r="N263" s="59"/>
      <c r="O263" s="54"/>
      <c r="P263" s="60"/>
      <c r="Q263" s="66"/>
      <c r="R263" s="67"/>
      <c r="S263" s="56"/>
      <c r="T263" s="56"/>
      <c r="U263" s="63"/>
      <c r="V263" s="64"/>
      <c r="W263" s="55"/>
      <c r="X263" s="63"/>
      <c r="Y263" s="54"/>
      <c r="Z263" s="65"/>
      <c r="AA263" s="70"/>
      <c r="AB263" s="71"/>
      <c r="AC263" s="56"/>
      <c r="AD263" s="56"/>
      <c r="AE263" s="64"/>
      <c r="AF263" s="64"/>
      <c r="AG263" s="55"/>
      <c r="AH263" s="68"/>
      <c r="AI263" s="54"/>
      <c r="AJ263" s="69"/>
      <c r="AK263" s="61"/>
      <c r="AL263" s="62"/>
      <c r="AM263" s="56"/>
      <c r="AN263" s="56"/>
      <c r="AO263" s="64"/>
      <c r="AP263" s="64"/>
      <c r="AQ263" s="55"/>
      <c r="AR263" s="68"/>
      <c r="AS263" s="54"/>
      <c r="AT263" s="69"/>
      <c r="AU263" s="61"/>
      <c r="AV263" s="62"/>
      <c r="AW263" s="56"/>
      <c r="AX263" s="56"/>
      <c r="AY263" s="64"/>
      <c r="AZ263" s="64"/>
      <c r="BA263" s="55"/>
      <c r="BB263" s="72"/>
      <c r="BC263" s="68"/>
      <c r="BD263" s="69"/>
      <c r="BE263" s="70"/>
      <c r="BF263" s="71"/>
      <c r="BG263" s="56"/>
      <c r="BH263" s="56"/>
      <c r="BI263" s="64"/>
      <c r="BJ263" s="64"/>
      <c r="BK263" s="57"/>
      <c r="BL263" s="73"/>
      <c r="BM263" s="76"/>
      <c r="BN263" s="74"/>
      <c r="BO263" s="75"/>
      <c r="BP263" s="66"/>
      <c r="BQ263" s="74"/>
    </row>
    <row r="264" spans="1:69" s="44" customFormat="1" ht="22.35" customHeight="1" x14ac:dyDescent="0.2">
      <c r="A264" s="100"/>
      <c r="B264" s="100"/>
      <c r="C264" s="100"/>
      <c r="D264" s="54"/>
      <c r="E264" s="55"/>
      <c r="F264" s="56"/>
      <c r="G264" s="56"/>
      <c r="H264" s="57"/>
      <c r="I264" s="58"/>
      <c r="J264" s="58"/>
      <c r="K264" s="55"/>
      <c r="L264" s="59"/>
      <c r="M264" s="59"/>
      <c r="N264" s="59"/>
      <c r="O264" s="54"/>
      <c r="P264" s="60"/>
      <c r="Q264" s="66"/>
      <c r="R264" s="67"/>
      <c r="S264" s="56"/>
      <c r="T264" s="56"/>
      <c r="U264" s="63"/>
      <c r="V264" s="64"/>
      <c r="W264" s="55"/>
      <c r="X264" s="63"/>
      <c r="Y264" s="54"/>
      <c r="Z264" s="65"/>
      <c r="AA264" s="70"/>
      <c r="AB264" s="71"/>
      <c r="AC264" s="56"/>
      <c r="AD264" s="56"/>
      <c r="AE264" s="64"/>
      <c r="AF264" s="64"/>
      <c r="AG264" s="55"/>
      <c r="AH264" s="68"/>
      <c r="AI264" s="54"/>
      <c r="AJ264" s="69"/>
      <c r="AK264" s="61"/>
      <c r="AL264" s="62"/>
      <c r="AM264" s="56"/>
      <c r="AN264" s="56"/>
      <c r="AO264" s="64"/>
      <c r="AP264" s="64"/>
      <c r="AQ264" s="55"/>
      <c r="AR264" s="68"/>
      <c r="AS264" s="54"/>
      <c r="AT264" s="69"/>
      <c r="AU264" s="61"/>
      <c r="AV264" s="62"/>
      <c r="AW264" s="56"/>
      <c r="AX264" s="56"/>
      <c r="AY264" s="64"/>
      <c r="AZ264" s="64"/>
      <c r="BA264" s="55"/>
      <c r="BB264" s="72"/>
      <c r="BC264" s="68"/>
      <c r="BD264" s="69"/>
      <c r="BE264" s="76"/>
      <c r="BF264" s="59"/>
      <c r="BG264" s="56"/>
      <c r="BH264" s="56"/>
      <c r="BI264" s="64"/>
      <c r="BJ264" s="64"/>
      <c r="BK264" s="57"/>
      <c r="BL264" s="73"/>
      <c r="BM264" s="70"/>
      <c r="BN264" s="74"/>
      <c r="BO264" s="75"/>
      <c r="BP264" s="66"/>
      <c r="BQ264" s="74"/>
    </row>
    <row r="265" spans="1:69" s="44" customFormat="1" ht="22.35" customHeight="1" x14ac:dyDescent="0.2">
      <c r="A265" s="100"/>
      <c r="B265" s="100"/>
      <c r="C265" s="100"/>
      <c r="D265" s="54"/>
      <c r="E265" s="55"/>
      <c r="F265" s="56"/>
      <c r="G265" s="56"/>
      <c r="H265" s="57"/>
      <c r="I265" s="58"/>
      <c r="J265" s="58"/>
      <c r="K265" s="55"/>
      <c r="L265" s="59"/>
      <c r="M265" s="59"/>
      <c r="N265" s="59"/>
      <c r="O265" s="54"/>
      <c r="P265" s="60"/>
      <c r="Q265" s="66"/>
      <c r="R265" s="67"/>
      <c r="S265" s="56"/>
      <c r="T265" s="56"/>
      <c r="U265" s="63"/>
      <c r="V265" s="64"/>
      <c r="W265" s="55"/>
      <c r="X265" s="63"/>
      <c r="Y265" s="54"/>
      <c r="Z265" s="65"/>
      <c r="AA265" s="61"/>
      <c r="AB265" s="62"/>
      <c r="AC265" s="56"/>
      <c r="AD265" s="56"/>
      <c r="AE265" s="64"/>
      <c r="AF265" s="64"/>
      <c r="AG265" s="55"/>
      <c r="AH265" s="68"/>
      <c r="AI265" s="54"/>
      <c r="AJ265" s="69"/>
      <c r="AK265" s="76"/>
      <c r="AL265" s="59"/>
      <c r="AM265" s="56"/>
      <c r="AN265" s="56"/>
      <c r="AO265" s="64"/>
      <c r="AP265" s="64"/>
      <c r="AQ265" s="55"/>
      <c r="AR265" s="68"/>
      <c r="AS265" s="54"/>
      <c r="AT265" s="69"/>
      <c r="AU265" s="61"/>
      <c r="AV265" s="62"/>
      <c r="AW265" s="56"/>
      <c r="AX265" s="56"/>
      <c r="AY265" s="64"/>
      <c r="AZ265" s="64"/>
      <c r="BA265" s="55"/>
      <c r="BB265" s="72"/>
      <c r="BC265" s="68"/>
      <c r="BD265" s="69"/>
      <c r="BE265" s="70"/>
      <c r="BF265" s="71"/>
      <c r="BG265" s="56"/>
      <c r="BH265" s="56"/>
      <c r="BI265" s="64"/>
      <c r="BJ265" s="64"/>
      <c r="BK265" s="57"/>
      <c r="BL265" s="73"/>
      <c r="BM265" s="76"/>
      <c r="BN265" s="74"/>
      <c r="BO265" s="75"/>
      <c r="BP265" s="66"/>
      <c r="BQ265" s="74"/>
    </row>
    <row r="266" spans="1:69" s="44" customFormat="1" ht="22.35" customHeight="1" x14ac:dyDescent="0.2">
      <c r="A266" s="100"/>
      <c r="B266" s="100"/>
      <c r="C266" s="100"/>
      <c r="D266" s="54"/>
      <c r="E266" s="55"/>
      <c r="F266" s="56"/>
      <c r="G266" s="56"/>
      <c r="H266" s="57"/>
      <c r="I266" s="58"/>
      <c r="J266" s="58"/>
      <c r="K266" s="55"/>
      <c r="L266" s="59"/>
      <c r="M266" s="59"/>
      <c r="N266" s="59"/>
      <c r="O266" s="54"/>
      <c r="P266" s="60"/>
      <c r="Q266" s="66"/>
      <c r="R266" s="67"/>
      <c r="S266" s="56"/>
      <c r="T266" s="56"/>
      <c r="U266" s="63"/>
      <c r="V266" s="64"/>
      <c r="W266" s="55"/>
      <c r="X266" s="63"/>
      <c r="Y266" s="54"/>
      <c r="Z266" s="65"/>
      <c r="AA266" s="66"/>
      <c r="AB266" s="67"/>
      <c r="AC266" s="56"/>
      <c r="AD266" s="56"/>
      <c r="AE266" s="64"/>
      <c r="AF266" s="64"/>
      <c r="AG266" s="55"/>
      <c r="AH266" s="68"/>
      <c r="AI266" s="54"/>
      <c r="AJ266" s="69"/>
      <c r="AK266" s="66"/>
      <c r="AL266" s="67"/>
      <c r="AM266" s="56"/>
      <c r="AN266" s="56"/>
      <c r="AO266" s="64"/>
      <c r="AP266" s="64"/>
      <c r="AQ266" s="55"/>
      <c r="AR266" s="68"/>
      <c r="AS266" s="54"/>
      <c r="AT266" s="69"/>
      <c r="AU266" s="66"/>
      <c r="AV266" s="67"/>
      <c r="AW266" s="56"/>
      <c r="AX266" s="56"/>
      <c r="AY266" s="64"/>
      <c r="AZ266" s="64"/>
      <c r="BA266" s="55"/>
      <c r="BB266" s="72"/>
      <c r="BC266" s="68"/>
      <c r="BD266" s="69"/>
      <c r="BE266" s="66"/>
      <c r="BF266" s="67"/>
      <c r="BG266" s="56"/>
      <c r="BH266" s="56"/>
      <c r="BI266" s="64"/>
      <c r="BJ266" s="64"/>
      <c r="BK266" s="57"/>
      <c r="BL266" s="73"/>
      <c r="BM266" s="70"/>
      <c r="BN266" s="74"/>
      <c r="BO266" s="75"/>
      <c r="BP266" s="66"/>
      <c r="BQ266" s="74"/>
    </row>
    <row r="267" spans="1:69" s="44" customFormat="1" ht="22.35" customHeight="1" x14ac:dyDescent="0.2">
      <c r="A267" s="100"/>
      <c r="B267" s="100"/>
      <c r="C267" s="100"/>
      <c r="D267" s="54"/>
      <c r="E267" s="55"/>
      <c r="F267" s="56"/>
      <c r="G267" s="56"/>
      <c r="H267" s="57"/>
      <c r="I267" s="58"/>
      <c r="J267" s="58"/>
      <c r="K267" s="55"/>
      <c r="L267" s="59"/>
      <c r="M267" s="59"/>
      <c r="N267" s="59"/>
      <c r="O267" s="54"/>
      <c r="P267" s="60"/>
      <c r="Q267" s="61"/>
      <c r="R267" s="62"/>
      <c r="S267" s="56"/>
      <c r="T267" s="56"/>
      <c r="U267" s="63"/>
      <c r="V267" s="64"/>
      <c r="W267" s="55"/>
      <c r="X267" s="63"/>
      <c r="Y267" s="54"/>
      <c r="Z267" s="65"/>
      <c r="AA267" s="61"/>
      <c r="AB267" s="62"/>
      <c r="AC267" s="56"/>
      <c r="AD267" s="56"/>
      <c r="AE267" s="64"/>
      <c r="AF267" s="64"/>
      <c r="AG267" s="55"/>
      <c r="AH267" s="68"/>
      <c r="AI267" s="54"/>
      <c r="AJ267" s="69"/>
      <c r="AK267" s="61"/>
      <c r="AL267" s="62"/>
      <c r="AM267" s="56"/>
      <c r="AN267" s="56"/>
      <c r="AO267" s="64"/>
      <c r="AP267" s="64"/>
      <c r="AQ267" s="55"/>
      <c r="AR267" s="68"/>
      <c r="AS267" s="54"/>
      <c r="AT267" s="69"/>
      <c r="AU267" s="61"/>
      <c r="AV267" s="62"/>
      <c r="AW267" s="56"/>
      <c r="AX267" s="56"/>
      <c r="AY267" s="64"/>
      <c r="AZ267" s="64"/>
      <c r="BA267" s="55"/>
      <c r="BB267" s="72"/>
      <c r="BC267" s="68"/>
      <c r="BD267" s="69"/>
      <c r="BE267" s="61"/>
      <c r="BF267" s="62"/>
      <c r="BG267" s="56"/>
      <c r="BH267" s="56"/>
      <c r="BI267" s="64"/>
      <c r="BJ267" s="64"/>
      <c r="BK267" s="57"/>
      <c r="BL267" s="73"/>
      <c r="BM267" s="61"/>
      <c r="BN267" s="74"/>
      <c r="BO267" s="75"/>
      <c r="BP267" s="66"/>
      <c r="BQ267" s="74"/>
    </row>
    <row r="268" spans="1:69" s="44" customFormat="1" ht="22.35" customHeight="1" x14ac:dyDescent="0.2">
      <c r="A268" s="100"/>
      <c r="B268" s="100"/>
      <c r="C268" s="100"/>
      <c r="D268" s="54"/>
      <c r="E268" s="55"/>
      <c r="F268" s="56"/>
      <c r="G268" s="56"/>
      <c r="H268" s="57"/>
      <c r="I268" s="58"/>
      <c r="J268" s="58"/>
      <c r="K268" s="55"/>
      <c r="L268" s="59"/>
      <c r="M268" s="59"/>
      <c r="N268" s="59"/>
      <c r="O268" s="54"/>
      <c r="P268" s="60"/>
      <c r="Q268" s="66"/>
      <c r="R268" s="67"/>
      <c r="S268" s="56"/>
      <c r="T268" s="56"/>
      <c r="U268" s="63"/>
      <c r="V268" s="64"/>
      <c r="W268" s="55"/>
      <c r="X268" s="63"/>
      <c r="Y268" s="54"/>
      <c r="Z268" s="65"/>
      <c r="AA268" s="66"/>
      <c r="AB268" s="67"/>
      <c r="AC268" s="56"/>
      <c r="AD268" s="56"/>
      <c r="AE268" s="64"/>
      <c r="AF268" s="64"/>
      <c r="AG268" s="55"/>
      <c r="AH268" s="68"/>
      <c r="AI268" s="54"/>
      <c r="AJ268" s="69"/>
      <c r="AK268" s="66"/>
      <c r="AL268" s="67"/>
      <c r="AM268" s="56"/>
      <c r="AN268" s="56"/>
      <c r="AO268" s="64"/>
      <c r="AP268" s="64"/>
      <c r="AQ268" s="55"/>
      <c r="AR268" s="68"/>
      <c r="AS268" s="54"/>
      <c r="AT268" s="69"/>
      <c r="AU268" s="70"/>
      <c r="AV268" s="71"/>
      <c r="AW268" s="56"/>
      <c r="AX268" s="56"/>
      <c r="AY268" s="64"/>
      <c r="AZ268" s="64"/>
      <c r="BA268" s="55"/>
      <c r="BB268" s="72"/>
      <c r="BC268" s="68"/>
      <c r="BD268" s="69"/>
      <c r="BE268" s="66"/>
      <c r="BF268" s="67"/>
      <c r="BG268" s="56"/>
      <c r="BH268" s="56"/>
      <c r="BI268" s="64"/>
      <c r="BJ268" s="64"/>
      <c r="BK268" s="57"/>
      <c r="BL268" s="73"/>
      <c r="BM268" s="76"/>
      <c r="BN268" s="74"/>
      <c r="BO268" s="75"/>
      <c r="BP268" s="66"/>
      <c r="BQ268" s="74"/>
    </row>
    <row r="269" spans="1:69" s="44" customFormat="1" ht="22.35" customHeight="1" x14ac:dyDescent="0.2">
      <c r="A269" s="100"/>
      <c r="B269" s="100"/>
      <c r="C269" s="100"/>
      <c r="D269" s="54"/>
      <c r="E269" s="55"/>
      <c r="F269" s="56"/>
      <c r="G269" s="56"/>
      <c r="H269" s="57"/>
      <c r="I269" s="58"/>
      <c r="J269" s="58"/>
      <c r="K269" s="55"/>
      <c r="L269" s="59"/>
      <c r="M269" s="59"/>
      <c r="N269" s="59"/>
      <c r="O269" s="54"/>
      <c r="P269" s="60"/>
      <c r="Q269" s="66"/>
      <c r="R269" s="67"/>
      <c r="S269" s="56"/>
      <c r="T269" s="56"/>
      <c r="U269" s="63"/>
      <c r="V269" s="64"/>
      <c r="W269" s="55"/>
      <c r="X269" s="63"/>
      <c r="Y269" s="54"/>
      <c r="Z269" s="65"/>
      <c r="AA269" s="70"/>
      <c r="AB269" s="71"/>
      <c r="AC269" s="56"/>
      <c r="AD269" s="56"/>
      <c r="AE269" s="64"/>
      <c r="AF269" s="64"/>
      <c r="AG269" s="55"/>
      <c r="AH269" s="68"/>
      <c r="AI269" s="54"/>
      <c r="AJ269" s="69"/>
      <c r="AK269" s="76"/>
      <c r="AL269" s="59"/>
      <c r="AM269" s="56"/>
      <c r="AN269" s="56"/>
      <c r="AO269" s="64"/>
      <c r="AP269" s="64"/>
      <c r="AQ269" s="55"/>
      <c r="AR269" s="68"/>
      <c r="AS269" s="54"/>
      <c r="AT269" s="69"/>
      <c r="AU269" s="61"/>
      <c r="AV269" s="62"/>
      <c r="AW269" s="56"/>
      <c r="AX269" s="56"/>
      <c r="AY269" s="64"/>
      <c r="AZ269" s="64"/>
      <c r="BA269" s="55"/>
      <c r="BB269" s="72"/>
      <c r="BC269" s="68"/>
      <c r="BD269" s="69"/>
      <c r="BE269" s="70"/>
      <c r="BF269" s="71"/>
      <c r="BG269" s="56"/>
      <c r="BH269" s="56"/>
      <c r="BI269" s="64"/>
      <c r="BJ269" s="64"/>
      <c r="BK269" s="57"/>
      <c r="BL269" s="73"/>
      <c r="BM269" s="76"/>
      <c r="BN269" s="74"/>
      <c r="BO269" s="75"/>
      <c r="BP269" s="66"/>
      <c r="BQ269" s="74"/>
    </row>
    <row r="270" spans="1:69" s="44" customFormat="1" ht="22.35" customHeight="1" x14ac:dyDescent="0.2">
      <c r="A270" s="100"/>
      <c r="B270" s="100"/>
      <c r="C270" s="100"/>
      <c r="D270" s="54"/>
      <c r="E270" s="55"/>
      <c r="F270" s="56"/>
      <c r="G270" s="56"/>
      <c r="H270" s="57"/>
      <c r="I270" s="58"/>
      <c r="J270" s="58"/>
      <c r="K270" s="55"/>
      <c r="L270" s="59"/>
      <c r="M270" s="59"/>
      <c r="N270" s="59"/>
      <c r="O270" s="54"/>
      <c r="P270" s="60"/>
      <c r="Q270" s="66"/>
      <c r="R270" s="67"/>
      <c r="S270" s="56"/>
      <c r="T270" s="56"/>
      <c r="U270" s="63"/>
      <c r="V270" s="64"/>
      <c r="W270" s="55"/>
      <c r="X270" s="63"/>
      <c r="Y270" s="54"/>
      <c r="Z270" s="65"/>
      <c r="AA270" s="61"/>
      <c r="AB270" s="62"/>
      <c r="AC270" s="56"/>
      <c r="AD270" s="56"/>
      <c r="AE270" s="64"/>
      <c r="AF270" s="64"/>
      <c r="AG270" s="55"/>
      <c r="AH270" s="68"/>
      <c r="AI270" s="54"/>
      <c r="AJ270" s="69"/>
      <c r="AK270" s="61"/>
      <c r="AL270" s="62"/>
      <c r="AM270" s="56"/>
      <c r="AN270" s="56"/>
      <c r="AO270" s="64"/>
      <c r="AP270" s="64"/>
      <c r="AQ270" s="55"/>
      <c r="AR270" s="68"/>
      <c r="AS270" s="54"/>
      <c r="AT270" s="69"/>
      <c r="AU270" s="61"/>
      <c r="AV270" s="62"/>
      <c r="AW270" s="56"/>
      <c r="AX270" s="56"/>
      <c r="AY270" s="64"/>
      <c r="AZ270" s="64"/>
      <c r="BA270" s="55"/>
      <c r="BB270" s="72"/>
      <c r="BC270" s="68"/>
      <c r="BD270" s="69"/>
      <c r="BE270" s="76"/>
      <c r="BF270" s="59"/>
      <c r="BG270" s="56"/>
      <c r="BH270" s="56"/>
      <c r="BI270" s="64"/>
      <c r="BJ270" s="64"/>
      <c r="BK270" s="57"/>
      <c r="BL270" s="73"/>
      <c r="BM270" s="70"/>
      <c r="BN270" s="74"/>
      <c r="BO270" s="75"/>
      <c r="BP270" s="66"/>
      <c r="BQ270" s="74"/>
    </row>
    <row r="271" spans="1:69" s="44" customFormat="1" ht="22.35" customHeight="1" x14ac:dyDescent="0.2">
      <c r="A271" s="100"/>
      <c r="B271" s="100"/>
      <c r="C271" s="100"/>
      <c r="D271" s="54"/>
      <c r="E271" s="55"/>
      <c r="F271" s="56"/>
      <c r="G271" s="56"/>
      <c r="H271" s="57"/>
      <c r="I271" s="58"/>
      <c r="J271" s="58"/>
      <c r="K271" s="55"/>
      <c r="L271" s="59"/>
      <c r="M271" s="59"/>
      <c r="N271" s="59"/>
      <c r="O271" s="54"/>
      <c r="P271" s="60"/>
      <c r="Q271" s="66"/>
      <c r="R271" s="67"/>
      <c r="S271" s="56"/>
      <c r="T271" s="56"/>
      <c r="U271" s="63"/>
      <c r="V271" s="64"/>
      <c r="W271" s="55"/>
      <c r="X271" s="63"/>
      <c r="Y271" s="54"/>
      <c r="Z271" s="65"/>
      <c r="AA271" s="66"/>
      <c r="AB271" s="67"/>
      <c r="AC271" s="56"/>
      <c r="AD271" s="56"/>
      <c r="AE271" s="64"/>
      <c r="AF271" s="64"/>
      <c r="AG271" s="55"/>
      <c r="AH271" s="68"/>
      <c r="AI271" s="54"/>
      <c r="AJ271" s="69"/>
      <c r="AK271" s="76"/>
      <c r="AL271" s="59"/>
      <c r="AM271" s="56"/>
      <c r="AN271" s="56"/>
      <c r="AO271" s="64"/>
      <c r="AP271" s="64"/>
      <c r="AQ271" s="55"/>
      <c r="AR271" s="68"/>
      <c r="AS271" s="54"/>
      <c r="AT271" s="69"/>
      <c r="AU271" s="61"/>
      <c r="AV271" s="62"/>
      <c r="AW271" s="56"/>
      <c r="AX271" s="56"/>
      <c r="AY271" s="64"/>
      <c r="AZ271" s="64"/>
      <c r="BA271" s="55"/>
      <c r="BB271" s="72"/>
      <c r="BC271" s="68"/>
      <c r="BD271" s="69"/>
      <c r="BE271" s="66"/>
      <c r="BF271" s="67"/>
      <c r="BG271" s="56"/>
      <c r="BH271" s="56"/>
      <c r="BI271" s="64"/>
      <c r="BJ271" s="64"/>
      <c r="BK271" s="57"/>
      <c r="BL271" s="73"/>
      <c r="BM271" s="76"/>
      <c r="BN271" s="74"/>
      <c r="BO271" s="75"/>
      <c r="BP271" s="66"/>
      <c r="BQ271" s="74"/>
    </row>
    <row r="272" spans="1:69" s="44" customFormat="1" ht="22.35" customHeight="1" x14ac:dyDescent="0.2">
      <c r="A272" s="100"/>
      <c r="B272" s="100"/>
      <c r="C272" s="100"/>
      <c r="D272" s="54"/>
      <c r="E272" s="55"/>
      <c r="F272" s="56"/>
      <c r="G272" s="56"/>
      <c r="H272" s="57"/>
      <c r="I272" s="58"/>
      <c r="J272" s="58"/>
      <c r="K272" s="55"/>
      <c r="L272" s="59"/>
      <c r="M272" s="59"/>
      <c r="N272" s="59"/>
      <c r="O272" s="54"/>
      <c r="P272" s="60"/>
      <c r="Q272" s="66"/>
      <c r="R272" s="67"/>
      <c r="S272" s="56"/>
      <c r="T272" s="56"/>
      <c r="U272" s="63"/>
      <c r="V272" s="64"/>
      <c r="W272" s="55"/>
      <c r="X272" s="63"/>
      <c r="Y272" s="54"/>
      <c r="Z272" s="65"/>
      <c r="AA272" s="61"/>
      <c r="AB272" s="62"/>
      <c r="AC272" s="56"/>
      <c r="AD272" s="56"/>
      <c r="AE272" s="64"/>
      <c r="AF272" s="64"/>
      <c r="AG272" s="55"/>
      <c r="AH272" s="68"/>
      <c r="AI272" s="54"/>
      <c r="AJ272" s="69"/>
      <c r="AK272" s="76"/>
      <c r="AL272" s="59"/>
      <c r="AM272" s="56"/>
      <c r="AN272" s="56"/>
      <c r="AO272" s="64"/>
      <c r="AP272" s="64"/>
      <c r="AQ272" s="55"/>
      <c r="AR272" s="68"/>
      <c r="AS272" s="54"/>
      <c r="AT272" s="69"/>
      <c r="AU272" s="61"/>
      <c r="AV272" s="62"/>
      <c r="AW272" s="56"/>
      <c r="AX272" s="56"/>
      <c r="AY272" s="64"/>
      <c r="AZ272" s="64"/>
      <c r="BA272" s="55"/>
      <c r="BB272" s="72"/>
      <c r="BC272" s="68"/>
      <c r="BD272" s="69"/>
      <c r="BE272" s="66"/>
      <c r="BF272" s="67"/>
      <c r="BG272" s="56"/>
      <c r="BH272" s="56"/>
      <c r="BI272" s="64"/>
      <c r="BJ272" s="64"/>
      <c r="BK272" s="57"/>
      <c r="BL272" s="73"/>
      <c r="BM272" s="70"/>
      <c r="BN272" s="74"/>
      <c r="BO272" s="75"/>
      <c r="BP272" s="66"/>
      <c r="BQ272" s="74"/>
    </row>
    <row r="273" spans="1:69" s="44" customFormat="1" ht="22.35" customHeight="1" x14ac:dyDescent="0.2">
      <c r="A273" s="100"/>
      <c r="B273" s="100"/>
      <c r="C273" s="100"/>
      <c r="D273" s="54"/>
      <c r="E273" s="55"/>
      <c r="F273" s="56"/>
      <c r="G273" s="56"/>
      <c r="H273" s="57"/>
      <c r="I273" s="58"/>
      <c r="J273" s="58"/>
      <c r="K273" s="55"/>
      <c r="L273" s="59"/>
      <c r="M273" s="59"/>
      <c r="N273" s="59"/>
      <c r="O273" s="54"/>
      <c r="P273" s="60"/>
      <c r="Q273" s="61"/>
      <c r="R273" s="62"/>
      <c r="S273" s="56"/>
      <c r="T273" s="56"/>
      <c r="U273" s="63"/>
      <c r="V273" s="64"/>
      <c r="W273" s="55"/>
      <c r="X273" s="63"/>
      <c r="Y273" s="54"/>
      <c r="Z273" s="65"/>
      <c r="AA273" s="76"/>
      <c r="AB273" s="59"/>
      <c r="AC273" s="56"/>
      <c r="AD273" s="56"/>
      <c r="AE273" s="64"/>
      <c r="AF273" s="64"/>
      <c r="AG273" s="55"/>
      <c r="AH273" s="68"/>
      <c r="AI273" s="54"/>
      <c r="AJ273" s="69"/>
      <c r="AK273" s="61"/>
      <c r="AL273" s="62"/>
      <c r="AM273" s="56"/>
      <c r="AN273" s="56"/>
      <c r="AO273" s="64"/>
      <c r="AP273" s="64"/>
      <c r="AQ273" s="55"/>
      <c r="AR273" s="68"/>
      <c r="AS273" s="54"/>
      <c r="AT273" s="69"/>
      <c r="AU273" s="61"/>
      <c r="AV273" s="62"/>
      <c r="AW273" s="56"/>
      <c r="AX273" s="56"/>
      <c r="AY273" s="64"/>
      <c r="AZ273" s="64"/>
      <c r="BA273" s="55"/>
      <c r="BB273" s="72"/>
      <c r="BC273" s="68"/>
      <c r="BD273" s="69"/>
      <c r="BE273" s="61"/>
      <c r="BF273" s="62"/>
      <c r="BG273" s="56"/>
      <c r="BH273" s="56"/>
      <c r="BI273" s="64"/>
      <c r="BJ273" s="64"/>
      <c r="BK273" s="57"/>
      <c r="BL273" s="73"/>
      <c r="BM273" s="70"/>
      <c r="BN273" s="74"/>
      <c r="BO273" s="75"/>
      <c r="BP273" s="66"/>
      <c r="BQ273" s="74"/>
    </row>
    <row r="274" spans="1:69" s="44" customFormat="1" ht="22.35" customHeight="1" x14ac:dyDescent="0.2">
      <c r="A274" s="100"/>
      <c r="B274" s="100"/>
      <c r="C274" s="100"/>
      <c r="D274" s="54"/>
      <c r="E274" s="55"/>
      <c r="F274" s="56"/>
      <c r="G274" s="56"/>
      <c r="H274" s="57"/>
      <c r="I274" s="58"/>
      <c r="J274" s="58"/>
      <c r="K274" s="55"/>
      <c r="L274" s="59"/>
      <c r="M274" s="59"/>
      <c r="N274" s="59"/>
      <c r="O274" s="54"/>
      <c r="P274" s="60"/>
      <c r="Q274" s="66"/>
      <c r="R274" s="67"/>
      <c r="S274" s="56"/>
      <c r="T274" s="56"/>
      <c r="U274" s="63"/>
      <c r="V274" s="64"/>
      <c r="W274" s="55"/>
      <c r="X274" s="63"/>
      <c r="Y274" s="54"/>
      <c r="Z274" s="65"/>
      <c r="AA274" s="76"/>
      <c r="AB274" s="59"/>
      <c r="AC274" s="56"/>
      <c r="AD274" s="56"/>
      <c r="AE274" s="64"/>
      <c r="AF274" s="64"/>
      <c r="AG274" s="55"/>
      <c r="AH274" s="68"/>
      <c r="AI274" s="54"/>
      <c r="AJ274" s="69"/>
      <c r="AK274" s="61"/>
      <c r="AL274" s="62"/>
      <c r="AM274" s="56"/>
      <c r="AN274" s="56"/>
      <c r="AO274" s="64"/>
      <c r="AP274" s="64"/>
      <c r="AQ274" s="55"/>
      <c r="AR274" s="68"/>
      <c r="AS274" s="54"/>
      <c r="AT274" s="69"/>
      <c r="AU274" s="61"/>
      <c r="AV274" s="62"/>
      <c r="AW274" s="56"/>
      <c r="AX274" s="56"/>
      <c r="AY274" s="64"/>
      <c r="AZ274" s="64"/>
      <c r="BA274" s="55"/>
      <c r="BB274" s="72"/>
      <c r="BC274" s="68"/>
      <c r="BD274" s="69"/>
      <c r="BE274" s="76"/>
      <c r="BF274" s="59"/>
      <c r="BG274" s="56"/>
      <c r="BH274" s="56"/>
      <c r="BI274" s="64"/>
      <c r="BJ274" s="64"/>
      <c r="BK274" s="57"/>
      <c r="BL274" s="73"/>
      <c r="BM274" s="70"/>
      <c r="BN274" s="74"/>
      <c r="BO274" s="75"/>
      <c r="BP274" s="66"/>
      <c r="BQ274" s="74"/>
    </row>
    <row r="275" spans="1:69" s="44" customFormat="1" ht="22.35" customHeight="1" x14ac:dyDescent="0.2">
      <c r="A275" s="100"/>
      <c r="B275" s="100"/>
      <c r="C275" s="100"/>
      <c r="D275" s="54"/>
      <c r="E275" s="55"/>
      <c r="F275" s="56"/>
      <c r="G275" s="56"/>
      <c r="H275" s="57"/>
      <c r="I275" s="58"/>
      <c r="J275" s="58"/>
      <c r="K275" s="55"/>
      <c r="L275" s="59"/>
      <c r="M275" s="59"/>
      <c r="N275" s="59"/>
      <c r="O275" s="54"/>
      <c r="P275" s="60"/>
      <c r="Q275" s="66"/>
      <c r="R275" s="67"/>
      <c r="S275" s="56"/>
      <c r="T275" s="56"/>
      <c r="U275" s="63"/>
      <c r="V275" s="64"/>
      <c r="W275" s="55"/>
      <c r="X275" s="63"/>
      <c r="Y275" s="54"/>
      <c r="Z275" s="65"/>
      <c r="AA275" s="76"/>
      <c r="AB275" s="59"/>
      <c r="AC275" s="56"/>
      <c r="AD275" s="56"/>
      <c r="AE275" s="64"/>
      <c r="AF275" s="64"/>
      <c r="AG275" s="55"/>
      <c r="AH275" s="68"/>
      <c r="AI275" s="54"/>
      <c r="AJ275" s="69"/>
      <c r="AK275" s="76"/>
      <c r="AL275" s="59"/>
      <c r="AM275" s="56"/>
      <c r="AN275" s="56"/>
      <c r="AO275" s="64"/>
      <c r="AP275" s="64"/>
      <c r="AQ275" s="55"/>
      <c r="AR275" s="68"/>
      <c r="AS275" s="54"/>
      <c r="AT275" s="69"/>
      <c r="AU275" s="61"/>
      <c r="AV275" s="62"/>
      <c r="AW275" s="56"/>
      <c r="AX275" s="56"/>
      <c r="AY275" s="64"/>
      <c r="AZ275" s="64"/>
      <c r="BA275" s="55"/>
      <c r="BB275" s="72"/>
      <c r="BC275" s="68"/>
      <c r="BD275" s="69"/>
      <c r="BE275" s="66"/>
      <c r="BF275" s="67"/>
      <c r="BG275" s="56"/>
      <c r="BH275" s="56"/>
      <c r="BI275" s="64"/>
      <c r="BJ275" s="64"/>
      <c r="BK275" s="57"/>
      <c r="BL275" s="73"/>
      <c r="BM275" s="76"/>
      <c r="BN275" s="74"/>
      <c r="BO275" s="75"/>
      <c r="BP275" s="66"/>
      <c r="BQ275" s="74"/>
    </row>
    <row r="276" spans="1:69" s="44" customFormat="1" ht="22.35" customHeight="1" x14ac:dyDescent="0.2">
      <c r="A276" s="100"/>
      <c r="B276" s="100"/>
      <c r="C276" s="100"/>
      <c r="D276" s="54"/>
      <c r="E276" s="55"/>
      <c r="F276" s="56"/>
      <c r="G276" s="56"/>
      <c r="H276" s="57"/>
      <c r="I276" s="58"/>
      <c r="J276" s="58"/>
      <c r="K276" s="55"/>
      <c r="L276" s="59"/>
      <c r="M276" s="59"/>
      <c r="N276" s="59"/>
      <c r="O276" s="54"/>
      <c r="P276" s="60"/>
      <c r="Q276" s="66"/>
      <c r="R276" s="67"/>
      <c r="S276" s="56"/>
      <c r="T276" s="56"/>
      <c r="U276" s="63"/>
      <c r="V276" s="64"/>
      <c r="W276" s="55"/>
      <c r="X276" s="63"/>
      <c r="Y276" s="54"/>
      <c r="Z276" s="65"/>
      <c r="AA276" s="76"/>
      <c r="AB276" s="59"/>
      <c r="AC276" s="56"/>
      <c r="AD276" s="56"/>
      <c r="AE276" s="64"/>
      <c r="AF276" s="64"/>
      <c r="AG276" s="55"/>
      <c r="AH276" s="68"/>
      <c r="AI276" s="54"/>
      <c r="AJ276" s="69"/>
      <c r="AK276" s="76"/>
      <c r="AL276" s="59"/>
      <c r="AM276" s="56"/>
      <c r="AN276" s="56"/>
      <c r="AO276" s="64"/>
      <c r="AP276" s="64"/>
      <c r="AQ276" s="55"/>
      <c r="AR276" s="68"/>
      <c r="AS276" s="54"/>
      <c r="AT276" s="69"/>
      <c r="AU276" s="61"/>
      <c r="AV276" s="62"/>
      <c r="AW276" s="56"/>
      <c r="AX276" s="56"/>
      <c r="AY276" s="64"/>
      <c r="AZ276" s="64"/>
      <c r="BA276" s="55"/>
      <c r="BB276" s="72"/>
      <c r="BC276" s="68"/>
      <c r="BD276" s="69"/>
      <c r="BE276" s="66"/>
      <c r="BF276" s="67"/>
      <c r="BG276" s="56"/>
      <c r="BH276" s="56"/>
      <c r="BI276" s="64"/>
      <c r="BJ276" s="64"/>
      <c r="BK276" s="57"/>
      <c r="BL276" s="73"/>
      <c r="BM276" s="76"/>
      <c r="BN276" s="74"/>
      <c r="BO276" s="75"/>
      <c r="BP276" s="66"/>
      <c r="BQ276" s="74"/>
    </row>
    <row r="277" spans="1:69" s="44" customFormat="1" ht="22.35" customHeight="1" x14ac:dyDescent="0.2">
      <c r="A277" s="100"/>
      <c r="B277" s="100"/>
      <c r="C277" s="100"/>
      <c r="D277" s="54"/>
      <c r="E277" s="55"/>
      <c r="F277" s="56"/>
      <c r="G277" s="56"/>
      <c r="H277" s="57"/>
      <c r="I277" s="58"/>
      <c r="J277" s="58"/>
      <c r="K277" s="55"/>
      <c r="L277" s="59"/>
      <c r="M277" s="59"/>
      <c r="N277" s="59"/>
      <c r="O277" s="54"/>
      <c r="P277" s="60"/>
      <c r="Q277" s="66"/>
      <c r="R277" s="67"/>
      <c r="S277" s="56"/>
      <c r="T277" s="56"/>
      <c r="U277" s="63"/>
      <c r="V277" s="64"/>
      <c r="W277" s="55"/>
      <c r="X277" s="63"/>
      <c r="Y277" s="54"/>
      <c r="Z277" s="65"/>
      <c r="AA277" s="66"/>
      <c r="AB277" s="67"/>
      <c r="AC277" s="56"/>
      <c r="AD277" s="56"/>
      <c r="AE277" s="64"/>
      <c r="AF277" s="64"/>
      <c r="AG277" s="55"/>
      <c r="AH277" s="68"/>
      <c r="AI277" s="54"/>
      <c r="AJ277" s="69"/>
      <c r="AK277" s="66"/>
      <c r="AL277" s="67"/>
      <c r="AM277" s="56"/>
      <c r="AN277" s="56"/>
      <c r="AO277" s="64"/>
      <c r="AP277" s="64"/>
      <c r="AQ277" s="55"/>
      <c r="AR277" s="68"/>
      <c r="AS277" s="54"/>
      <c r="AT277" s="69"/>
      <c r="AU277" s="66"/>
      <c r="AV277" s="67"/>
      <c r="AW277" s="56"/>
      <c r="AX277" s="56"/>
      <c r="AY277" s="64"/>
      <c r="AZ277" s="64"/>
      <c r="BA277" s="55"/>
      <c r="BB277" s="72"/>
      <c r="BC277" s="68"/>
      <c r="BD277" s="69"/>
      <c r="BE277" s="66"/>
      <c r="BF277" s="67"/>
      <c r="BG277" s="56"/>
      <c r="BH277" s="56"/>
      <c r="BI277" s="64"/>
      <c r="BJ277" s="64"/>
      <c r="BK277" s="57"/>
      <c r="BL277" s="73"/>
      <c r="BM277" s="70"/>
      <c r="BN277" s="74"/>
      <c r="BO277" s="75"/>
      <c r="BP277" s="66"/>
      <c r="BQ277" s="74"/>
    </row>
    <row r="278" spans="1:69" s="44" customFormat="1" ht="22.35" customHeight="1" x14ac:dyDescent="0.2">
      <c r="A278" s="100"/>
      <c r="B278" s="100"/>
      <c r="C278" s="100"/>
      <c r="D278" s="54"/>
      <c r="E278" s="55"/>
      <c r="F278" s="56"/>
      <c r="G278" s="56"/>
      <c r="H278" s="57"/>
      <c r="I278" s="58"/>
      <c r="J278" s="58"/>
      <c r="K278" s="55"/>
      <c r="L278" s="59"/>
      <c r="M278" s="59"/>
      <c r="N278" s="59"/>
      <c r="O278" s="54"/>
      <c r="P278" s="60"/>
      <c r="Q278" s="66"/>
      <c r="R278" s="67"/>
      <c r="S278" s="56"/>
      <c r="T278" s="56"/>
      <c r="U278" s="63"/>
      <c r="V278" s="64"/>
      <c r="W278" s="55"/>
      <c r="X278" s="63"/>
      <c r="Y278" s="54"/>
      <c r="Z278" s="65"/>
      <c r="AA278" s="61"/>
      <c r="AB278" s="62"/>
      <c r="AC278" s="56"/>
      <c r="AD278" s="56"/>
      <c r="AE278" s="64"/>
      <c r="AF278" s="64"/>
      <c r="AG278" s="55"/>
      <c r="AH278" s="68"/>
      <c r="AI278" s="54"/>
      <c r="AJ278" s="69"/>
      <c r="AK278" s="61"/>
      <c r="AL278" s="62"/>
      <c r="AM278" s="56"/>
      <c r="AN278" s="56"/>
      <c r="AO278" s="64"/>
      <c r="AP278" s="64"/>
      <c r="AQ278" s="55"/>
      <c r="AR278" s="68"/>
      <c r="AS278" s="54"/>
      <c r="AT278" s="69"/>
      <c r="AU278" s="61"/>
      <c r="AV278" s="62"/>
      <c r="AW278" s="56"/>
      <c r="AX278" s="56"/>
      <c r="AY278" s="64"/>
      <c r="AZ278" s="64"/>
      <c r="BA278" s="55"/>
      <c r="BB278" s="72"/>
      <c r="BC278" s="68"/>
      <c r="BD278" s="69"/>
      <c r="BE278" s="70"/>
      <c r="BF278" s="71"/>
      <c r="BG278" s="56"/>
      <c r="BH278" s="56"/>
      <c r="BI278" s="64"/>
      <c r="BJ278" s="64"/>
      <c r="BK278" s="57"/>
      <c r="BL278" s="73"/>
      <c r="BM278" s="76"/>
      <c r="BN278" s="74"/>
      <c r="BO278" s="75"/>
      <c r="BP278" s="66"/>
      <c r="BQ278" s="74"/>
    </row>
    <row r="279" spans="1:69" s="44" customFormat="1" ht="22.35" customHeight="1" x14ac:dyDescent="0.2">
      <c r="A279" s="100"/>
      <c r="B279" s="100"/>
      <c r="C279" s="100"/>
      <c r="D279" s="54"/>
      <c r="E279" s="55"/>
      <c r="F279" s="56"/>
      <c r="G279" s="56"/>
      <c r="H279" s="57"/>
      <c r="I279" s="58"/>
      <c r="J279" s="58"/>
      <c r="K279" s="55"/>
      <c r="L279" s="59"/>
      <c r="M279" s="59"/>
      <c r="N279" s="59"/>
      <c r="O279" s="54"/>
      <c r="P279" s="60"/>
      <c r="Q279" s="66"/>
      <c r="R279" s="67"/>
      <c r="S279" s="56"/>
      <c r="T279" s="56"/>
      <c r="U279" s="63"/>
      <c r="V279" s="64"/>
      <c r="W279" s="55"/>
      <c r="X279" s="63"/>
      <c r="Y279" s="54"/>
      <c r="Z279" s="65"/>
      <c r="AA279" s="61"/>
      <c r="AB279" s="62"/>
      <c r="AC279" s="56"/>
      <c r="AD279" s="56"/>
      <c r="AE279" s="64"/>
      <c r="AF279" s="64"/>
      <c r="AG279" s="55"/>
      <c r="AH279" s="68"/>
      <c r="AI279" s="54"/>
      <c r="AJ279" s="69"/>
      <c r="AK279" s="76"/>
      <c r="AL279" s="59"/>
      <c r="AM279" s="56"/>
      <c r="AN279" s="56"/>
      <c r="AO279" s="64"/>
      <c r="AP279" s="64"/>
      <c r="AQ279" s="55"/>
      <c r="AR279" s="68"/>
      <c r="AS279" s="54"/>
      <c r="AT279" s="69"/>
      <c r="AU279" s="61"/>
      <c r="AV279" s="62"/>
      <c r="AW279" s="56"/>
      <c r="AX279" s="56"/>
      <c r="AY279" s="64"/>
      <c r="AZ279" s="64"/>
      <c r="BA279" s="55"/>
      <c r="BB279" s="72"/>
      <c r="BC279" s="68"/>
      <c r="BD279" s="69"/>
      <c r="BE279" s="76"/>
      <c r="BF279" s="59"/>
      <c r="BG279" s="56"/>
      <c r="BH279" s="56"/>
      <c r="BI279" s="64"/>
      <c r="BJ279" s="64"/>
      <c r="BK279" s="57"/>
      <c r="BL279" s="73"/>
      <c r="BM279" s="70"/>
      <c r="BN279" s="74"/>
      <c r="BO279" s="75"/>
      <c r="BP279" s="66"/>
      <c r="BQ279" s="74"/>
    </row>
    <row r="280" spans="1:69" s="44" customFormat="1" ht="22.35" customHeight="1" x14ac:dyDescent="0.2">
      <c r="A280" s="100"/>
      <c r="B280" s="100"/>
      <c r="C280" s="100"/>
      <c r="D280" s="54"/>
      <c r="E280" s="55"/>
      <c r="F280" s="56"/>
      <c r="G280" s="56"/>
      <c r="H280" s="57"/>
      <c r="I280" s="58"/>
      <c r="J280" s="58"/>
      <c r="K280" s="55"/>
      <c r="L280" s="59"/>
      <c r="M280" s="59"/>
      <c r="N280" s="59"/>
      <c r="O280" s="54"/>
      <c r="P280" s="60"/>
      <c r="Q280" s="61"/>
      <c r="R280" s="62"/>
      <c r="S280" s="56"/>
      <c r="T280" s="56"/>
      <c r="U280" s="63"/>
      <c r="V280" s="64"/>
      <c r="W280" s="55"/>
      <c r="X280" s="63"/>
      <c r="Y280" s="54"/>
      <c r="Z280" s="65"/>
      <c r="AA280" s="61"/>
      <c r="AB280" s="62"/>
      <c r="AC280" s="56"/>
      <c r="AD280" s="56"/>
      <c r="AE280" s="64"/>
      <c r="AF280" s="64"/>
      <c r="AG280" s="55"/>
      <c r="AH280" s="68"/>
      <c r="AI280" s="54"/>
      <c r="AJ280" s="69"/>
      <c r="AK280" s="76"/>
      <c r="AL280" s="59"/>
      <c r="AM280" s="56"/>
      <c r="AN280" s="56"/>
      <c r="AO280" s="64"/>
      <c r="AP280" s="64"/>
      <c r="AQ280" s="55"/>
      <c r="AR280" s="68"/>
      <c r="AS280" s="54"/>
      <c r="AT280" s="69"/>
      <c r="AU280" s="61"/>
      <c r="AV280" s="62"/>
      <c r="AW280" s="56"/>
      <c r="AX280" s="56"/>
      <c r="AY280" s="64"/>
      <c r="AZ280" s="64"/>
      <c r="BA280" s="55"/>
      <c r="BB280" s="72"/>
      <c r="BC280" s="68"/>
      <c r="BD280" s="69"/>
      <c r="BE280" s="76"/>
      <c r="BF280" s="59"/>
      <c r="BG280" s="56"/>
      <c r="BH280" s="56"/>
      <c r="BI280" s="64"/>
      <c r="BJ280" s="64"/>
      <c r="BK280" s="57"/>
      <c r="BL280" s="73"/>
      <c r="BM280" s="76"/>
      <c r="BN280" s="74"/>
      <c r="BO280" s="75"/>
      <c r="BP280" s="66"/>
      <c r="BQ280" s="74"/>
    </row>
    <row r="281" spans="1:69" s="44" customFormat="1" ht="22.35" customHeight="1" x14ac:dyDescent="0.2">
      <c r="A281" s="100"/>
      <c r="B281" s="100"/>
      <c r="C281" s="100"/>
      <c r="D281" s="54"/>
      <c r="E281" s="55"/>
      <c r="F281" s="56"/>
      <c r="G281" s="56"/>
      <c r="H281" s="57"/>
      <c r="I281" s="58"/>
      <c r="J281" s="58"/>
      <c r="K281" s="55"/>
      <c r="L281" s="59"/>
      <c r="M281" s="59"/>
      <c r="N281" s="59"/>
      <c r="O281" s="54"/>
      <c r="P281" s="60"/>
      <c r="Q281" s="66"/>
      <c r="R281" s="67"/>
      <c r="S281" s="56"/>
      <c r="T281" s="56"/>
      <c r="U281" s="63"/>
      <c r="V281" s="64"/>
      <c r="W281" s="55"/>
      <c r="X281" s="63"/>
      <c r="Y281" s="54"/>
      <c r="Z281" s="65"/>
      <c r="AA281" s="70"/>
      <c r="AB281" s="71"/>
      <c r="AC281" s="56"/>
      <c r="AD281" s="56"/>
      <c r="AE281" s="64"/>
      <c r="AF281" s="64"/>
      <c r="AG281" s="55"/>
      <c r="AH281" s="68"/>
      <c r="AI281" s="54"/>
      <c r="AJ281" s="69"/>
      <c r="AK281" s="61"/>
      <c r="AL281" s="62"/>
      <c r="AM281" s="56"/>
      <c r="AN281" s="56"/>
      <c r="AO281" s="64"/>
      <c r="AP281" s="64"/>
      <c r="AQ281" s="55"/>
      <c r="AR281" s="68"/>
      <c r="AS281" s="54"/>
      <c r="AT281" s="69"/>
      <c r="AU281" s="61"/>
      <c r="AV281" s="62"/>
      <c r="AW281" s="56"/>
      <c r="AX281" s="56"/>
      <c r="AY281" s="64"/>
      <c r="AZ281" s="64"/>
      <c r="BA281" s="55"/>
      <c r="BB281" s="72"/>
      <c r="BC281" s="68"/>
      <c r="BD281" s="69"/>
      <c r="BE281" s="70"/>
      <c r="BF281" s="71"/>
      <c r="BG281" s="56"/>
      <c r="BH281" s="56"/>
      <c r="BI281" s="64"/>
      <c r="BJ281" s="64"/>
      <c r="BK281" s="57"/>
      <c r="BL281" s="73"/>
      <c r="BM281" s="76"/>
      <c r="BN281" s="74"/>
      <c r="BO281" s="75"/>
      <c r="BP281" s="66"/>
      <c r="BQ281" s="74"/>
    </row>
    <row r="282" spans="1:69" s="44" customFormat="1" ht="22.35" customHeight="1" x14ac:dyDescent="0.2">
      <c r="A282" s="100"/>
      <c r="B282" s="100"/>
      <c r="C282" s="100"/>
      <c r="D282" s="54"/>
      <c r="E282" s="55"/>
      <c r="F282" s="56"/>
      <c r="G282" s="56"/>
      <c r="H282" s="57"/>
      <c r="I282" s="58"/>
      <c r="J282" s="58"/>
      <c r="K282" s="55"/>
      <c r="L282" s="59"/>
      <c r="M282" s="59"/>
      <c r="N282" s="59"/>
      <c r="O282" s="54"/>
      <c r="P282" s="60"/>
      <c r="Q282" s="66"/>
      <c r="R282" s="67"/>
      <c r="S282" s="56"/>
      <c r="T282" s="56"/>
      <c r="U282" s="63"/>
      <c r="V282" s="64"/>
      <c r="W282" s="55"/>
      <c r="X282" s="63"/>
      <c r="Y282" s="54"/>
      <c r="Z282" s="65"/>
      <c r="AA282" s="61"/>
      <c r="AB282" s="62"/>
      <c r="AC282" s="56"/>
      <c r="AD282" s="56"/>
      <c r="AE282" s="64"/>
      <c r="AF282" s="64"/>
      <c r="AG282" s="55"/>
      <c r="AH282" s="68"/>
      <c r="AI282" s="54"/>
      <c r="AJ282" s="69"/>
      <c r="AK282" s="61"/>
      <c r="AL282" s="62"/>
      <c r="AM282" s="56"/>
      <c r="AN282" s="56"/>
      <c r="AO282" s="64"/>
      <c r="AP282" s="64"/>
      <c r="AQ282" s="55"/>
      <c r="AR282" s="68"/>
      <c r="AS282" s="54"/>
      <c r="AT282" s="69"/>
      <c r="AU282" s="61"/>
      <c r="AV282" s="62"/>
      <c r="AW282" s="56"/>
      <c r="AX282" s="56"/>
      <c r="AY282" s="64"/>
      <c r="AZ282" s="64"/>
      <c r="BA282" s="55"/>
      <c r="BB282" s="72"/>
      <c r="BC282" s="68"/>
      <c r="BD282" s="69"/>
      <c r="BE282" s="66"/>
      <c r="BF282" s="67"/>
      <c r="BG282" s="56"/>
      <c r="BH282" s="56"/>
      <c r="BI282" s="64"/>
      <c r="BJ282" s="64"/>
      <c r="BK282" s="57"/>
      <c r="BL282" s="73"/>
      <c r="BM282" s="76"/>
      <c r="BN282" s="74"/>
      <c r="BO282" s="75"/>
      <c r="BP282" s="66"/>
      <c r="BQ282" s="74"/>
    </row>
    <row r="283" spans="1:69" s="44" customFormat="1" ht="22.35" customHeight="1" x14ac:dyDescent="0.2">
      <c r="A283" s="100"/>
      <c r="B283" s="100"/>
      <c r="C283" s="100"/>
      <c r="D283" s="54"/>
      <c r="E283" s="55"/>
      <c r="F283" s="56"/>
      <c r="G283" s="56"/>
      <c r="H283" s="57"/>
      <c r="I283" s="58"/>
      <c r="J283" s="58"/>
      <c r="K283" s="55"/>
      <c r="L283" s="59"/>
      <c r="M283" s="59"/>
      <c r="N283" s="59"/>
      <c r="O283" s="54"/>
      <c r="P283" s="60"/>
      <c r="Q283" s="66"/>
      <c r="R283" s="67"/>
      <c r="S283" s="56"/>
      <c r="T283" s="56"/>
      <c r="U283" s="63"/>
      <c r="V283" s="64"/>
      <c r="W283" s="55"/>
      <c r="X283" s="63"/>
      <c r="Y283" s="54"/>
      <c r="Z283" s="65"/>
      <c r="AA283" s="70"/>
      <c r="AB283" s="71"/>
      <c r="AC283" s="56"/>
      <c r="AD283" s="56"/>
      <c r="AE283" s="64"/>
      <c r="AF283" s="64"/>
      <c r="AG283" s="55"/>
      <c r="AH283" s="68"/>
      <c r="AI283" s="54"/>
      <c r="AJ283" s="69"/>
      <c r="AK283" s="61"/>
      <c r="AL283" s="62"/>
      <c r="AM283" s="56"/>
      <c r="AN283" s="56"/>
      <c r="AO283" s="64"/>
      <c r="AP283" s="64"/>
      <c r="AQ283" s="55"/>
      <c r="AR283" s="68"/>
      <c r="AS283" s="54"/>
      <c r="AT283" s="69"/>
      <c r="AU283" s="61"/>
      <c r="AV283" s="62"/>
      <c r="AW283" s="56"/>
      <c r="AX283" s="56"/>
      <c r="AY283" s="64"/>
      <c r="AZ283" s="64"/>
      <c r="BA283" s="55"/>
      <c r="BB283" s="72"/>
      <c r="BC283" s="68"/>
      <c r="BD283" s="69"/>
      <c r="BE283" s="66"/>
      <c r="BF283" s="67"/>
      <c r="BG283" s="56"/>
      <c r="BH283" s="56"/>
      <c r="BI283" s="64"/>
      <c r="BJ283" s="64"/>
      <c r="BK283" s="57"/>
      <c r="BL283" s="73"/>
      <c r="BM283" s="76"/>
      <c r="BN283" s="74"/>
      <c r="BO283" s="75"/>
      <c r="BP283" s="66"/>
      <c r="BQ283" s="74"/>
    </row>
    <row r="284" spans="1:69" s="44" customFormat="1" ht="22.35" customHeight="1" x14ac:dyDescent="0.2">
      <c r="A284" s="100"/>
      <c r="B284" s="100"/>
      <c r="C284" s="100"/>
      <c r="D284" s="54"/>
      <c r="E284" s="55"/>
      <c r="F284" s="56"/>
      <c r="G284" s="56"/>
      <c r="H284" s="57"/>
      <c r="I284" s="58"/>
      <c r="J284" s="58"/>
      <c r="K284" s="55"/>
      <c r="L284" s="59"/>
      <c r="M284" s="59"/>
      <c r="N284" s="59"/>
      <c r="O284" s="54"/>
      <c r="P284" s="60"/>
      <c r="Q284" s="66"/>
      <c r="R284" s="67"/>
      <c r="S284" s="56"/>
      <c r="T284" s="56"/>
      <c r="U284" s="63"/>
      <c r="V284" s="64"/>
      <c r="W284" s="55"/>
      <c r="X284" s="63"/>
      <c r="Y284" s="54"/>
      <c r="Z284" s="65"/>
      <c r="AA284" s="70"/>
      <c r="AB284" s="71"/>
      <c r="AC284" s="56"/>
      <c r="AD284" s="56"/>
      <c r="AE284" s="64"/>
      <c r="AF284" s="64"/>
      <c r="AG284" s="55"/>
      <c r="AH284" s="68"/>
      <c r="AI284" s="54"/>
      <c r="AJ284" s="69"/>
      <c r="AK284" s="70"/>
      <c r="AL284" s="71"/>
      <c r="AM284" s="56"/>
      <c r="AN284" s="56"/>
      <c r="AO284" s="64"/>
      <c r="AP284" s="64"/>
      <c r="AQ284" s="55"/>
      <c r="AR284" s="68"/>
      <c r="AS284" s="54"/>
      <c r="AT284" s="69"/>
      <c r="AU284" s="61"/>
      <c r="AV284" s="62"/>
      <c r="AW284" s="56"/>
      <c r="AX284" s="56"/>
      <c r="AY284" s="64"/>
      <c r="AZ284" s="64"/>
      <c r="BA284" s="55"/>
      <c r="BB284" s="72"/>
      <c r="BC284" s="68"/>
      <c r="BD284" s="69"/>
      <c r="BE284" s="66"/>
      <c r="BF284" s="67"/>
      <c r="BG284" s="56"/>
      <c r="BH284" s="56"/>
      <c r="BI284" s="64"/>
      <c r="BJ284" s="64"/>
      <c r="BK284" s="57"/>
      <c r="BL284" s="73"/>
      <c r="BM284" s="70"/>
      <c r="BN284" s="74"/>
      <c r="BO284" s="75"/>
      <c r="BP284" s="66"/>
      <c r="BQ284" s="74"/>
    </row>
    <row r="285" spans="1:69" s="44" customFormat="1" ht="22.35" customHeight="1" x14ac:dyDescent="0.2">
      <c r="A285" s="100"/>
      <c r="B285" s="100"/>
      <c r="C285" s="100"/>
      <c r="D285" s="54"/>
      <c r="E285" s="55"/>
      <c r="F285" s="56"/>
      <c r="G285" s="56"/>
      <c r="H285" s="57"/>
      <c r="I285" s="58"/>
      <c r="J285" s="58"/>
      <c r="K285" s="55"/>
      <c r="L285" s="59"/>
      <c r="M285" s="59"/>
      <c r="N285" s="59"/>
      <c r="O285" s="54"/>
      <c r="P285" s="60"/>
      <c r="Q285" s="66"/>
      <c r="R285" s="67"/>
      <c r="S285" s="56"/>
      <c r="T285" s="56"/>
      <c r="U285" s="63"/>
      <c r="V285" s="64"/>
      <c r="W285" s="55"/>
      <c r="X285" s="63"/>
      <c r="Y285" s="54"/>
      <c r="Z285" s="65"/>
      <c r="AA285" s="66"/>
      <c r="AB285" s="67"/>
      <c r="AC285" s="56"/>
      <c r="AD285" s="56"/>
      <c r="AE285" s="64"/>
      <c r="AF285" s="64"/>
      <c r="AG285" s="55"/>
      <c r="AH285" s="68"/>
      <c r="AI285" s="54"/>
      <c r="AJ285" s="69"/>
      <c r="AK285" s="70"/>
      <c r="AL285" s="71"/>
      <c r="AM285" s="56"/>
      <c r="AN285" s="56"/>
      <c r="AO285" s="64"/>
      <c r="AP285" s="64"/>
      <c r="AQ285" s="55"/>
      <c r="AR285" s="68"/>
      <c r="AS285" s="54"/>
      <c r="AT285" s="69"/>
      <c r="AU285" s="61"/>
      <c r="AV285" s="62"/>
      <c r="AW285" s="56"/>
      <c r="AX285" s="56"/>
      <c r="AY285" s="64"/>
      <c r="AZ285" s="64"/>
      <c r="BA285" s="55"/>
      <c r="BB285" s="72"/>
      <c r="BC285" s="68"/>
      <c r="BD285" s="69"/>
      <c r="BE285" s="66"/>
      <c r="BF285" s="67"/>
      <c r="BG285" s="56"/>
      <c r="BH285" s="56"/>
      <c r="BI285" s="64"/>
      <c r="BJ285" s="64"/>
      <c r="BK285" s="57"/>
      <c r="BL285" s="73"/>
      <c r="BM285" s="70"/>
      <c r="BN285" s="74"/>
      <c r="BO285" s="75"/>
      <c r="BP285" s="66"/>
      <c r="BQ285" s="74"/>
    </row>
    <row r="286" spans="1:69" s="44" customFormat="1" ht="22.35" customHeight="1" x14ac:dyDescent="0.2">
      <c r="A286" s="100"/>
      <c r="B286" s="100"/>
      <c r="C286" s="100"/>
      <c r="D286" s="54"/>
      <c r="E286" s="55"/>
      <c r="F286" s="56"/>
      <c r="G286" s="56"/>
      <c r="H286" s="57"/>
      <c r="I286" s="58"/>
      <c r="J286" s="58"/>
      <c r="K286" s="55"/>
      <c r="L286" s="59"/>
      <c r="M286" s="59"/>
      <c r="N286" s="59"/>
      <c r="O286" s="54"/>
      <c r="P286" s="60"/>
      <c r="Q286" s="66"/>
      <c r="R286" s="67"/>
      <c r="S286" s="56"/>
      <c r="T286" s="56"/>
      <c r="U286" s="63"/>
      <c r="V286" s="64"/>
      <c r="W286" s="55"/>
      <c r="X286" s="63"/>
      <c r="Y286" s="54"/>
      <c r="Z286" s="65"/>
      <c r="AA286" s="66"/>
      <c r="AB286" s="67"/>
      <c r="AC286" s="56"/>
      <c r="AD286" s="56"/>
      <c r="AE286" s="64"/>
      <c r="AF286" s="64"/>
      <c r="AG286" s="55"/>
      <c r="AH286" s="68"/>
      <c r="AI286" s="54"/>
      <c r="AJ286" s="69"/>
      <c r="AK286" s="66"/>
      <c r="AL286" s="67"/>
      <c r="AM286" s="56"/>
      <c r="AN286" s="56"/>
      <c r="AO286" s="64"/>
      <c r="AP286" s="64"/>
      <c r="AQ286" s="55"/>
      <c r="AR286" s="68"/>
      <c r="AS286" s="54"/>
      <c r="AT286" s="69"/>
      <c r="AU286" s="61"/>
      <c r="AV286" s="62"/>
      <c r="AW286" s="56"/>
      <c r="AX286" s="56"/>
      <c r="AY286" s="64"/>
      <c r="AZ286" s="64"/>
      <c r="BA286" s="55"/>
      <c r="BB286" s="72"/>
      <c r="BC286" s="68"/>
      <c r="BD286" s="69"/>
      <c r="BE286" s="66"/>
      <c r="BF286" s="67"/>
      <c r="BG286" s="56"/>
      <c r="BH286" s="56"/>
      <c r="BI286" s="64"/>
      <c r="BJ286" s="64"/>
      <c r="BK286" s="57"/>
      <c r="BL286" s="73"/>
      <c r="BM286" s="70"/>
      <c r="BN286" s="74"/>
      <c r="BO286" s="75"/>
      <c r="BP286" s="66"/>
      <c r="BQ286" s="74"/>
    </row>
    <row r="287" spans="1:69" s="44" customFormat="1" ht="22.35" customHeight="1" x14ac:dyDescent="0.2">
      <c r="A287" s="100"/>
      <c r="B287" s="100"/>
      <c r="C287" s="100"/>
      <c r="D287" s="54"/>
      <c r="E287" s="55"/>
      <c r="F287" s="56"/>
      <c r="G287" s="56"/>
      <c r="H287" s="57"/>
      <c r="I287" s="58"/>
      <c r="J287" s="58"/>
      <c r="K287" s="55"/>
      <c r="L287" s="59"/>
      <c r="M287" s="59"/>
      <c r="N287" s="59"/>
      <c r="O287" s="54"/>
      <c r="P287" s="60"/>
      <c r="Q287" s="66"/>
      <c r="R287" s="67"/>
      <c r="S287" s="56"/>
      <c r="T287" s="56"/>
      <c r="U287" s="63"/>
      <c r="V287" s="64"/>
      <c r="W287" s="55"/>
      <c r="X287" s="63"/>
      <c r="Y287" s="54"/>
      <c r="Z287" s="65"/>
      <c r="AA287" s="66"/>
      <c r="AB287" s="67"/>
      <c r="AC287" s="56"/>
      <c r="AD287" s="56"/>
      <c r="AE287" s="64"/>
      <c r="AF287" s="64"/>
      <c r="AG287" s="55"/>
      <c r="AH287" s="68"/>
      <c r="AI287" s="54"/>
      <c r="AJ287" s="69"/>
      <c r="AK287" s="70"/>
      <c r="AL287" s="71"/>
      <c r="AM287" s="56"/>
      <c r="AN287" s="56"/>
      <c r="AO287" s="64"/>
      <c r="AP287" s="64"/>
      <c r="AQ287" s="55"/>
      <c r="AR287" s="68"/>
      <c r="AS287" s="54"/>
      <c r="AT287" s="69"/>
      <c r="AU287" s="61"/>
      <c r="AV287" s="62"/>
      <c r="AW287" s="56"/>
      <c r="AX287" s="56"/>
      <c r="AY287" s="64"/>
      <c r="AZ287" s="64"/>
      <c r="BA287" s="55"/>
      <c r="BB287" s="72"/>
      <c r="BC287" s="68"/>
      <c r="BD287" s="69"/>
      <c r="BE287" s="66"/>
      <c r="BF287" s="67"/>
      <c r="BG287" s="56"/>
      <c r="BH287" s="56"/>
      <c r="BI287" s="64"/>
      <c r="BJ287" s="64"/>
      <c r="BK287" s="57"/>
      <c r="BL287" s="73"/>
      <c r="BM287" s="70"/>
      <c r="BN287" s="74"/>
      <c r="BO287" s="75"/>
      <c r="BP287" s="66"/>
      <c r="BQ287" s="74"/>
    </row>
    <row r="288" spans="1:69" s="44" customFormat="1" ht="22.35" customHeight="1" x14ac:dyDescent="0.2">
      <c r="A288" s="100"/>
      <c r="B288" s="100"/>
      <c r="C288" s="100"/>
      <c r="D288" s="54"/>
      <c r="E288" s="55"/>
      <c r="F288" s="56"/>
      <c r="G288" s="56"/>
      <c r="H288" s="57"/>
      <c r="I288" s="58"/>
      <c r="J288" s="58"/>
      <c r="K288" s="55"/>
      <c r="L288" s="59"/>
      <c r="M288" s="59"/>
      <c r="N288" s="59"/>
      <c r="O288" s="54"/>
      <c r="P288" s="60"/>
      <c r="Q288" s="66"/>
      <c r="R288" s="67"/>
      <c r="S288" s="56"/>
      <c r="T288" s="56"/>
      <c r="U288" s="63"/>
      <c r="V288" s="64"/>
      <c r="W288" s="55"/>
      <c r="X288" s="63"/>
      <c r="Y288" s="54"/>
      <c r="Z288" s="65"/>
      <c r="AA288" s="70"/>
      <c r="AB288" s="71"/>
      <c r="AC288" s="56"/>
      <c r="AD288" s="56"/>
      <c r="AE288" s="64"/>
      <c r="AF288" s="64"/>
      <c r="AG288" s="55"/>
      <c r="AH288" s="68"/>
      <c r="AI288" s="54"/>
      <c r="AJ288" s="69"/>
      <c r="AK288" s="76"/>
      <c r="AL288" s="59"/>
      <c r="AM288" s="56"/>
      <c r="AN288" s="56"/>
      <c r="AO288" s="64"/>
      <c r="AP288" s="64"/>
      <c r="AQ288" s="55"/>
      <c r="AR288" s="68"/>
      <c r="AS288" s="54"/>
      <c r="AT288" s="69"/>
      <c r="AU288" s="61"/>
      <c r="AV288" s="62"/>
      <c r="AW288" s="56"/>
      <c r="AX288" s="56"/>
      <c r="AY288" s="64"/>
      <c r="AZ288" s="64"/>
      <c r="BA288" s="55"/>
      <c r="BB288" s="72"/>
      <c r="BC288" s="68"/>
      <c r="BD288" s="69"/>
      <c r="BE288" s="70"/>
      <c r="BF288" s="71"/>
      <c r="BG288" s="56"/>
      <c r="BH288" s="56"/>
      <c r="BI288" s="64"/>
      <c r="BJ288" s="64"/>
      <c r="BK288" s="57"/>
      <c r="BL288" s="73"/>
      <c r="BM288" s="70"/>
      <c r="BN288" s="74"/>
      <c r="BO288" s="75"/>
      <c r="BP288" s="66"/>
      <c r="BQ288" s="74"/>
    </row>
    <row r="289" spans="1:69" s="44" customFormat="1" ht="22.35" customHeight="1" x14ac:dyDescent="0.2">
      <c r="A289" s="100"/>
      <c r="B289" s="100"/>
      <c r="C289" s="100"/>
      <c r="D289" s="54"/>
      <c r="E289" s="55"/>
      <c r="F289" s="56"/>
      <c r="G289" s="56"/>
      <c r="H289" s="57"/>
      <c r="I289" s="58"/>
      <c r="J289" s="58"/>
      <c r="K289" s="55"/>
      <c r="L289" s="59"/>
      <c r="M289" s="59"/>
      <c r="N289" s="59"/>
      <c r="O289" s="54"/>
      <c r="P289" s="60"/>
      <c r="Q289" s="66"/>
      <c r="R289" s="67"/>
      <c r="S289" s="56"/>
      <c r="T289" s="56"/>
      <c r="U289" s="63"/>
      <c r="V289" s="64"/>
      <c r="W289" s="55"/>
      <c r="X289" s="63"/>
      <c r="Y289" s="54"/>
      <c r="Z289" s="65"/>
      <c r="AA289" s="66"/>
      <c r="AB289" s="67"/>
      <c r="AC289" s="56"/>
      <c r="AD289" s="56"/>
      <c r="AE289" s="64"/>
      <c r="AF289" s="64"/>
      <c r="AG289" s="55"/>
      <c r="AH289" s="68"/>
      <c r="AI289" s="54"/>
      <c r="AJ289" s="69"/>
      <c r="AK289" s="70"/>
      <c r="AL289" s="71"/>
      <c r="AM289" s="56"/>
      <c r="AN289" s="56"/>
      <c r="AO289" s="64"/>
      <c r="AP289" s="64"/>
      <c r="AQ289" s="55"/>
      <c r="AR289" s="68"/>
      <c r="AS289" s="54"/>
      <c r="AT289" s="69"/>
      <c r="AU289" s="61"/>
      <c r="AV289" s="62"/>
      <c r="AW289" s="56"/>
      <c r="AX289" s="56"/>
      <c r="AY289" s="64"/>
      <c r="AZ289" s="64"/>
      <c r="BA289" s="55"/>
      <c r="BB289" s="72"/>
      <c r="BC289" s="68"/>
      <c r="BD289" s="69"/>
      <c r="BE289" s="66"/>
      <c r="BF289" s="67"/>
      <c r="BG289" s="56"/>
      <c r="BH289" s="56"/>
      <c r="BI289" s="64"/>
      <c r="BJ289" s="64"/>
      <c r="BK289" s="57"/>
      <c r="BL289" s="73"/>
      <c r="BM289" s="70"/>
      <c r="BN289" s="74"/>
      <c r="BO289" s="75"/>
      <c r="BP289" s="66"/>
      <c r="BQ289" s="74"/>
    </row>
    <row r="290" spans="1:69" s="44" customFormat="1" ht="22.35" customHeight="1" x14ac:dyDescent="0.2">
      <c r="A290" s="100"/>
      <c r="B290" s="100"/>
      <c r="C290" s="100"/>
      <c r="D290" s="54"/>
      <c r="E290" s="55"/>
      <c r="F290" s="56"/>
      <c r="G290" s="56"/>
      <c r="H290" s="57"/>
      <c r="I290" s="58"/>
      <c r="J290" s="58"/>
      <c r="K290" s="55"/>
      <c r="L290" s="59"/>
      <c r="M290" s="59"/>
      <c r="N290" s="59"/>
      <c r="O290" s="54"/>
      <c r="P290" s="60"/>
      <c r="Q290" s="66"/>
      <c r="R290" s="67"/>
      <c r="S290" s="56"/>
      <c r="T290" s="56"/>
      <c r="U290" s="63"/>
      <c r="V290" s="64"/>
      <c r="W290" s="55"/>
      <c r="X290" s="63"/>
      <c r="Y290" s="54"/>
      <c r="Z290" s="65"/>
      <c r="AA290" s="66"/>
      <c r="AB290" s="67"/>
      <c r="AC290" s="56"/>
      <c r="AD290" s="56"/>
      <c r="AE290" s="64"/>
      <c r="AF290" s="64"/>
      <c r="AG290" s="55"/>
      <c r="AH290" s="68"/>
      <c r="AI290" s="54"/>
      <c r="AJ290" s="69"/>
      <c r="AK290" s="66"/>
      <c r="AL290" s="67"/>
      <c r="AM290" s="56"/>
      <c r="AN290" s="56"/>
      <c r="AO290" s="64"/>
      <c r="AP290" s="64"/>
      <c r="AQ290" s="55"/>
      <c r="AR290" s="68"/>
      <c r="AS290" s="54"/>
      <c r="AT290" s="69"/>
      <c r="AU290" s="61"/>
      <c r="AV290" s="62"/>
      <c r="AW290" s="56"/>
      <c r="AX290" s="56"/>
      <c r="AY290" s="64"/>
      <c r="AZ290" s="64"/>
      <c r="BA290" s="55"/>
      <c r="BB290" s="72"/>
      <c r="BC290" s="68"/>
      <c r="BD290" s="69"/>
      <c r="BE290" s="66"/>
      <c r="BF290" s="67"/>
      <c r="BG290" s="56"/>
      <c r="BH290" s="56"/>
      <c r="BI290" s="64"/>
      <c r="BJ290" s="64"/>
      <c r="BK290" s="57"/>
      <c r="BL290" s="73"/>
      <c r="BM290" s="70"/>
      <c r="BN290" s="74"/>
      <c r="BO290" s="75"/>
      <c r="BP290" s="66"/>
      <c r="BQ290" s="74"/>
    </row>
    <row r="291" spans="1:69" s="44" customFormat="1" ht="22.35" customHeight="1" x14ac:dyDescent="0.2">
      <c r="A291" s="100"/>
      <c r="B291" s="100"/>
      <c r="C291" s="100"/>
      <c r="D291" s="54"/>
      <c r="E291" s="55"/>
      <c r="F291" s="56"/>
      <c r="G291" s="56"/>
      <c r="H291" s="57"/>
      <c r="I291" s="58"/>
      <c r="J291" s="58"/>
      <c r="K291" s="55"/>
      <c r="L291" s="59"/>
      <c r="M291" s="59"/>
      <c r="N291" s="59"/>
      <c r="O291" s="54"/>
      <c r="P291" s="60"/>
      <c r="Q291" s="66"/>
      <c r="R291" s="67"/>
      <c r="S291" s="56"/>
      <c r="T291" s="56"/>
      <c r="U291" s="63"/>
      <c r="V291" s="64"/>
      <c r="W291" s="55"/>
      <c r="X291" s="63"/>
      <c r="Y291" s="54"/>
      <c r="Z291" s="65"/>
      <c r="AA291" s="76"/>
      <c r="AB291" s="59"/>
      <c r="AC291" s="56"/>
      <c r="AD291" s="56"/>
      <c r="AE291" s="64"/>
      <c r="AF291" s="64"/>
      <c r="AG291" s="55"/>
      <c r="AH291" s="68"/>
      <c r="AI291" s="54"/>
      <c r="AJ291" s="69"/>
      <c r="AK291" s="61"/>
      <c r="AL291" s="62"/>
      <c r="AM291" s="56"/>
      <c r="AN291" s="56"/>
      <c r="AO291" s="64"/>
      <c r="AP291" s="64"/>
      <c r="AQ291" s="55"/>
      <c r="AR291" s="68"/>
      <c r="AS291" s="54"/>
      <c r="AT291" s="69"/>
      <c r="AU291" s="61"/>
      <c r="AV291" s="62"/>
      <c r="AW291" s="56"/>
      <c r="AX291" s="56"/>
      <c r="AY291" s="64"/>
      <c r="AZ291" s="64"/>
      <c r="BA291" s="55"/>
      <c r="BB291" s="72"/>
      <c r="BC291" s="68"/>
      <c r="BD291" s="69"/>
      <c r="BE291" s="76"/>
      <c r="BF291" s="59"/>
      <c r="BG291" s="56"/>
      <c r="BH291" s="56"/>
      <c r="BI291" s="64"/>
      <c r="BJ291" s="64"/>
      <c r="BK291" s="57"/>
      <c r="BL291" s="73"/>
      <c r="BM291" s="76"/>
      <c r="BN291" s="74"/>
      <c r="BO291" s="75"/>
      <c r="BP291" s="66"/>
      <c r="BQ291" s="74"/>
    </row>
    <row r="292" spans="1:69" s="44" customFormat="1" ht="22.35" customHeight="1" x14ac:dyDescent="0.2">
      <c r="A292" s="100"/>
      <c r="B292" s="100"/>
      <c r="C292" s="100"/>
      <c r="D292" s="54"/>
      <c r="E292" s="55"/>
      <c r="F292" s="56"/>
      <c r="G292" s="56"/>
      <c r="H292" s="57"/>
      <c r="I292" s="58"/>
      <c r="J292" s="58"/>
      <c r="K292" s="55"/>
      <c r="L292" s="59"/>
      <c r="M292" s="59"/>
      <c r="N292" s="59"/>
      <c r="O292" s="54"/>
      <c r="P292" s="60"/>
      <c r="Q292" s="66"/>
      <c r="R292" s="67"/>
      <c r="S292" s="56"/>
      <c r="T292" s="56"/>
      <c r="U292" s="63"/>
      <c r="V292" s="64"/>
      <c r="W292" s="55"/>
      <c r="X292" s="63"/>
      <c r="Y292" s="54"/>
      <c r="Z292" s="65"/>
      <c r="AA292" s="76"/>
      <c r="AB292" s="59"/>
      <c r="AC292" s="56"/>
      <c r="AD292" s="56"/>
      <c r="AE292" s="64"/>
      <c r="AF292" s="64"/>
      <c r="AG292" s="55"/>
      <c r="AH292" s="68"/>
      <c r="AI292" s="54"/>
      <c r="AJ292" s="69"/>
      <c r="AK292" s="61"/>
      <c r="AL292" s="62"/>
      <c r="AM292" s="56"/>
      <c r="AN292" s="56"/>
      <c r="AO292" s="64"/>
      <c r="AP292" s="64"/>
      <c r="AQ292" s="55"/>
      <c r="AR292" s="68"/>
      <c r="AS292" s="54"/>
      <c r="AT292" s="69"/>
      <c r="AU292" s="61"/>
      <c r="AV292" s="62"/>
      <c r="AW292" s="56"/>
      <c r="AX292" s="56"/>
      <c r="AY292" s="64"/>
      <c r="AZ292" s="64"/>
      <c r="BA292" s="55"/>
      <c r="BB292" s="72"/>
      <c r="BC292" s="68"/>
      <c r="BD292" s="69"/>
      <c r="BE292" s="61"/>
      <c r="BF292" s="62"/>
      <c r="BG292" s="56"/>
      <c r="BH292" s="56"/>
      <c r="BI292" s="64"/>
      <c r="BJ292" s="64"/>
      <c r="BK292" s="57"/>
      <c r="BL292" s="73"/>
      <c r="BM292" s="70"/>
      <c r="BN292" s="74"/>
      <c r="BO292" s="75"/>
      <c r="BP292" s="66"/>
      <c r="BQ292" s="74"/>
    </row>
    <row r="293" spans="1:69" s="44" customFormat="1" ht="22.35" customHeight="1" x14ac:dyDescent="0.2">
      <c r="A293" s="100"/>
      <c r="B293" s="100"/>
      <c r="C293" s="100"/>
      <c r="D293" s="54"/>
      <c r="E293" s="55"/>
      <c r="F293" s="56"/>
      <c r="G293" s="56"/>
      <c r="H293" s="57"/>
      <c r="I293" s="58"/>
      <c r="J293" s="58"/>
      <c r="K293" s="55"/>
      <c r="L293" s="59"/>
      <c r="M293" s="59"/>
      <c r="N293" s="59"/>
      <c r="O293" s="54"/>
      <c r="P293" s="60"/>
      <c r="Q293" s="66"/>
      <c r="R293" s="67"/>
      <c r="S293" s="56"/>
      <c r="T293" s="56"/>
      <c r="U293" s="63"/>
      <c r="V293" s="64"/>
      <c r="W293" s="55"/>
      <c r="X293" s="63"/>
      <c r="Y293" s="54"/>
      <c r="Z293" s="65"/>
      <c r="AA293" s="70"/>
      <c r="AB293" s="71"/>
      <c r="AC293" s="56"/>
      <c r="AD293" s="56"/>
      <c r="AE293" s="64"/>
      <c r="AF293" s="64"/>
      <c r="AG293" s="55"/>
      <c r="AH293" s="68"/>
      <c r="AI293" s="54"/>
      <c r="AJ293" s="69"/>
      <c r="AK293" s="61"/>
      <c r="AL293" s="62"/>
      <c r="AM293" s="56"/>
      <c r="AN293" s="56"/>
      <c r="AO293" s="64"/>
      <c r="AP293" s="64"/>
      <c r="AQ293" s="55"/>
      <c r="AR293" s="68"/>
      <c r="AS293" s="54"/>
      <c r="AT293" s="69"/>
      <c r="AU293" s="61"/>
      <c r="AV293" s="62"/>
      <c r="AW293" s="56"/>
      <c r="AX293" s="56"/>
      <c r="AY293" s="64"/>
      <c r="AZ293" s="64"/>
      <c r="BA293" s="55"/>
      <c r="BB293" s="72"/>
      <c r="BC293" s="68"/>
      <c r="BD293" s="69"/>
      <c r="BE293" s="66"/>
      <c r="BF293" s="67"/>
      <c r="BG293" s="56"/>
      <c r="BH293" s="56"/>
      <c r="BI293" s="64"/>
      <c r="BJ293" s="64"/>
      <c r="BK293" s="57"/>
      <c r="BL293" s="73"/>
      <c r="BM293" s="76"/>
      <c r="BN293" s="74"/>
      <c r="BO293" s="75"/>
      <c r="BP293" s="66"/>
      <c r="BQ293" s="74"/>
    </row>
    <row r="294" spans="1:69" s="44" customFormat="1" ht="22.35" customHeight="1" x14ac:dyDescent="0.2">
      <c r="A294" s="100"/>
      <c r="B294" s="100"/>
      <c r="C294" s="100"/>
      <c r="D294" s="54"/>
      <c r="E294" s="55"/>
      <c r="F294" s="56"/>
      <c r="G294" s="56"/>
      <c r="H294" s="57"/>
      <c r="I294" s="58"/>
      <c r="J294" s="58"/>
      <c r="K294" s="55"/>
      <c r="L294" s="59"/>
      <c r="M294" s="59"/>
      <c r="N294" s="59"/>
      <c r="O294" s="54"/>
      <c r="P294" s="60"/>
      <c r="Q294" s="66"/>
      <c r="R294" s="67"/>
      <c r="S294" s="56"/>
      <c r="T294" s="56"/>
      <c r="U294" s="63"/>
      <c r="V294" s="64"/>
      <c r="W294" s="55"/>
      <c r="X294" s="63"/>
      <c r="Y294" s="54"/>
      <c r="Z294" s="65"/>
      <c r="AA294" s="66"/>
      <c r="AB294" s="67"/>
      <c r="AC294" s="56"/>
      <c r="AD294" s="56"/>
      <c r="AE294" s="64"/>
      <c r="AF294" s="64"/>
      <c r="AG294" s="55"/>
      <c r="AH294" s="68"/>
      <c r="AI294" s="54"/>
      <c r="AJ294" s="69"/>
      <c r="AK294" s="76"/>
      <c r="AL294" s="59"/>
      <c r="AM294" s="56"/>
      <c r="AN294" s="56"/>
      <c r="AO294" s="64"/>
      <c r="AP294" s="64"/>
      <c r="AQ294" s="55"/>
      <c r="AR294" s="68"/>
      <c r="AS294" s="54"/>
      <c r="AT294" s="69"/>
      <c r="AU294" s="61"/>
      <c r="AV294" s="62"/>
      <c r="AW294" s="56"/>
      <c r="AX294" s="56"/>
      <c r="AY294" s="64"/>
      <c r="AZ294" s="64"/>
      <c r="BA294" s="55"/>
      <c r="BB294" s="72"/>
      <c r="BC294" s="68"/>
      <c r="BD294" s="69"/>
      <c r="BE294" s="66"/>
      <c r="BF294" s="67"/>
      <c r="BG294" s="56"/>
      <c r="BH294" s="56"/>
      <c r="BI294" s="64"/>
      <c r="BJ294" s="64"/>
      <c r="BK294" s="57"/>
      <c r="BL294" s="73"/>
      <c r="BM294" s="70"/>
      <c r="BN294" s="74"/>
      <c r="BO294" s="75"/>
      <c r="BP294" s="66"/>
      <c r="BQ294" s="74"/>
    </row>
    <row r="295" spans="1:69" s="44" customFormat="1" ht="22.35" customHeight="1" x14ac:dyDescent="0.2">
      <c r="A295" s="100"/>
      <c r="B295" s="100"/>
      <c r="C295" s="100"/>
      <c r="D295" s="54"/>
      <c r="E295" s="55"/>
      <c r="F295" s="56"/>
      <c r="G295" s="56"/>
      <c r="H295" s="57"/>
      <c r="I295" s="58"/>
      <c r="J295" s="58"/>
      <c r="K295" s="55"/>
      <c r="L295" s="59"/>
      <c r="M295" s="59"/>
      <c r="N295" s="59"/>
      <c r="O295" s="54"/>
      <c r="P295" s="60"/>
      <c r="Q295" s="66"/>
      <c r="R295" s="67"/>
      <c r="S295" s="56"/>
      <c r="T295" s="56"/>
      <c r="U295" s="63"/>
      <c r="V295" s="64"/>
      <c r="W295" s="55"/>
      <c r="X295" s="63"/>
      <c r="Y295" s="54"/>
      <c r="Z295" s="65"/>
      <c r="AA295" s="76"/>
      <c r="AB295" s="59"/>
      <c r="AC295" s="56"/>
      <c r="AD295" s="56"/>
      <c r="AE295" s="64"/>
      <c r="AF295" s="64"/>
      <c r="AG295" s="55"/>
      <c r="AH295" s="68"/>
      <c r="AI295" s="54"/>
      <c r="AJ295" s="69"/>
      <c r="AK295" s="61"/>
      <c r="AL295" s="62"/>
      <c r="AM295" s="56"/>
      <c r="AN295" s="56"/>
      <c r="AO295" s="64"/>
      <c r="AP295" s="64"/>
      <c r="AQ295" s="55"/>
      <c r="AR295" s="68"/>
      <c r="AS295" s="54"/>
      <c r="AT295" s="69"/>
      <c r="AU295" s="61"/>
      <c r="AV295" s="62"/>
      <c r="AW295" s="56"/>
      <c r="AX295" s="56"/>
      <c r="AY295" s="64"/>
      <c r="AZ295" s="64"/>
      <c r="BA295" s="55"/>
      <c r="BB295" s="72"/>
      <c r="BC295" s="68"/>
      <c r="BD295" s="69"/>
      <c r="BE295" s="66"/>
      <c r="BF295" s="67"/>
      <c r="BG295" s="56"/>
      <c r="BH295" s="56"/>
      <c r="BI295" s="64"/>
      <c r="BJ295" s="64"/>
      <c r="BK295" s="57"/>
      <c r="BL295" s="73"/>
      <c r="BM295" s="76"/>
      <c r="BN295" s="74"/>
      <c r="BO295" s="75"/>
      <c r="BP295" s="66"/>
      <c r="BQ295" s="74"/>
    </row>
    <row r="296" spans="1:69" s="44" customFormat="1" ht="22.35" customHeight="1" x14ac:dyDescent="0.2">
      <c r="A296" s="100"/>
      <c r="B296" s="100"/>
      <c r="C296" s="100"/>
      <c r="D296" s="54"/>
      <c r="E296" s="55"/>
      <c r="F296" s="56"/>
      <c r="G296" s="56"/>
      <c r="H296" s="57"/>
      <c r="I296" s="58"/>
      <c r="J296" s="58"/>
      <c r="K296" s="55"/>
      <c r="L296" s="59"/>
      <c r="M296" s="59"/>
      <c r="N296" s="59"/>
      <c r="O296" s="54"/>
      <c r="P296" s="60"/>
      <c r="Q296" s="66"/>
      <c r="R296" s="67"/>
      <c r="S296" s="56"/>
      <c r="T296" s="56"/>
      <c r="U296" s="63"/>
      <c r="V296" s="64"/>
      <c r="W296" s="55"/>
      <c r="X296" s="63"/>
      <c r="Y296" s="54"/>
      <c r="Z296" s="65"/>
      <c r="AA296" s="70"/>
      <c r="AB296" s="71"/>
      <c r="AC296" s="56"/>
      <c r="AD296" s="56"/>
      <c r="AE296" s="64"/>
      <c r="AF296" s="64"/>
      <c r="AG296" s="55"/>
      <c r="AH296" s="68"/>
      <c r="AI296" s="54"/>
      <c r="AJ296" s="69"/>
      <c r="AK296" s="76"/>
      <c r="AL296" s="59"/>
      <c r="AM296" s="56"/>
      <c r="AN296" s="56"/>
      <c r="AO296" s="64"/>
      <c r="AP296" s="64"/>
      <c r="AQ296" s="55"/>
      <c r="AR296" s="68"/>
      <c r="AS296" s="54"/>
      <c r="AT296" s="69"/>
      <c r="AU296" s="61"/>
      <c r="AV296" s="62"/>
      <c r="AW296" s="56"/>
      <c r="AX296" s="56"/>
      <c r="AY296" s="64"/>
      <c r="AZ296" s="64"/>
      <c r="BA296" s="55"/>
      <c r="BB296" s="72"/>
      <c r="BC296" s="68"/>
      <c r="BD296" s="69"/>
      <c r="BE296" s="76"/>
      <c r="BF296" s="59"/>
      <c r="BG296" s="56"/>
      <c r="BH296" s="56"/>
      <c r="BI296" s="64"/>
      <c r="BJ296" s="64"/>
      <c r="BK296" s="57"/>
      <c r="BL296" s="73"/>
      <c r="BM296" s="70"/>
      <c r="BN296" s="74"/>
      <c r="BO296" s="75"/>
      <c r="BP296" s="66"/>
      <c r="BQ296" s="74"/>
    </row>
    <row r="297" spans="1:69" s="44" customFormat="1" ht="22.35" customHeight="1" x14ac:dyDescent="0.2">
      <c r="A297" s="100"/>
      <c r="B297" s="100"/>
      <c r="C297" s="100"/>
      <c r="D297" s="54"/>
      <c r="E297" s="55"/>
      <c r="F297" s="56"/>
      <c r="G297" s="56"/>
      <c r="H297" s="57"/>
      <c r="I297" s="58"/>
      <c r="J297" s="58"/>
      <c r="K297" s="55"/>
      <c r="L297" s="59"/>
      <c r="M297" s="59"/>
      <c r="N297" s="59"/>
      <c r="O297" s="54"/>
      <c r="P297" s="60"/>
      <c r="Q297" s="76"/>
      <c r="R297" s="59"/>
      <c r="S297" s="56"/>
      <c r="T297" s="56"/>
      <c r="U297" s="63"/>
      <c r="V297" s="64"/>
      <c r="W297" s="55"/>
      <c r="X297" s="63"/>
      <c r="Y297" s="54"/>
      <c r="Z297" s="65"/>
      <c r="AA297" s="66"/>
      <c r="AB297" s="67"/>
      <c r="AC297" s="56"/>
      <c r="AD297" s="56"/>
      <c r="AE297" s="64"/>
      <c r="AF297" s="64"/>
      <c r="AG297" s="55"/>
      <c r="AH297" s="68"/>
      <c r="AI297" s="54"/>
      <c r="AJ297" s="69"/>
      <c r="AK297" s="66"/>
      <c r="AL297" s="67"/>
      <c r="AM297" s="56"/>
      <c r="AN297" s="56"/>
      <c r="AO297" s="64"/>
      <c r="AP297" s="64"/>
      <c r="AQ297" s="55"/>
      <c r="AR297" s="68"/>
      <c r="AS297" s="54"/>
      <c r="AT297" s="69"/>
      <c r="AU297" s="61"/>
      <c r="AV297" s="62"/>
      <c r="AW297" s="56"/>
      <c r="AX297" s="56"/>
      <c r="AY297" s="64"/>
      <c r="AZ297" s="64"/>
      <c r="BA297" s="55"/>
      <c r="BB297" s="72"/>
      <c r="BC297" s="68"/>
      <c r="BD297" s="69"/>
      <c r="BE297" s="66"/>
      <c r="BF297" s="67"/>
      <c r="BG297" s="56"/>
      <c r="BH297" s="56"/>
      <c r="BI297" s="64"/>
      <c r="BJ297" s="64"/>
      <c r="BK297" s="57"/>
      <c r="BL297" s="73"/>
      <c r="BM297" s="76"/>
      <c r="BN297" s="74"/>
      <c r="BO297" s="75"/>
      <c r="BP297" s="66"/>
      <c r="BQ297" s="74"/>
    </row>
    <row r="298" spans="1:69" s="44" customFormat="1" ht="22.35" customHeight="1" x14ac:dyDescent="0.2">
      <c r="A298" s="100"/>
      <c r="B298" s="100"/>
      <c r="C298" s="100"/>
      <c r="D298" s="54"/>
      <c r="E298" s="55"/>
      <c r="F298" s="56"/>
      <c r="G298" s="56"/>
      <c r="H298" s="57"/>
      <c r="I298" s="58"/>
      <c r="J298" s="58"/>
      <c r="K298" s="55"/>
      <c r="L298" s="59"/>
      <c r="M298" s="59"/>
      <c r="N298" s="59"/>
      <c r="O298" s="54"/>
      <c r="P298" s="60"/>
      <c r="Q298" s="66"/>
      <c r="R298" s="67"/>
      <c r="S298" s="56"/>
      <c r="T298" s="56"/>
      <c r="U298" s="63"/>
      <c r="V298" s="64"/>
      <c r="W298" s="55"/>
      <c r="X298" s="63"/>
      <c r="Y298" s="54"/>
      <c r="Z298" s="65"/>
      <c r="AA298" s="70"/>
      <c r="AB298" s="71"/>
      <c r="AC298" s="56"/>
      <c r="AD298" s="56"/>
      <c r="AE298" s="64"/>
      <c r="AF298" s="64"/>
      <c r="AG298" s="55"/>
      <c r="AH298" s="68"/>
      <c r="AI298" s="54"/>
      <c r="AJ298" s="69"/>
      <c r="AK298" s="61"/>
      <c r="AL298" s="62"/>
      <c r="AM298" s="56"/>
      <c r="AN298" s="56"/>
      <c r="AO298" s="64"/>
      <c r="AP298" s="64"/>
      <c r="AQ298" s="55"/>
      <c r="AR298" s="68"/>
      <c r="AS298" s="54"/>
      <c r="AT298" s="69"/>
      <c r="AU298" s="61"/>
      <c r="AV298" s="62"/>
      <c r="AW298" s="56"/>
      <c r="AX298" s="56"/>
      <c r="AY298" s="64"/>
      <c r="AZ298" s="64"/>
      <c r="BA298" s="55"/>
      <c r="BB298" s="72"/>
      <c r="BC298" s="68"/>
      <c r="BD298" s="69"/>
      <c r="BE298" s="66"/>
      <c r="BF298" s="67"/>
      <c r="BG298" s="56"/>
      <c r="BH298" s="56"/>
      <c r="BI298" s="64"/>
      <c r="BJ298" s="64"/>
      <c r="BK298" s="57"/>
      <c r="BL298" s="73"/>
      <c r="BM298" s="70"/>
      <c r="BN298" s="74"/>
      <c r="BO298" s="75"/>
      <c r="BP298" s="66"/>
      <c r="BQ298" s="74"/>
    </row>
    <row r="299" spans="1:69" s="44" customFormat="1" ht="21.95" customHeight="1" x14ac:dyDescent="0.2">
      <c r="A299" s="77"/>
      <c r="B299" s="77"/>
      <c r="C299" s="78"/>
      <c r="D299" s="79"/>
      <c r="E299" s="80"/>
      <c r="F299" s="77"/>
      <c r="G299" s="77"/>
      <c r="H299" s="81"/>
      <c r="I299" s="77"/>
      <c r="J299" s="77"/>
      <c r="K299" s="80"/>
      <c r="L299" s="82"/>
      <c r="M299" s="82"/>
      <c r="N299" s="82"/>
      <c r="O299" s="79"/>
      <c r="P299" s="83"/>
      <c r="Q299" s="77"/>
      <c r="R299" s="77"/>
      <c r="S299" s="77"/>
      <c r="T299" s="77"/>
      <c r="U299" s="84"/>
      <c r="V299" s="84"/>
      <c r="W299" s="80"/>
      <c r="X299" s="85"/>
      <c r="Y299" s="86"/>
      <c r="Z299" s="87"/>
      <c r="AA299" s="88"/>
      <c r="AB299" s="88"/>
      <c r="AC299" s="88"/>
      <c r="AD299" s="88"/>
      <c r="AE299" s="89"/>
      <c r="AF299" s="89"/>
      <c r="AG299" s="80"/>
      <c r="AH299" s="86"/>
      <c r="AI299" s="90"/>
      <c r="AJ299" s="87"/>
      <c r="AK299" s="88"/>
      <c r="AL299" s="88"/>
      <c r="AM299" s="88"/>
      <c r="AN299" s="88"/>
      <c r="AO299" s="89"/>
      <c r="AP299" s="89"/>
      <c r="AQ299" s="80"/>
      <c r="AR299" s="86"/>
      <c r="AS299" s="90"/>
      <c r="AT299" s="87"/>
      <c r="AU299" s="88"/>
      <c r="AV299" s="88"/>
      <c r="AW299" s="88"/>
      <c r="AX299" s="91"/>
      <c r="AY299" s="89"/>
      <c r="AZ299" s="89"/>
      <c r="BA299" s="80"/>
      <c r="BB299" s="88"/>
      <c r="BC299" s="90"/>
      <c r="BD299" s="87"/>
      <c r="BE299" s="88"/>
      <c r="BF299" s="88"/>
      <c r="BG299" s="88"/>
      <c r="BH299" s="88"/>
      <c r="BI299" s="89"/>
      <c r="BJ299" s="89"/>
      <c r="BK299" s="88"/>
      <c r="BL299" s="88"/>
      <c r="BM299" s="88"/>
      <c r="BN299" s="88"/>
      <c r="BO299" s="88"/>
      <c r="BP299" s="88"/>
      <c r="BQ299" s="88"/>
    </row>
    <row r="300" spans="1:69" s="44" customFormat="1" ht="28.7" customHeight="1" x14ac:dyDescent="0.2"/>
  </sheetData>
  <mergeCells count="73">
    <mergeCell ref="G2:G4"/>
    <mergeCell ref="A2:A5"/>
    <mergeCell ref="B2:B5"/>
    <mergeCell ref="C2:C5"/>
    <mergeCell ref="D2:D4"/>
    <mergeCell ref="F2:F4"/>
    <mergeCell ref="I2:I4"/>
    <mergeCell ref="J2:J4"/>
    <mergeCell ref="L2:V2"/>
    <mergeCell ref="X2:AF2"/>
    <mergeCell ref="AH2:AP2"/>
    <mergeCell ref="L4:L5"/>
    <mergeCell ref="M4:M5"/>
    <mergeCell ref="N4:N5"/>
    <mergeCell ref="O4:O5"/>
    <mergeCell ref="U4:U5"/>
    <mergeCell ref="P4:P5"/>
    <mergeCell ref="Q4:Q5"/>
    <mergeCell ref="R4:R5"/>
    <mergeCell ref="S4:S5"/>
    <mergeCell ref="T4:T5"/>
    <mergeCell ref="AI4:AI5"/>
    <mergeCell ref="BB2:BJ2"/>
    <mergeCell ref="BL2:BQ2"/>
    <mergeCell ref="L3:V3"/>
    <mergeCell ref="X3:AF3"/>
    <mergeCell ref="AH3:AP3"/>
    <mergeCell ref="AR3:AZ3"/>
    <mergeCell ref="BB3:BJ3"/>
    <mergeCell ref="BL3:BQ3"/>
    <mergeCell ref="AR2:AZ2"/>
    <mergeCell ref="V4:V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H4:AH5"/>
    <mergeCell ref="AV4:AV5"/>
    <mergeCell ref="AJ4:AJ5"/>
    <mergeCell ref="AK4:AK5"/>
    <mergeCell ref="AL4:AL5"/>
    <mergeCell ref="AM4:AM5"/>
    <mergeCell ref="AN4:AN5"/>
    <mergeCell ref="AO4:AO5"/>
    <mergeCell ref="AP4:AP5"/>
    <mergeCell ref="AR4:AR5"/>
    <mergeCell ref="AS4:AS5"/>
    <mergeCell ref="AT4:AT5"/>
    <mergeCell ref="AU4:AU5"/>
    <mergeCell ref="BI4:BI5"/>
    <mergeCell ref="AW4:AW5"/>
    <mergeCell ref="AX4:AX5"/>
    <mergeCell ref="AY4:AY5"/>
    <mergeCell ref="AZ4:AZ5"/>
    <mergeCell ref="BB4:BB5"/>
    <mergeCell ref="BC4:BC5"/>
    <mergeCell ref="BD4:BD5"/>
    <mergeCell ref="BE4:BE5"/>
    <mergeCell ref="BF4:BF5"/>
    <mergeCell ref="BG4:BG5"/>
    <mergeCell ref="BH4:BH5"/>
    <mergeCell ref="BQ4:BQ5"/>
    <mergeCell ref="BJ4:BJ5"/>
    <mergeCell ref="BL4:BL5"/>
    <mergeCell ref="BM4:BM5"/>
    <mergeCell ref="BN4:BN5"/>
    <mergeCell ref="BO4:BO5"/>
    <mergeCell ref="BP4:BP5"/>
  </mergeCells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79998168889431442"/>
  </sheetPr>
  <dimension ref="A1"/>
  <sheetViews>
    <sheetView workbookViewId="0">
      <selection activeCell="K3" sqref="K3"/>
    </sheetView>
  </sheetViews>
  <sheetFormatPr baseColWidth="10" defaultRowHeight="15" x14ac:dyDescent="0.25"/>
  <sheetData/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79998168889431442"/>
  </sheetPr>
  <dimension ref="A1"/>
  <sheetViews>
    <sheetView workbookViewId="0">
      <selection activeCell="K3" sqref="K3"/>
    </sheetView>
  </sheetViews>
  <sheetFormatPr baseColWidth="10" defaultRowHeight="15" x14ac:dyDescent="0.25"/>
  <sheetData/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79998168889431442"/>
  </sheetPr>
  <dimension ref="A1"/>
  <sheetViews>
    <sheetView workbookViewId="0">
      <selection activeCell="K3" sqref="K3"/>
    </sheetView>
  </sheetViews>
  <sheetFormatPr baseColWidth="10" defaultRowHeight="15" x14ac:dyDescent="0.25"/>
  <sheetData/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79998168889431442"/>
  </sheetPr>
  <dimension ref="A1"/>
  <sheetViews>
    <sheetView workbookViewId="0">
      <selection activeCell="K3" sqref="K3"/>
    </sheetView>
  </sheetViews>
  <sheetFormatPr baseColWidth="10" defaultRowHeight="15" x14ac:dyDescent="0.25"/>
  <sheetData/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79998168889431442"/>
  </sheetPr>
  <dimension ref="A1"/>
  <sheetViews>
    <sheetView workbookViewId="0">
      <selection activeCell="K3" sqref="K3"/>
    </sheetView>
  </sheetViews>
  <sheetFormatPr baseColWidth="10" defaultRowHeight="15" x14ac:dyDescent="0.25"/>
  <sheetData/>
  <pageMargins left="0.7" right="0.7" top="0.75" bottom="0.75" header="0.3" footer="0.3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79998168889431442"/>
  </sheetPr>
  <dimension ref="A1:BQ300"/>
  <sheetViews>
    <sheetView workbookViewId="0">
      <selection sqref="A1:XFD1048576"/>
    </sheetView>
  </sheetViews>
  <sheetFormatPr baseColWidth="10" defaultRowHeight="15" x14ac:dyDescent="0.25"/>
  <cols>
    <col min="1" max="1" width="29.85546875" customWidth="1"/>
    <col min="2" max="2" width="26.140625" customWidth="1"/>
    <col min="3" max="3" width="34.28515625" customWidth="1"/>
    <col min="4" max="4" width="12.42578125" customWidth="1"/>
    <col min="5" max="5" width="0.28515625" customWidth="1"/>
    <col min="6" max="6" width="9.28515625" customWidth="1"/>
    <col min="7" max="7" width="8.28515625" customWidth="1"/>
    <col min="8" max="8" width="0.28515625" customWidth="1"/>
    <col min="9" max="10" width="9.7109375" customWidth="1"/>
    <col min="11" max="11" width="0.28515625" customWidth="1"/>
    <col min="12" max="12" width="10.7109375" customWidth="1"/>
    <col min="13" max="14" width="9.5703125" customWidth="1"/>
    <col min="15" max="17" width="7.85546875" customWidth="1"/>
    <col min="18" max="18" width="10" customWidth="1"/>
    <col min="19" max="20" width="7.85546875" customWidth="1"/>
    <col min="21" max="22" width="9.5703125" customWidth="1"/>
    <col min="23" max="23" width="0.28515625" customWidth="1"/>
    <col min="24" max="25" width="9.5703125" customWidth="1"/>
    <col min="26" max="27" width="7.85546875" customWidth="1"/>
    <col min="28" max="28" width="10" customWidth="1"/>
    <col min="29" max="30" width="7.85546875" customWidth="1"/>
    <col min="31" max="32" width="9.5703125" customWidth="1"/>
    <col min="33" max="33" width="0.28515625" customWidth="1"/>
    <col min="34" max="34" width="9" customWidth="1"/>
    <col min="35" max="37" width="7.85546875" customWidth="1"/>
    <col min="38" max="38" width="10" customWidth="1"/>
    <col min="39" max="40" width="7.85546875" customWidth="1"/>
    <col min="41" max="41" width="8.85546875" customWidth="1"/>
    <col min="42" max="42" width="7.85546875" customWidth="1"/>
    <col min="43" max="43" width="0.28515625" customWidth="1"/>
    <col min="44" max="44" width="7.5703125" customWidth="1"/>
    <col min="45" max="47" width="7.85546875" customWidth="1"/>
    <col min="48" max="48" width="10" customWidth="1"/>
    <col min="49" max="49" width="7.42578125" customWidth="1"/>
    <col min="50" max="50" width="7.85546875" customWidth="1"/>
    <col min="51" max="51" width="8.85546875" customWidth="1"/>
    <col min="52" max="52" width="7.85546875" customWidth="1"/>
    <col min="53" max="53" width="0.28515625" customWidth="1"/>
    <col min="54" max="54" width="9.42578125" customWidth="1"/>
    <col min="55" max="55" width="9" customWidth="1"/>
    <col min="56" max="57" width="7.85546875" customWidth="1"/>
    <col min="58" max="58" width="10" customWidth="1"/>
    <col min="59" max="59" width="8.85546875" customWidth="1"/>
    <col min="60" max="60" width="7.85546875" customWidth="1"/>
    <col min="61" max="61" width="8.85546875" customWidth="1"/>
    <col min="62" max="62" width="7.85546875" customWidth="1"/>
    <col min="63" max="63" width="0.28515625" customWidth="1"/>
    <col min="64" max="64" width="8.140625" customWidth="1"/>
    <col min="65" max="65" width="9.140625" customWidth="1"/>
    <col min="66" max="66" width="10.7109375" customWidth="1"/>
    <col min="67" max="67" width="8.140625" customWidth="1"/>
    <col min="68" max="68" width="9.140625" customWidth="1"/>
    <col min="69" max="69" width="10.140625" customWidth="1"/>
    <col min="70" max="70" width="4.7109375" customWidth="1"/>
  </cols>
  <sheetData>
    <row r="1" spans="1:69" s="207" customFormat="1" ht="3.75" customHeight="1" x14ac:dyDescent="0.2"/>
    <row r="2" spans="1:69" s="207" customFormat="1" ht="24" customHeight="1" x14ac:dyDescent="0.2">
      <c r="A2" s="341" t="s">
        <v>19</v>
      </c>
      <c r="B2" s="342" t="s">
        <v>20</v>
      </c>
      <c r="C2" s="342" t="s">
        <v>21</v>
      </c>
      <c r="D2" s="343" t="s">
        <v>22</v>
      </c>
      <c r="E2" s="208"/>
      <c r="F2" s="345" t="s">
        <v>23</v>
      </c>
      <c r="G2" s="344" t="s">
        <v>24</v>
      </c>
      <c r="H2" s="209"/>
      <c r="I2" s="344" t="s">
        <v>25</v>
      </c>
      <c r="J2" s="345" t="s">
        <v>26</v>
      </c>
      <c r="K2" s="209"/>
      <c r="L2" s="346" t="s">
        <v>27</v>
      </c>
      <c r="M2" s="346"/>
      <c r="N2" s="346"/>
      <c r="O2" s="346"/>
      <c r="P2" s="346"/>
      <c r="Q2" s="346"/>
      <c r="R2" s="346"/>
      <c r="S2" s="346"/>
      <c r="T2" s="346"/>
      <c r="U2" s="346"/>
      <c r="V2" s="346"/>
      <c r="W2" s="210"/>
      <c r="X2" s="347" t="s">
        <v>28</v>
      </c>
      <c r="Y2" s="347"/>
      <c r="Z2" s="347"/>
      <c r="AA2" s="347"/>
      <c r="AB2" s="347"/>
      <c r="AC2" s="347"/>
      <c r="AD2" s="347"/>
      <c r="AE2" s="347"/>
      <c r="AF2" s="347"/>
      <c r="AG2" s="211"/>
      <c r="AH2" s="348" t="s">
        <v>29</v>
      </c>
      <c r="AI2" s="348"/>
      <c r="AJ2" s="348"/>
      <c r="AK2" s="348"/>
      <c r="AL2" s="348"/>
      <c r="AM2" s="348"/>
      <c r="AN2" s="348"/>
      <c r="AO2" s="348"/>
      <c r="AP2" s="348"/>
      <c r="AQ2" s="212"/>
      <c r="AR2" s="349" t="s">
        <v>30</v>
      </c>
      <c r="AS2" s="349"/>
      <c r="AT2" s="349"/>
      <c r="AU2" s="349"/>
      <c r="AV2" s="349"/>
      <c r="AW2" s="349"/>
      <c r="AX2" s="349"/>
      <c r="AY2" s="349"/>
      <c r="AZ2" s="349"/>
      <c r="BA2" s="212"/>
      <c r="BB2" s="337" t="s">
        <v>31</v>
      </c>
      <c r="BC2" s="337"/>
      <c r="BD2" s="337"/>
      <c r="BE2" s="337"/>
      <c r="BF2" s="337"/>
      <c r="BG2" s="337"/>
      <c r="BH2" s="337"/>
      <c r="BI2" s="337"/>
      <c r="BJ2" s="337"/>
      <c r="BK2" s="213"/>
      <c r="BL2" s="338" t="s">
        <v>32</v>
      </c>
      <c r="BM2" s="338"/>
      <c r="BN2" s="338"/>
      <c r="BO2" s="338"/>
      <c r="BP2" s="338"/>
      <c r="BQ2" s="338"/>
    </row>
    <row r="3" spans="1:69" s="207" customFormat="1" ht="20.25" customHeight="1" x14ac:dyDescent="0.2">
      <c r="A3" s="341"/>
      <c r="B3" s="342"/>
      <c r="C3" s="342"/>
      <c r="D3" s="343"/>
      <c r="E3" s="208"/>
      <c r="F3" s="345"/>
      <c r="G3" s="344"/>
      <c r="H3" s="209"/>
      <c r="I3" s="344"/>
      <c r="J3" s="345"/>
      <c r="K3" s="209"/>
      <c r="L3" s="346" t="s">
        <v>683</v>
      </c>
      <c r="M3" s="346"/>
      <c r="N3" s="346"/>
      <c r="O3" s="346"/>
      <c r="P3" s="346"/>
      <c r="Q3" s="346"/>
      <c r="R3" s="346"/>
      <c r="S3" s="346"/>
      <c r="T3" s="346"/>
      <c r="U3" s="346"/>
      <c r="V3" s="346"/>
      <c r="W3" s="210"/>
      <c r="X3" s="347" t="s">
        <v>684</v>
      </c>
      <c r="Y3" s="347"/>
      <c r="Z3" s="347"/>
      <c r="AA3" s="347"/>
      <c r="AB3" s="347"/>
      <c r="AC3" s="347"/>
      <c r="AD3" s="347"/>
      <c r="AE3" s="347"/>
      <c r="AF3" s="347"/>
      <c r="AG3" s="210"/>
      <c r="AH3" s="348" t="s">
        <v>685</v>
      </c>
      <c r="AI3" s="348"/>
      <c r="AJ3" s="348"/>
      <c r="AK3" s="348"/>
      <c r="AL3" s="348"/>
      <c r="AM3" s="348"/>
      <c r="AN3" s="348"/>
      <c r="AO3" s="348"/>
      <c r="AP3" s="348"/>
      <c r="AQ3" s="210"/>
      <c r="AR3" s="349" t="s">
        <v>686</v>
      </c>
      <c r="AS3" s="349"/>
      <c r="AT3" s="349"/>
      <c r="AU3" s="349"/>
      <c r="AV3" s="349"/>
      <c r="AW3" s="349"/>
      <c r="AX3" s="349"/>
      <c r="AY3" s="349"/>
      <c r="AZ3" s="349"/>
      <c r="BA3" s="210"/>
      <c r="BB3" s="337" t="s">
        <v>687</v>
      </c>
      <c r="BC3" s="337"/>
      <c r="BD3" s="337"/>
      <c r="BE3" s="337"/>
      <c r="BF3" s="337"/>
      <c r="BG3" s="337"/>
      <c r="BH3" s="337"/>
      <c r="BI3" s="337"/>
      <c r="BJ3" s="337"/>
      <c r="BK3" s="213"/>
      <c r="BL3" s="338" t="s">
        <v>688</v>
      </c>
      <c r="BM3" s="338"/>
      <c r="BN3" s="338"/>
      <c r="BO3" s="338"/>
      <c r="BP3" s="338"/>
      <c r="BQ3" s="338"/>
    </row>
    <row r="4" spans="1:69" s="207" customFormat="1" ht="20.25" customHeight="1" x14ac:dyDescent="0.2">
      <c r="A4" s="341"/>
      <c r="B4" s="342"/>
      <c r="C4" s="342"/>
      <c r="D4" s="343"/>
      <c r="E4" s="208"/>
      <c r="F4" s="345"/>
      <c r="G4" s="344"/>
      <c r="H4" s="209"/>
      <c r="I4" s="344"/>
      <c r="J4" s="345"/>
      <c r="K4" s="209"/>
      <c r="L4" s="340" t="s">
        <v>33</v>
      </c>
      <c r="M4" s="340" t="s">
        <v>34</v>
      </c>
      <c r="N4" s="340" t="s">
        <v>35</v>
      </c>
      <c r="O4" s="340" t="s">
        <v>36</v>
      </c>
      <c r="P4" s="340" t="s">
        <v>37</v>
      </c>
      <c r="Q4" s="340" t="s">
        <v>38</v>
      </c>
      <c r="R4" s="340" t="s">
        <v>39</v>
      </c>
      <c r="S4" s="340" t="s">
        <v>40</v>
      </c>
      <c r="T4" s="340" t="s">
        <v>41</v>
      </c>
      <c r="U4" s="340" t="s">
        <v>42</v>
      </c>
      <c r="V4" s="340" t="s">
        <v>43</v>
      </c>
      <c r="W4" s="210"/>
      <c r="X4" s="334" t="s">
        <v>44</v>
      </c>
      <c r="Y4" s="334" t="s">
        <v>36</v>
      </c>
      <c r="Z4" s="334" t="s">
        <v>37</v>
      </c>
      <c r="AA4" s="334" t="s">
        <v>38</v>
      </c>
      <c r="AB4" s="334" t="s">
        <v>39</v>
      </c>
      <c r="AC4" s="334" t="s">
        <v>40</v>
      </c>
      <c r="AD4" s="334" t="s">
        <v>41</v>
      </c>
      <c r="AE4" s="334" t="s">
        <v>42</v>
      </c>
      <c r="AF4" s="334" t="s">
        <v>43</v>
      </c>
      <c r="AG4" s="210"/>
      <c r="AH4" s="335" t="s">
        <v>45</v>
      </c>
      <c r="AI4" s="335" t="s">
        <v>36</v>
      </c>
      <c r="AJ4" s="335" t="s">
        <v>37</v>
      </c>
      <c r="AK4" s="335" t="s">
        <v>38</v>
      </c>
      <c r="AL4" s="335" t="s">
        <v>39</v>
      </c>
      <c r="AM4" s="335" t="s">
        <v>40</v>
      </c>
      <c r="AN4" s="335" t="s">
        <v>41</v>
      </c>
      <c r="AO4" s="335" t="s">
        <v>42</v>
      </c>
      <c r="AP4" s="335" t="s">
        <v>43</v>
      </c>
      <c r="AQ4" s="210"/>
      <c r="AR4" s="336" t="s">
        <v>46</v>
      </c>
      <c r="AS4" s="336" t="s">
        <v>36</v>
      </c>
      <c r="AT4" s="336" t="s">
        <v>37</v>
      </c>
      <c r="AU4" s="336" t="s">
        <v>38</v>
      </c>
      <c r="AV4" s="336" t="s">
        <v>39</v>
      </c>
      <c r="AW4" s="336" t="s">
        <v>40</v>
      </c>
      <c r="AX4" s="336" t="s">
        <v>41</v>
      </c>
      <c r="AY4" s="336" t="s">
        <v>42</v>
      </c>
      <c r="AZ4" s="336" t="s">
        <v>43</v>
      </c>
      <c r="BA4" s="210"/>
      <c r="BB4" s="339" t="s">
        <v>47</v>
      </c>
      <c r="BC4" s="339" t="s">
        <v>36</v>
      </c>
      <c r="BD4" s="339" t="s">
        <v>37</v>
      </c>
      <c r="BE4" s="339" t="s">
        <v>38</v>
      </c>
      <c r="BF4" s="339" t="s">
        <v>39</v>
      </c>
      <c r="BG4" s="339" t="s">
        <v>40</v>
      </c>
      <c r="BH4" s="339" t="s">
        <v>41</v>
      </c>
      <c r="BI4" s="339" t="s">
        <v>42</v>
      </c>
      <c r="BJ4" s="339" t="s">
        <v>43</v>
      </c>
      <c r="BK4" s="213"/>
      <c r="BL4" s="333" t="s">
        <v>48</v>
      </c>
      <c r="BM4" s="333" t="s">
        <v>49</v>
      </c>
      <c r="BN4" s="333" t="s">
        <v>41</v>
      </c>
      <c r="BO4" s="333" t="s">
        <v>50</v>
      </c>
      <c r="BP4" s="333" t="s">
        <v>51</v>
      </c>
      <c r="BQ4" s="333" t="s">
        <v>41</v>
      </c>
    </row>
    <row r="5" spans="1:69" s="207" customFormat="1" ht="20.25" customHeight="1" x14ac:dyDescent="0.2">
      <c r="A5" s="341"/>
      <c r="B5" s="342"/>
      <c r="C5" s="342"/>
      <c r="D5" s="255" t="s">
        <v>376</v>
      </c>
      <c r="E5" s="208"/>
      <c r="F5" s="214" t="s">
        <v>52</v>
      </c>
      <c r="G5" s="215" t="s">
        <v>52</v>
      </c>
      <c r="H5" s="209"/>
      <c r="I5" s="214" t="s">
        <v>52</v>
      </c>
      <c r="J5" s="214" t="s">
        <v>52</v>
      </c>
      <c r="K5" s="209"/>
      <c r="L5" s="340"/>
      <c r="M5" s="340"/>
      <c r="N5" s="340"/>
      <c r="O5" s="340"/>
      <c r="P5" s="340"/>
      <c r="Q5" s="340"/>
      <c r="R5" s="340"/>
      <c r="S5" s="340"/>
      <c r="T5" s="340"/>
      <c r="U5" s="340"/>
      <c r="V5" s="340"/>
      <c r="W5" s="210"/>
      <c r="X5" s="334"/>
      <c r="Y5" s="334"/>
      <c r="Z5" s="334"/>
      <c r="AA5" s="334"/>
      <c r="AB5" s="334"/>
      <c r="AC5" s="334"/>
      <c r="AD5" s="334"/>
      <c r="AE5" s="334"/>
      <c r="AF5" s="334"/>
      <c r="AG5" s="210"/>
      <c r="AH5" s="335"/>
      <c r="AI5" s="335"/>
      <c r="AJ5" s="335"/>
      <c r="AK5" s="335"/>
      <c r="AL5" s="335"/>
      <c r="AM5" s="335"/>
      <c r="AN5" s="335"/>
      <c r="AO5" s="335"/>
      <c r="AP5" s="335"/>
      <c r="AQ5" s="210"/>
      <c r="AR5" s="336"/>
      <c r="AS5" s="336"/>
      <c r="AT5" s="336"/>
      <c r="AU5" s="336"/>
      <c r="AV5" s="336"/>
      <c r="AW5" s="336"/>
      <c r="AX5" s="336"/>
      <c r="AY5" s="336"/>
      <c r="AZ5" s="336"/>
      <c r="BA5" s="210"/>
      <c r="BB5" s="339"/>
      <c r="BC5" s="339"/>
      <c r="BD5" s="339"/>
      <c r="BE5" s="339"/>
      <c r="BF5" s="339"/>
      <c r="BG5" s="339"/>
      <c r="BH5" s="339"/>
      <c r="BI5" s="339"/>
      <c r="BJ5" s="339"/>
      <c r="BK5" s="213"/>
      <c r="BL5" s="333"/>
      <c r="BM5" s="333"/>
      <c r="BN5" s="333"/>
      <c r="BO5" s="333"/>
      <c r="BP5" s="333"/>
      <c r="BQ5" s="333"/>
    </row>
    <row r="6" spans="1:69" s="207" customFormat="1" ht="22.35" customHeight="1" x14ac:dyDescent="0.2">
      <c r="A6" s="216" t="s">
        <v>4</v>
      </c>
      <c r="B6" s="216" t="s">
        <v>0</v>
      </c>
      <c r="C6" s="216" t="s">
        <v>5</v>
      </c>
      <c r="D6" s="217">
        <v>1.89995189988889</v>
      </c>
      <c r="E6" s="218"/>
      <c r="F6" s="219">
        <v>4.4999999999999998E-2</v>
      </c>
      <c r="G6" s="219">
        <v>2.8000000000000001E-2</v>
      </c>
      <c r="H6" s="220"/>
      <c r="I6" s="221">
        <v>5</v>
      </c>
      <c r="J6" s="221">
        <v>4</v>
      </c>
      <c r="K6" s="218"/>
      <c r="L6" s="222">
        <v>60.838459999999998</v>
      </c>
      <c r="M6" s="222">
        <v>269.56455</v>
      </c>
      <c r="N6" s="222">
        <v>330.40300999999999</v>
      </c>
      <c r="O6" s="217">
        <v>173.90072349690601</v>
      </c>
      <c r="P6" s="223">
        <v>234.65600000000001</v>
      </c>
      <c r="Q6" s="239">
        <v>0.74108790526092005</v>
      </c>
      <c r="R6" s="222">
        <v>-156.44893341819699</v>
      </c>
      <c r="S6" s="219"/>
      <c r="T6" s="219"/>
      <c r="U6" s="226">
        <v>116</v>
      </c>
      <c r="V6" s="227">
        <v>205</v>
      </c>
      <c r="W6" s="218"/>
      <c r="X6" s="226">
        <v>1524.2224349999999</v>
      </c>
      <c r="Y6" s="217">
        <v>802.24264366331499</v>
      </c>
      <c r="Z6" s="228">
        <v>573</v>
      </c>
      <c r="AA6" s="229">
        <v>1.40007442175099</v>
      </c>
      <c r="AB6" s="230">
        <v>335.39213200912297</v>
      </c>
      <c r="AC6" s="219">
        <v>0.02</v>
      </c>
      <c r="AD6" s="219">
        <v>0.02</v>
      </c>
      <c r="AE6" s="227">
        <v>0</v>
      </c>
      <c r="AF6" s="227">
        <v>0</v>
      </c>
      <c r="AG6" s="218"/>
      <c r="AH6" s="231">
        <v>116.1</v>
      </c>
      <c r="AI6" s="217">
        <v>61.106810128608799</v>
      </c>
      <c r="AJ6" s="232" t="s">
        <v>53</v>
      </c>
      <c r="AK6" s="233">
        <v>0.96994936712077495</v>
      </c>
      <c r="AL6" s="234">
        <v>-14.6090909047561</v>
      </c>
      <c r="AM6" s="219">
        <v>7.0000000000000001E-3</v>
      </c>
      <c r="AN6" s="219"/>
      <c r="AO6" s="227">
        <v>4</v>
      </c>
      <c r="AP6" s="227">
        <v>28</v>
      </c>
      <c r="AQ6" s="218"/>
      <c r="AR6" s="231">
        <v>20.2</v>
      </c>
      <c r="AS6" s="217">
        <v>10.631848101618401</v>
      </c>
      <c r="AT6" s="232" t="s">
        <v>54</v>
      </c>
      <c r="AU6" s="224">
        <v>0.66449050635115103</v>
      </c>
      <c r="AV6" s="225">
        <v>-12.9959595948587</v>
      </c>
      <c r="AW6" s="219"/>
      <c r="AX6" s="219"/>
      <c r="AY6" s="227">
        <v>11</v>
      </c>
      <c r="AZ6" s="227">
        <v>17</v>
      </c>
      <c r="BA6" s="218"/>
      <c r="BB6" s="235">
        <v>65.400000000000006</v>
      </c>
      <c r="BC6" s="231">
        <v>34.421924051774504</v>
      </c>
      <c r="BD6" s="232" t="s">
        <v>55</v>
      </c>
      <c r="BE6" s="233">
        <v>1.0756851266179499</v>
      </c>
      <c r="BF6" s="234">
        <v>-0.99191918971737902</v>
      </c>
      <c r="BG6" s="219">
        <v>1.7999999999999999E-2</v>
      </c>
      <c r="BH6" s="219">
        <v>8.0000000000000002E-3</v>
      </c>
      <c r="BI6" s="227">
        <v>0</v>
      </c>
      <c r="BJ6" s="227">
        <v>8</v>
      </c>
      <c r="BK6" s="220"/>
      <c r="BL6" s="236">
        <v>0.8</v>
      </c>
      <c r="BM6" s="233">
        <v>0.84</v>
      </c>
      <c r="BN6" s="237">
        <v>1.5E-3</v>
      </c>
      <c r="BO6" s="238">
        <v>0.95</v>
      </c>
      <c r="BP6" s="229">
        <v>1</v>
      </c>
      <c r="BQ6" s="237">
        <v>2.5000000000000001E-3</v>
      </c>
    </row>
    <row r="7" spans="1:69" s="207" customFormat="1" ht="22.35" customHeight="1" x14ac:dyDescent="0.2">
      <c r="A7" s="216" t="s">
        <v>4</v>
      </c>
      <c r="B7" s="216" t="s">
        <v>0</v>
      </c>
      <c r="C7" s="216" t="s">
        <v>56</v>
      </c>
      <c r="D7" s="217">
        <v>9.1914924981111099</v>
      </c>
      <c r="E7" s="218"/>
      <c r="F7" s="219">
        <v>0.05</v>
      </c>
      <c r="G7" s="219">
        <v>4.2999999999999997E-2</v>
      </c>
      <c r="H7" s="220"/>
      <c r="I7" s="221">
        <v>5</v>
      </c>
      <c r="J7" s="221">
        <v>5</v>
      </c>
      <c r="K7" s="218"/>
      <c r="L7" s="222">
        <v>3383.2582299999999</v>
      </c>
      <c r="M7" s="222">
        <v>6072.9832699999997</v>
      </c>
      <c r="N7" s="222">
        <v>9456.2415000000001</v>
      </c>
      <c r="O7" s="217">
        <v>1028.80370102497</v>
      </c>
      <c r="P7" s="223">
        <v>244.07400000000001</v>
      </c>
      <c r="Q7" s="229">
        <v>4.2151302515834104</v>
      </c>
      <c r="R7" s="230">
        <v>7006.4439607374998</v>
      </c>
      <c r="S7" s="219">
        <v>0.01</v>
      </c>
      <c r="T7" s="219">
        <v>0.01</v>
      </c>
      <c r="U7" s="226">
        <v>0</v>
      </c>
      <c r="V7" s="227">
        <v>0</v>
      </c>
      <c r="W7" s="218"/>
      <c r="X7" s="226">
        <v>5969.496365</v>
      </c>
      <c r="Y7" s="217">
        <v>649.45887365155897</v>
      </c>
      <c r="Z7" s="228">
        <v>573</v>
      </c>
      <c r="AA7" s="229">
        <v>1.13343607967113</v>
      </c>
      <c r="AB7" s="230">
        <v>218.232445051909</v>
      </c>
      <c r="AC7" s="219">
        <v>0.02</v>
      </c>
      <c r="AD7" s="219">
        <v>1.2999999999999999E-2</v>
      </c>
      <c r="AE7" s="227">
        <v>0</v>
      </c>
      <c r="AF7" s="227">
        <v>351</v>
      </c>
      <c r="AG7" s="218"/>
      <c r="AH7" s="231">
        <v>462.15</v>
      </c>
      <c r="AI7" s="217">
        <v>50.280191176239697</v>
      </c>
      <c r="AJ7" s="232" t="s">
        <v>53</v>
      </c>
      <c r="AK7" s="239">
        <v>0.79809827263872601</v>
      </c>
      <c r="AL7" s="222">
        <v>-170.18791790005201</v>
      </c>
      <c r="AM7" s="219"/>
      <c r="AN7" s="219"/>
      <c r="AO7" s="227">
        <v>117</v>
      </c>
      <c r="AP7" s="227">
        <v>233</v>
      </c>
      <c r="AQ7" s="218"/>
      <c r="AR7" s="231">
        <v>73.7</v>
      </c>
      <c r="AS7" s="217">
        <v>8.0182843009604401</v>
      </c>
      <c r="AT7" s="232" t="s">
        <v>54</v>
      </c>
      <c r="AU7" s="224">
        <v>0.50114276881002695</v>
      </c>
      <c r="AV7" s="225">
        <v>-86.893756926997298</v>
      </c>
      <c r="AW7" s="219"/>
      <c r="AX7" s="219"/>
      <c r="AY7" s="227">
        <v>74</v>
      </c>
      <c r="AZ7" s="227">
        <v>103</v>
      </c>
      <c r="BA7" s="218"/>
      <c r="BB7" s="235">
        <v>382</v>
      </c>
      <c r="BC7" s="231">
        <v>41.560171003621299</v>
      </c>
      <c r="BD7" s="232" t="s">
        <v>55</v>
      </c>
      <c r="BE7" s="229">
        <v>1.29875534386316</v>
      </c>
      <c r="BF7" s="230">
        <v>60.812486146005398</v>
      </c>
      <c r="BG7" s="219">
        <v>0.02</v>
      </c>
      <c r="BH7" s="219">
        <v>0.02</v>
      </c>
      <c r="BI7" s="227">
        <v>0</v>
      </c>
      <c r="BJ7" s="227">
        <v>0</v>
      </c>
      <c r="BK7" s="220"/>
      <c r="BL7" s="236">
        <v>0.8</v>
      </c>
      <c r="BM7" s="233">
        <v>0.82</v>
      </c>
      <c r="BN7" s="237">
        <v>7.5000000000000002E-4</v>
      </c>
      <c r="BO7" s="238">
        <v>0.95</v>
      </c>
      <c r="BP7" s="229">
        <v>1</v>
      </c>
      <c r="BQ7" s="237">
        <v>2.5000000000000001E-3</v>
      </c>
    </row>
    <row r="8" spans="1:69" s="207" customFormat="1" ht="22.35" customHeight="1" x14ac:dyDescent="0.2">
      <c r="A8" s="216" t="s">
        <v>4</v>
      </c>
      <c r="B8" s="216" t="s">
        <v>0</v>
      </c>
      <c r="C8" s="216" t="s">
        <v>57</v>
      </c>
      <c r="D8" s="217">
        <v>2.4137029143333302</v>
      </c>
      <c r="E8" s="218"/>
      <c r="F8" s="219">
        <v>5.3999999999999999E-2</v>
      </c>
      <c r="G8" s="219">
        <v>0.05</v>
      </c>
      <c r="H8" s="220"/>
      <c r="I8" s="221">
        <v>6</v>
      </c>
      <c r="J8" s="221">
        <v>5</v>
      </c>
      <c r="K8" s="218"/>
      <c r="L8" s="222">
        <v>963.30571999999995</v>
      </c>
      <c r="M8" s="222">
        <v>736.54602</v>
      </c>
      <c r="N8" s="222">
        <v>1699.8517400000001</v>
      </c>
      <c r="O8" s="217">
        <v>704.25060594895103</v>
      </c>
      <c r="P8" s="223">
        <v>214.66499999999999</v>
      </c>
      <c r="Q8" s="229">
        <v>3.2806959958491202</v>
      </c>
      <c r="R8" s="230">
        <v>1134.0455505729401</v>
      </c>
      <c r="S8" s="219">
        <v>0.01</v>
      </c>
      <c r="T8" s="219">
        <v>0.01</v>
      </c>
      <c r="U8" s="226">
        <v>0</v>
      </c>
      <c r="V8" s="227">
        <v>0</v>
      </c>
      <c r="W8" s="218"/>
      <c r="X8" s="226">
        <v>2180.3409649999999</v>
      </c>
      <c r="Y8" s="217">
        <v>903.31786569608198</v>
      </c>
      <c r="Z8" s="228">
        <v>573</v>
      </c>
      <c r="AA8" s="229">
        <v>1.5764709698011901</v>
      </c>
      <c r="AB8" s="230">
        <v>670.04843225500599</v>
      </c>
      <c r="AC8" s="219">
        <v>0.02</v>
      </c>
      <c r="AD8" s="219">
        <v>0.02</v>
      </c>
      <c r="AE8" s="227">
        <v>0</v>
      </c>
      <c r="AF8" s="227">
        <v>0</v>
      </c>
      <c r="AG8" s="218"/>
      <c r="AH8" s="231">
        <v>105.85</v>
      </c>
      <c r="AI8" s="217">
        <v>43.853781412546297</v>
      </c>
      <c r="AJ8" s="232" t="s">
        <v>53</v>
      </c>
      <c r="AK8" s="224">
        <v>0.69609176845311604</v>
      </c>
      <c r="AL8" s="225">
        <v>-60.203105694475802</v>
      </c>
      <c r="AM8" s="219"/>
      <c r="AN8" s="219"/>
      <c r="AO8" s="227">
        <v>47</v>
      </c>
      <c r="AP8" s="227">
        <v>77</v>
      </c>
      <c r="AQ8" s="218"/>
      <c r="AR8" s="231">
        <v>38.1</v>
      </c>
      <c r="AS8" s="217">
        <v>15.784875501351101</v>
      </c>
      <c r="AT8" s="232" t="s">
        <v>54</v>
      </c>
      <c r="AU8" s="233">
        <v>0.98655471883444401</v>
      </c>
      <c r="AV8" s="234">
        <v>-4.0722173192319397</v>
      </c>
      <c r="AW8" s="219">
        <v>4.0000000000000001E-3</v>
      </c>
      <c r="AX8" s="219"/>
      <c r="AY8" s="227">
        <v>1</v>
      </c>
      <c r="AZ8" s="227">
        <v>9</v>
      </c>
      <c r="BA8" s="218"/>
      <c r="BB8" s="235">
        <v>105.8</v>
      </c>
      <c r="BC8" s="231">
        <v>43.8330663528332</v>
      </c>
      <c r="BD8" s="232" t="s">
        <v>55</v>
      </c>
      <c r="BE8" s="229">
        <v>1.3697833235260399</v>
      </c>
      <c r="BF8" s="230">
        <v>21.455565361536099</v>
      </c>
      <c r="BG8" s="219">
        <v>0.02</v>
      </c>
      <c r="BH8" s="219">
        <v>0.02</v>
      </c>
      <c r="BI8" s="227">
        <v>0</v>
      </c>
      <c r="BJ8" s="227">
        <v>0</v>
      </c>
      <c r="BK8" s="220"/>
      <c r="BL8" s="236">
        <v>0.8</v>
      </c>
      <c r="BM8" s="233">
        <v>0.88</v>
      </c>
      <c r="BN8" s="237">
        <v>3.0000000000000001E-3</v>
      </c>
      <c r="BO8" s="238">
        <v>0.95</v>
      </c>
      <c r="BP8" s="229">
        <v>1</v>
      </c>
      <c r="BQ8" s="237">
        <v>2.5000000000000001E-3</v>
      </c>
    </row>
    <row r="9" spans="1:69" s="207" customFormat="1" ht="22.35" customHeight="1" x14ac:dyDescent="0.2">
      <c r="A9" s="216" t="s">
        <v>4</v>
      </c>
      <c r="B9" s="216" t="s">
        <v>0</v>
      </c>
      <c r="C9" s="216" t="s">
        <v>58</v>
      </c>
      <c r="D9" s="217">
        <v>2.8152337733333299</v>
      </c>
      <c r="E9" s="218"/>
      <c r="F9" s="219">
        <v>2E-3</v>
      </c>
      <c r="G9" s="219"/>
      <c r="H9" s="220"/>
      <c r="I9" s="221">
        <v>3</v>
      </c>
      <c r="J9" s="221">
        <v>2</v>
      </c>
      <c r="K9" s="218"/>
      <c r="L9" s="222">
        <v>853.57285000000002</v>
      </c>
      <c r="M9" s="222">
        <v>-752.06227000000001</v>
      </c>
      <c r="N9" s="222">
        <v>101.51058</v>
      </c>
      <c r="O9" s="217">
        <v>36.057602378010699</v>
      </c>
      <c r="P9" s="223">
        <v>212.5</v>
      </c>
      <c r="Q9" s="224">
        <v>0.16968283472005</v>
      </c>
      <c r="R9" s="225">
        <v>-551.76441710199902</v>
      </c>
      <c r="S9" s="219"/>
      <c r="T9" s="219"/>
      <c r="U9" s="226">
        <v>497</v>
      </c>
      <c r="V9" s="227">
        <v>617</v>
      </c>
      <c r="W9" s="218"/>
      <c r="X9" s="226">
        <v>1494.4233899999999</v>
      </c>
      <c r="Y9" s="217">
        <v>530.83456306740402</v>
      </c>
      <c r="Z9" s="228">
        <v>573</v>
      </c>
      <c r="AA9" s="233">
        <v>0.92641285003037399</v>
      </c>
      <c r="AB9" s="234">
        <v>-267.11342571503798</v>
      </c>
      <c r="AC9" s="219">
        <v>2E-3</v>
      </c>
      <c r="AD9" s="219"/>
      <c r="AE9" s="227">
        <v>119</v>
      </c>
      <c r="AF9" s="227">
        <v>442</v>
      </c>
      <c r="AG9" s="218"/>
      <c r="AH9" s="231">
        <v>97</v>
      </c>
      <c r="AI9" s="217">
        <v>34.455397956223202</v>
      </c>
      <c r="AJ9" s="232" t="s">
        <v>53</v>
      </c>
      <c r="AK9" s="224">
        <v>0.54691107867021005</v>
      </c>
      <c r="AL9" s="225">
        <v>-96.676822670239702</v>
      </c>
      <c r="AM9" s="219"/>
      <c r="AN9" s="219"/>
      <c r="AO9" s="227">
        <v>81</v>
      </c>
      <c r="AP9" s="227">
        <v>116</v>
      </c>
      <c r="AQ9" s="218"/>
      <c r="AR9" s="231">
        <v>7</v>
      </c>
      <c r="AS9" s="217">
        <v>2.4864720174594099</v>
      </c>
      <c r="AT9" s="232" t="s">
        <v>54</v>
      </c>
      <c r="AU9" s="224">
        <v>0.15540450109121301</v>
      </c>
      <c r="AV9" s="225">
        <v>-42.1877644876799</v>
      </c>
      <c r="AW9" s="219"/>
      <c r="AX9" s="219"/>
      <c r="AY9" s="227">
        <v>39</v>
      </c>
      <c r="AZ9" s="227">
        <v>48</v>
      </c>
      <c r="BA9" s="218"/>
      <c r="BB9" s="235">
        <v>81</v>
      </c>
      <c r="BC9" s="231">
        <v>28.7720333448875</v>
      </c>
      <c r="BD9" s="232" t="s">
        <v>55</v>
      </c>
      <c r="BE9" s="239">
        <v>0.89912604202773305</v>
      </c>
      <c r="BF9" s="222">
        <v>-17.375528975359899</v>
      </c>
      <c r="BG9" s="219"/>
      <c r="BH9" s="219"/>
      <c r="BI9" s="227">
        <v>10</v>
      </c>
      <c r="BJ9" s="227">
        <v>28</v>
      </c>
      <c r="BK9" s="220"/>
      <c r="BL9" s="236">
        <v>0.8</v>
      </c>
      <c r="BM9" s="233">
        <v>0.82</v>
      </c>
      <c r="BN9" s="237">
        <v>7.5000000000000002E-4</v>
      </c>
      <c r="BO9" s="238">
        <v>0.95</v>
      </c>
      <c r="BP9" s="229">
        <v>1</v>
      </c>
      <c r="BQ9" s="237">
        <v>2.5000000000000001E-3</v>
      </c>
    </row>
    <row r="10" spans="1:69" s="207" customFormat="1" ht="22.35" customHeight="1" x14ac:dyDescent="0.2">
      <c r="A10" s="216" t="s">
        <v>4</v>
      </c>
      <c r="B10" s="216" t="s">
        <v>0</v>
      </c>
      <c r="C10" s="216" t="s">
        <v>59</v>
      </c>
      <c r="D10" s="217">
        <v>6.67734879333333</v>
      </c>
      <c r="E10" s="218"/>
      <c r="F10" s="219">
        <v>5.7000000000000002E-2</v>
      </c>
      <c r="G10" s="219">
        <v>0.04</v>
      </c>
      <c r="H10" s="220"/>
      <c r="I10" s="221">
        <v>6</v>
      </c>
      <c r="J10" s="221">
        <v>5</v>
      </c>
      <c r="K10" s="218"/>
      <c r="L10" s="222">
        <v>2698.1465199999998</v>
      </c>
      <c r="M10" s="222">
        <v>3152.4227000000001</v>
      </c>
      <c r="N10" s="222">
        <v>5850.5692200000003</v>
      </c>
      <c r="O10" s="217">
        <v>876.18146079791597</v>
      </c>
      <c r="P10" s="223">
        <v>234.65600000000001</v>
      </c>
      <c r="Q10" s="229">
        <v>3.7338975385155999</v>
      </c>
      <c r="R10" s="230">
        <v>4139.5363053743204</v>
      </c>
      <c r="S10" s="219">
        <v>0.01</v>
      </c>
      <c r="T10" s="219">
        <v>0.01</v>
      </c>
      <c r="U10" s="226">
        <v>0</v>
      </c>
      <c r="V10" s="227">
        <v>0</v>
      </c>
      <c r="W10" s="218"/>
      <c r="X10" s="226">
        <v>4900.5916100000004</v>
      </c>
      <c r="Y10" s="217">
        <v>733.91277910968995</v>
      </c>
      <c r="Z10" s="228">
        <v>573</v>
      </c>
      <c r="AA10" s="229">
        <v>1.2808250944322701</v>
      </c>
      <c r="AB10" s="230">
        <v>722.46763243064299</v>
      </c>
      <c r="AC10" s="219">
        <v>0.02</v>
      </c>
      <c r="AD10" s="219">
        <v>0.02</v>
      </c>
      <c r="AE10" s="227">
        <v>0</v>
      </c>
      <c r="AF10" s="227">
        <v>0</v>
      </c>
      <c r="AG10" s="218"/>
      <c r="AH10" s="231">
        <v>409.2</v>
      </c>
      <c r="AI10" s="217">
        <v>61.281806996295501</v>
      </c>
      <c r="AJ10" s="232" t="s">
        <v>53</v>
      </c>
      <c r="AK10" s="233">
        <v>0.97272709517929301</v>
      </c>
      <c r="AL10" s="234">
        <v>-50.174887586159699</v>
      </c>
      <c r="AM10" s="219">
        <v>7.0000000000000001E-3</v>
      </c>
      <c r="AN10" s="219"/>
      <c r="AO10" s="227">
        <v>12</v>
      </c>
      <c r="AP10" s="227">
        <v>96</v>
      </c>
      <c r="AQ10" s="218"/>
      <c r="AR10" s="231">
        <v>53.7</v>
      </c>
      <c r="AS10" s="217">
        <v>8.0421139679889304</v>
      </c>
      <c r="AT10" s="232" t="s">
        <v>54</v>
      </c>
      <c r="AU10" s="224">
        <v>0.50263212299930804</v>
      </c>
      <c r="AV10" s="225">
        <v>-62.966638117119899</v>
      </c>
      <c r="AW10" s="219"/>
      <c r="AX10" s="219"/>
      <c r="AY10" s="227">
        <v>54</v>
      </c>
      <c r="AZ10" s="227">
        <v>75</v>
      </c>
      <c r="BA10" s="218"/>
      <c r="BB10" s="235">
        <v>235.8</v>
      </c>
      <c r="BC10" s="231">
        <v>35.313416641560302</v>
      </c>
      <c r="BD10" s="232" t="s">
        <v>55</v>
      </c>
      <c r="BE10" s="229">
        <v>1.1035442700487601</v>
      </c>
      <c r="BF10" s="230">
        <v>2.46672376576015</v>
      </c>
      <c r="BG10" s="219">
        <v>0.02</v>
      </c>
      <c r="BH10" s="219">
        <v>0.01</v>
      </c>
      <c r="BI10" s="227">
        <v>0</v>
      </c>
      <c r="BJ10" s="227">
        <v>21</v>
      </c>
      <c r="BK10" s="220"/>
      <c r="BL10" s="236">
        <v>0.8</v>
      </c>
      <c r="BM10" s="233">
        <v>0.85</v>
      </c>
      <c r="BN10" s="237">
        <v>1.8749999999999999E-3</v>
      </c>
      <c r="BO10" s="238">
        <v>0.95</v>
      </c>
      <c r="BP10" s="229">
        <v>1</v>
      </c>
      <c r="BQ10" s="237">
        <v>2.5000000000000001E-3</v>
      </c>
    </row>
    <row r="11" spans="1:69" s="207" customFormat="1" ht="22.35" customHeight="1" x14ac:dyDescent="0.2">
      <c r="A11" s="216" t="s">
        <v>4</v>
      </c>
      <c r="B11" s="216" t="s">
        <v>0</v>
      </c>
      <c r="C11" s="216" t="s">
        <v>60</v>
      </c>
      <c r="D11" s="217">
        <v>2.0789473684444402</v>
      </c>
      <c r="E11" s="218"/>
      <c r="F11" s="219">
        <v>5.1999999999999998E-2</v>
      </c>
      <c r="G11" s="219">
        <v>3.4000000000000002E-2</v>
      </c>
      <c r="H11" s="220"/>
      <c r="I11" s="221">
        <v>6</v>
      </c>
      <c r="J11" s="221">
        <v>5</v>
      </c>
      <c r="K11" s="218"/>
      <c r="L11" s="222">
        <v>339.20531999999997</v>
      </c>
      <c r="M11" s="222">
        <v>251.37142</v>
      </c>
      <c r="N11" s="222">
        <v>590.57673999999997</v>
      </c>
      <c r="O11" s="217">
        <v>284.07488759173998</v>
      </c>
      <c r="P11" s="223">
        <v>214.66499999999999</v>
      </c>
      <c r="Q11" s="229">
        <v>1.3233404960833901</v>
      </c>
      <c r="R11" s="230">
        <v>103.241997362939</v>
      </c>
      <c r="S11" s="219">
        <v>0.01</v>
      </c>
      <c r="T11" s="219">
        <v>0.01</v>
      </c>
      <c r="U11" s="226">
        <v>0</v>
      </c>
      <c r="V11" s="227">
        <v>0</v>
      </c>
      <c r="W11" s="218"/>
      <c r="X11" s="226">
        <v>1241.1084499999999</v>
      </c>
      <c r="Y11" s="217">
        <v>596.98887467682698</v>
      </c>
      <c r="Z11" s="228">
        <v>573</v>
      </c>
      <c r="AA11" s="233">
        <v>1.0418654008321599</v>
      </c>
      <c r="AB11" s="234">
        <v>-59.722181593581098</v>
      </c>
      <c r="AC11" s="219">
        <v>1.4E-2</v>
      </c>
      <c r="AD11" s="219">
        <v>4.0000000000000001E-3</v>
      </c>
      <c r="AE11" s="227">
        <v>0</v>
      </c>
      <c r="AF11" s="227">
        <v>189</v>
      </c>
      <c r="AG11" s="218"/>
      <c r="AH11" s="231">
        <v>128.5</v>
      </c>
      <c r="AI11" s="217">
        <v>61.810126581582999</v>
      </c>
      <c r="AJ11" s="232" t="s">
        <v>53</v>
      </c>
      <c r="AK11" s="233">
        <v>0.98111312034258702</v>
      </c>
      <c r="AL11" s="234">
        <v>-14.523263159503699</v>
      </c>
      <c r="AM11" s="219">
        <v>8.0000000000000002E-3</v>
      </c>
      <c r="AN11" s="219"/>
      <c r="AO11" s="227">
        <v>3</v>
      </c>
      <c r="AP11" s="227">
        <v>29</v>
      </c>
      <c r="AQ11" s="218"/>
      <c r="AR11" s="231">
        <v>24.4</v>
      </c>
      <c r="AS11" s="217">
        <v>11.736708860627401</v>
      </c>
      <c r="AT11" s="232" t="s">
        <v>54</v>
      </c>
      <c r="AU11" s="239">
        <v>0.73354430378921398</v>
      </c>
      <c r="AV11" s="222">
        <v>-11.9233684214613</v>
      </c>
      <c r="AW11" s="219"/>
      <c r="AX11" s="219"/>
      <c r="AY11" s="227">
        <v>9</v>
      </c>
      <c r="AZ11" s="227">
        <v>16</v>
      </c>
      <c r="BA11" s="218"/>
      <c r="BB11" s="235">
        <v>81.8</v>
      </c>
      <c r="BC11" s="231">
        <v>39.3468354425952</v>
      </c>
      <c r="BD11" s="232" t="s">
        <v>55</v>
      </c>
      <c r="BE11" s="229">
        <v>1.2295886075811</v>
      </c>
      <c r="BF11" s="230">
        <v>9.1532631570774896</v>
      </c>
      <c r="BG11" s="219">
        <v>0.02</v>
      </c>
      <c r="BH11" s="219">
        <v>0.02</v>
      </c>
      <c r="BI11" s="227">
        <v>0</v>
      </c>
      <c r="BJ11" s="227">
        <v>0</v>
      </c>
      <c r="BK11" s="220"/>
      <c r="BL11" s="236">
        <v>0.8</v>
      </c>
      <c r="BM11" s="233">
        <v>0.85</v>
      </c>
      <c r="BN11" s="237">
        <v>1.8749999999999999E-3</v>
      </c>
      <c r="BO11" s="238">
        <v>0.95</v>
      </c>
      <c r="BP11" s="229">
        <v>1</v>
      </c>
      <c r="BQ11" s="237">
        <v>2.5000000000000001E-3</v>
      </c>
    </row>
    <row r="12" spans="1:69" s="207" customFormat="1" ht="22.35" customHeight="1" x14ac:dyDescent="0.2">
      <c r="A12" s="216" t="s">
        <v>4</v>
      </c>
      <c r="B12" s="216" t="s">
        <v>0</v>
      </c>
      <c r="C12" s="216" t="s">
        <v>61</v>
      </c>
      <c r="D12" s="217">
        <v>5.4163613696666699</v>
      </c>
      <c r="E12" s="218"/>
      <c r="F12" s="219">
        <v>4.2999999999999997E-2</v>
      </c>
      <c r="G12" s="219">
        <v>0.03</v>
      </c>
      <c r="H12" s="220"/>
      <c r="I12" s="221">
        <v>4</v>
      </c>
      <c r="J12" s="221">
        <v>4</v>
      </c>
      <c r="K12" s="218"/>
      <c r="L12" s="222">
        <v>1780.8915999999999</v>
      </c>
      <c r="M12" s="222">
        <v>2077.2503499999998</v>
      </c>
      <c r="N12" s="222">
        <v>3858.1419500000002</v>
      </c>
      <c r="O12" s="217">
        <v>712.31250773015495</v>
      </c>
      <c r="P12" s="223">
        <v>216.447</v>
      </c>
      <c r="Q12" s="229">
        <v>3.2909326889730699</v>
      </c>
      <c r="R12" s="230">
        <v>2577.9301050367799</v>
      </c>
      <c r="S12" s="219">
        <v>0.01</v>
      </c>
      <c r="T12" s="219">
        <v>0.01</v>
      </c>
      <c r="U12" s="226">
        <v>0</v>
      </c>
      <c r="V12" s="227">
        <v>0</v>
      </c>
      <c r="W12" s="218"/>
      <c r="X12" s="226">
        <v>3204.6095999999998</v>
      </c>
      <c r="Y12" s="217">
        <v>591.653580934763</v>
      </c>
      <c r="Z12" s="228">
        <v>573</v>
      </c>
      <c r="AA12" s="233">
        <v>1.0325542424690399</v>
      </c>
      <c r="AB12" s="234">
        <v>-184.49437078234899</v>
      </c>
      <c r="AC12" s="219">
        <v>1.2999999999999999E-2</v>
      </c>
      <c r="AD12" s="219">
        <v>3.0000000000000001E-3</v>
      </c>
      <c r="AE12" s="227">
        <v>0</v>
      </c>
      <c r="AF12" s="227">
        <v>520</v>
      </c>
      <c r="AG12" s="218"/>
      <c r="AH12" s="231">
        <v>307.39999999999998</v>
      </c>
      <c r="AI12" s="217">
        <v>56.7539680276019</v>
      </c>
      <c r="AJ12" s="232" t="s">
        <v>53</v>
      </c>
      <c r="AK12" s="239">
        <v>0.90085663535876004</v>
      </c>
      <c r="AL12" s="222">
        <v>-65.223996787588206</v>
      </c>
      <c r="AM12" s="219"/>
      <c r="AN12" s="219"/>
      <c r="AO12" s="227">
        <v>34</v>
      </c>
      <c r="AP12" s="227">
        <v>103</v>
      </c>
      <c r="AQ12" s="218"/>
      <c r="AR12" s="231">
        <v>46.2</v>
      </c>
      <c r="AS12" s="217">
        <v>8.5297115252934503</v>
      </c>
      <c r="AT12" s="232" t="s">
        <v>54</v>
      </c>
      <c r="AU12" s="224">
        <v>0.53310697033084098</v>
      </c>
      <c r="AV12" s="225">
        <v>-48.434665850816003</v>
      </c>
      <c r="AW12" s="219"/>
      <c r="AX12" s="219"/>
      <c r="AY12" s="227">
        <v>41</v>
      </c>
      <c r="AZ12" s="227">
        <v>58</v>
      </c>
      <c r="BA12" s="218"/>
      <c r="BB12" s="235">
        <v>202.2</v>
      </c>
      <c r="BC12" s="231">
        <v>37.3313348574532</v>
      </c>
      <c r="BD12" s="232" t="s">
        <v>55</v>
      </c>
      <c r="BE12" s="229">
        <v>1.1666042142954101</v>
      </c>
      <c r="BF12" s="230">
        <v>12.9306682983679</v>
      </c>
      <c r="BG12" s="219">
        <v>0.02</v>
      </c>
      <c r="BH12" s="219">
        <v>1.7000000000000001E-2</v>
      </c>
      <c r="BI12" s="227">
        <v>0</v>
      </c>
      <c r="BJ12" s="227">
        <v>6</v>
      </c>
      <c r="BK12" s="220"/>
      <c r="BL12" s="236">
        <v>0.8</v>
      </c>
      <c r="BM12" s="239">
        <v>0.78</v>
      </c>
      <c r="BN12" s="237"/>
      <c r="BO12" s="238">
        <v>0.95</v>
      </c>
      <c r="BP12" s="229">
        <v>1</v>
      </c>
      <c r="BQ12" s="237">
        <v>2.5000000000000001E-3</v>
      </c>
    </row>
    <row r="13" spans="1:69" s="207" customFormat="1" ht="22.35" customHeight="1" x14ac:dyDescent="0.2">
      <c r="A13" s="216" t="s">
        <v>4</v>
      </c>
      <c r="B13" s="216" t="s">
        <v>0</v>
      </c>
      <c r="C13" s="216" t="s">
        <v>62</v>
      </c>
      <c r="D13" s="217">
        <v>2.5347178251111102</v>
      </c>
      <c r="E13" s="218"/>
      <c r="F13" s="219">
        <v>6.8500000000000005E-2</v>
      </c>
      <c r="G13" s="219">
        <v>5.8000000000000003E-2</v>
      </c>
      <c r="H13" s="220"/>
      <c r="I13" s="221">
        <v>7</v>
      </c>
      <c r="J13" s="221">
        <v>6</v>
      </c>
      <c r="K13" s="218"/>
      <c r="L13" s="222">
        <v>2032.6742999999999</v>
      </c>
      <c r="M13" s="222">
        <v>1573.63273</v>
      </c>
      <c r="N13" s="222">
        <v>3606.3070299999999</v>
      </c>
      <c r="O13" s="217">
        <v>1422.7646936762701</v>
      </c>
      <c r="P13" s="223">
        <v>223.197</v>
      </c>
      <c r="Q13" s="229">
        <v>6.3744794673596399</v>
      </c>
      <c r="R13" s="230">
        <v>2988.5174054628301</v>
      </c>
      <c r="S13" s="219">
        <v>0.01</v>
      </c>
      <c r="T13" s="219">
        <v>0.01</v>
      </c>
      <c r="U13" s="226">
        <v>0</v>
      </c>
      <c r="V13" s="227">
        <v>0</v>
      </c>
      <c r="W13" s="218"/>
      <c r="X13" s="226">
        <v>2263.8560600000001</v>
      </c>
      <c r="Y13" s="217">
        <v>893.13928263425601</v>
      </c>
      <c r="Z13" s="228">
        <v>573</v>
      </c>
      <c r="AA13" s="229">
        <v>1.5587072995362199</v>
      </c>
      <c r="AB13" s="230">
        <v>677.842561342777</v>
      </c>
      <c r="AC13" s="219">
        <v>0.02</v>
      </c>
      <c r="AD13" s="219">
        <v>0.02</v>
      </c>
      <c r="AE13" s="227">
        <v>0</v>
      </c>
      <c r="AF13" s="227">
        <v>0</v>
      </c>
      <c r="AG13" s="218"/>
      <c r="AH13" s="231">
        <v>171.85</v>
      </c>
      <c r="AI13" s="217">
        <v>67.798473777832399</v>
      </c>
      <c r="AJ13" s="232" t="s">
        <v>53</v>
      </c>
      <c r="AK13" s="233">
        <v>1.0761662504417799</v>
      </c>
      <c r="AL13" s="234">
        <v>-2.5284474963439401</v>
      </c>
      <c r="AM13" s="219">
        <v>1.7999999999999999E-2</v>
      </c>
      <c r="AN13" s="219">
        <v>8.0000000000000002E-3</v>
      </c>
      <c r="AO13" s="227">
        <v>0</v>
      </c>
      <c r="AP13" s="227">
        <v>20</v>
      </c>
      <c r="AQ13" s="218"/>
      <c r="AR13" s="231">
        <v>37.4</v>
      </c>
      <c r="AS13" s="217">
        <v>14.7550940895603</v>
      </c>
      <c r="AT13" s="232" t="s">
        <v>54</v>
      </c>
      <c r="AU13" s="233">
        <v>0.92219338059751599</v>
      </c>
      <c r="AV13" s="234">
        <v>-6.8865898403413199</v>
      </c>
      <c r="AW13" s="219">
        <v>5.0000000000000001E-4</v>
      </c>
      <c r="AX13" s="219"/>
      <c r="AY13" s="227">
        <v>4</v>
      </c>
      <c r="AZ13" s="227">
        <v>12</v>
      </c>
      <c r="BA13" s="218"/>
      <c r="BB13" s="235">
        <v>146.80000000000001</v>
      </c>
      <c r="BC13" s="231">
        <v>57.915716907685699</v>
      </c>
      <c r="BD13" s="232" t="s">
        <v>55</v>
      </c>
      <c r="BE13" s="229">
        <v>1.8098661533651801</v>
      </c>
      <c r="BF13" s="230">
        <v>58.226820319317397</v>
      </c>
      <c r="BG13" s="219">
        <v>0.02</v>
      </c>
      <c r="BH13" s="219">
        <v>0.02</v>
      </c>
      <c r="BI13" s="227">
        <v>0</v>
      </c>
      <c r="BJ13" s="227">
        <v>0</v>
      </c>
      <c r="BK13" s="220"/>
      <c r="BL13" s="236">
        <v>0.8</v>
      </c>
      <c r="BM13" s="233">
        <v>0.82</v>
      </c>
      <c r="BN13" s="237">
        <v>7.5000000000000002E-4</v>
      </c>
      <c r="BO13" s="238">
        <v>0.95</v>
      </c>
      <c r="BP13" s="229">
        <v>1</v>
      </c>
      <c r="BQ13" s="237">
        <v>2.5000000000000001E-3</v>
      </c>
    </row>
    <row r="14" spans="1:69" s="207" customFormat="1" ht="22.35" customHeight="1" x14ac:dyDescent="0.2">
      <c r="A14" s="216" t="s">
        <v>4</v>
      </c>
      <c r="B14" s="216" t="s">
        <v>0</v>
      </c>
      <c r="C14" s="216" t="s">
        <v>63</v>
      </c>
      <c r="D14" s="217">
        <v>2.8184251681111099</v>
      </c>
      <c r="E14" s="218"/>
      <c r="F14" s="219">
        <v>0.02</v>
      </c>
      <c r="G14" s="219">
        <v>0.02</v>
      </c>
      <c r="H14" s="220"/>
      <c r="I14" s="221">
        <v>2</v>
      </c>
      <c r="J14" s="221">
        <v>2</v>
      </c>
      <c r="K14" s="218"/>
      <c r="L14" s="222">
        <v>1403.91356</v>
      </c>
      <c r="M14" s="222">
        <v>-1124.53325</v>
      </c>
      <c r="N14" s="222">
        <v>279.38031000000001</v>
      </c>
      <c r="O14" s="217">
        <v>99.126389148461499</v>
      </c>
      <c r="P14" s="223">
        <v>212.5</v>
      </c>
      <c r="Q14" s="224">
        <v>0.46647712540452502</v>
      </c>
      <c r="R14" s="225">
        <v>-374.635250260183</v>
      </c>
      <c r="S14" s="219"/>
      <c r="T14" s="219"/>
      <c r="U14" s="226">
        <v>320</v>
      </c>
      <c r="V14" s="227">
        <v>440</v>
      </c>
      <c r="W14" s="218"/>
      <c r="X14" s="226">
        <v>2082.6028849999998</v>
      </c>
      <c r="Y14" s="217">
        <v>738.92431438786298</v>
      </c>
      <c r="Z14" s="228">
        <v>573</v>
      </c>
      <c r="AA14" s="229">
        <v>1.28957122929819</v>
      </c>
      <c r="AB14" s="230">
        <v>319.06916251018902</v>
      </c>
      <c r="AC14" s="219">
        <v>0.02</v>
      </c>
      <c r="AD14" s="219">
        <v>0.02</v>
      </c>
      <c r="AE14" s="227">
        <v>0</v>
      </c>
      <c r="AF14" s="227">
        <v>0</v>
      </c>
      <c r="AG14" s="218"/>
      <c r="AH14" s="231">
        <v>147.19999999999999</v>
      </c>
      <c r="AI14" s="217">
        <v>52.227748199769501</v>
      </c>
      <c r="AJ14" s="232" t="s">
        <v>53</v>
      </c>
      <c r="AK14" s="239">
        <v>0.82901187618681704</v>
      </c>
      <c r="AL14" s="222">
        <v>-46.6963778653719</v>
      </c>
      <c r="AM14" s="219"/>
      <c r="AN14" s="219"/>
      <c r="AO14" s="227">
        <v>31</v>
      </c>
      <c r="AP14" s="227">
        <v>66</v>
      </c>
      <c r="AQ14" s="218"/>
      <c r="AR14" s="231">
        <v>15.3</v>
      </c>
      <c r="AS14" s="217">
        <v>5.4285635017423397</v>
      </c>
      <c r="AT14" s="232" t="s">
        <v>54</v>
      </c>
      <c r="AU14" s="224">
        <v>0.33928521885889601</v>
      </c>
      <c r="AV14" s="225">
        <v>-33.943524537237302</v>
      </c>
      <c r="AW14" s="219"/>
      <c r="AX14" s="219"/>
      <c r="AY14" s="227">
        <v>30</v>
      </c>
      <c r="AZ14" s="227">
        <v>39</v>
      </c>
      <c r="BA14" s="218"/>
      <c r="BB14" s="235">
        <v>64.400000000000006</v>
      </c>
      <c r="BC14" s="231">
        <v>22.849639837399099</v>
      </c>
      <c r="BD14" s="232" t="s">
        <v>55</v>
      </c>
      <c r="BE14" s="224">
        <v>0.71405124491872296</v>
      </c>
      <c r="BF14" s="225">
        <v>-34.087049074474599</v>
      </c>
      <c r="BG14" s="219"/>
      <c r="BH14" s="219"/>
      <c r="BI14" s="227">
        <v>26</v>
      </c>
      <c r="BJ14" s="227">
        <v>44</v>
      </c>
      <c r="BK14" s="220"/>
      <c r="BL14" s="236">
        <v>0.8</v>
      </c>
      <c r="BM14" s="239">
        <v>0.79</v>
      </c>
      <c r="BN14" s="237"/>
      <c r="BO14" s="238">
        <v>0.95</v>
      </c>
      <c r="BP14" s="229">
        <v>1</v>
      </c>
      <c r="BQ14" s="237">
        <v>2.5000000000000001E-3</v>
      </c>
    </row>
    <row r="15" spans="1:69" s="207" customFormat="1" ht="22.35" customHeight="1" x14ac:dyDescent="0.2">
      <c r="A15" s="216" t="s">
        <v>4</v>
      </c>
      <c r="B15" s="216" t="s">
        <v>64</v>
      </c>
      <c r="C15" s="216" t="s">
        <v>65</v>
      </c>
      <c r="D15" s="217">
        <v>3.6851069297777799</v>
      </c>
      <c r="E15" s="218"/>
      <c r="F15" s="219">
        <v>1.4E-2</v>
      </c>
      <c r="G15" s="219">
        <v>0.01</v>
      </c>
      <c r="H15" s="220"/>
      <c r="I15" s="221">
        <v>4</v>
      </c>
      <c r="J15" s="221">
        <v>3</v>
      </c>
      <c r="K15" s="218"/>
      <c r="L15" s="222">
        <v>2777.9721500000001</v>
      </c>
      <c r="M15" s="222">
        <v>-1631.2815499999999</v>
      </c>
      <c r="N15" s="222">
        <v>1146.6905999999999</v>
      </c>
      <c r="O15" s="217">
        <v>311.16888108024301</v>
      </c>
      <c r="P15" s="223">
        <v>231.52600000000001</v>
      </c>
      <c r="Q15" s="229">
        <v>1.3439910899002401</v>
      </c>
      <c r="R15" s="230">
        <v>214.99831081008699</v>
      </c>
      <c r="S15" s="219">
        <v>0.01</v>
      </c>
      <c r="T15" s="219">
        <v>0.01</v>
      </c>
      <c r="U15" s="226">
        <v>0</v>
      </c>
      <c r="V15" s="227">
        <v>0</v>
      </c>
      <c r="W15" s="218"/>
      <c r="X15" s="226">
        <v>1991.613245</v>
      </c>
      <c r="Y15" s="217">
        <v>540.44924148784503</v>
      </c>
      <c r="Z15" s="228">
        <v>573</v>
      </c>
      <c r="AA15" s="233">
        <v>0.94319239352154405</v>
      </c>
      <c r="AB15" s="234">
        <v>-314.217122672833</v>
      </c>
      <c r="AC15" s="219">
        <v>4.0000000000000001E-3</v>
      </c>
      <c r="AD15" s="219"/>
      <c r="AE15" s="227">
        <v>120</v>
      </c>
      <c r="AF15" s="227">
        <v>543</v>
      </c>
      <c r="AG15" s="218"/>
      <c r="AH15" s="231">
        <v>172.5</v>
      </c>
      <c r="AI15" s="217">
        <v>46.810039243665102</v>
      </c>
      <c r="AJ15" s="232" t="s">
        <v>53</v>
      </c>
      <c r="AK15" s="239">
        <v>0.74301649593119201</v>
      </c>
      <c r="AL15" s="222">
        <v>-81.020616340992206</v>
      </c>
      <c r="AM15" s="219"/>
      <c r="AN15" s="219"/>
      <c r="AO15" s="227">
        <v>60</v>
      </c>
      <c r="AP15" s="227">
        <v>107</v>
      </c>
      <c r="AQ15" s="218"/>
      <c r="AR15" s="231">
        <v>16.600000000000001</v>
      </c>
      <c r="AS15" s="217">
        <v>4.5046182692454497</v>
      </c>
      <c r="AT15" s="232" t="s">
        <v>54</v>
      </c>
      <c r="AU15" s="224">
        <v>0.281538641827841</v>
      </c>
      <c r="AV15" s="225">
        <v>-47.7861882770774</v>
      </c>
      <c r="AW15" s="219"/>
      <c r="AX15" s="219"/>
      <c r="AY15" s="227">
        <v>43</v>
      </c>
      <c r="AZ15" s="227">
        <v>55</v>
      </c>
      <c r="BA15" s="218"/>
      <c r="BB15" s="235">
        <v>97.4</v>
      </c>
      <c r="BC15" s="231">
        <v>26.430712013524499</v>
      </c>
      <c r="BD15" s="232" t="s">
        <v>55</v>
      </c>
      <c r="BE15" s="239">
        <v>0.82595975042264103</v>
      </c>
      <c r="BF15" s="222">
        <v>-31.372376554154801</v>
      </c>
      <c r="BG15" s="219"/>
      <c r="BH15" s="219"/>
      <c r="BI15" s="227">
        <v>21</v>
      </c>
      <c r="BJ15" s="227">
        <v>45</v>
      </c>
      <c r="BK15" s="220"/>
      <c r="BL15" s="236">
        <v>0.8</v>
      </c>
      <c r="BM15" s="233">
        <v>0.81</v>
      </c>
      <c r="BN15" s="237">
        <v>3.7500000000000001E-4</v>
      </c>
      <c r="BO15" s="238">
        <v>0.95</v>
      </c>
      <c r="BP15" s="229">
        <v>1</v>
      </c>
      <c r="BQ15" s="237">
        <v>2.5000000000000001E-3</v>
      </c>
    </row>
    <row r="16" spans="1:69" s="207" customFormat="1" ht="22.35" customHeight="1" x14ac:dyDescent="0.2">
      <c r="A16" s="216" t="s">
        <v>4</v>
      </c>
      <c r="B16" s="216" t="s">
        <v>64</v>
      </c>
      <c r="C16" s="216" t="s">
        <v>66</v>
      </c>
      <c r="D16" s="217">
        <v>2.98808404311111</v>
      </c>
      <c r="E16" s="218"/>
      <c r="F16" s="219">
        <v>0.05</v>
      </c>
      <c r="G16" s="219">
        <v>4.1000000000000002E-2</v>
      </c>
      <c r="H16" s="220"/>
      <c r="I16" s="221">
        <v>5</v>
      </c>
      <c r="J16" s="221">
        <v>5</v>
      </c>
      <c r="K16" s="218"/>
      <c r="L16" s="222">
        <v>1685.7741699999999</v>
      </c>
      <c r="M16" s="222">
        <v>347.00355000000002</v>
      </c>
      <c r="N16" s="222">
        <v>2032.77772</v>
      </c>
      <c r="O16" s="217">
        <v>680.29469408214095</v>
      </c>
      <c r="P16" s="223">
        <v>233.14400000000001</v>
      </c>
      <c r="Q16" s="229">
        <v>2.91791636963482</v>
      </c>
      <c r="R16" s="230">
        <v>1272.03169816737</v>
      </c>
      <c r="S16" s="219">
        <v>0.01</v>
      </c>
      <c r="T16" s="219">
        <v>0.01</v>
      </c>
      <c r="U16" s="226">
        <v>0</v>
      </c>
      <c r="V16" s="227">
        <v>0</v>
      </c>
      <c r="W16" s="218"/>
      <c r="X16" s="226">
        <v>2154.3145450000002</v>
      </c>
      <c r="Y16" s="217">
        <v>720.96852495386497</v>
      </c>
      <c r="Z16" s="228">
        <v>573</v>
      </c>
      <c r="AA16" s="229">
        <v>1.25823477304339</v>
      </c>
      <c r="AB16" s="230">
        <v>284.62254988068901</v>
      </c>
      <c r="AC16" s="219">
        <v>0.02</v>
      </c>
      <c r="AD16" s="219">
        <v>0.02</v>
      </c>
      <c r="AE16" s="227">
        <v>0</v>
      </c>
      <c r="AF16" s="227">
        <v>0</v>
      </c>
      <c r="AG16" s="218"/>
      <c r="AH16" s="231">
        <v>171.3</v>
      </c>
      <c r="AI16" s="217">
        <v>57.3277048197236</v>
      </c>
      <c r="AJ16" s="232" t="s">
        <v>53</v>
      </c>
      <c r="AK16" s="239">
        <v>0.90996356856704097</v>
      </c>
      <c r="AL16" s="222">
        <v>-34.268229829871899</v>
      </c>
      <c r="AM16" s="219">
        <v>0</v>
      </c>
      <c r="AN16" s="219"/>
      <c r="AO16" s="227">
        <v>17</v>
      </c>
      <c r="AP16" s="227">
        <v>55</v>
      </c>
      <c r="AQ16" s="218"/>
      <c r="AR16" s="231">
        <v>19.8</v>
      </c>
      <c r="AS16" s="217">
        <v>6.6263196464128802</v>
      </c>
      <c r="AT16" s="232" t="s">
        <v>54</v>
      </c>
      <c r="AU16" s="224">
        <v>0.41414497790080501</v>
      </c>
      <c r="AV16" s="225">
        <v>-32.4078044012373</v>
      </c>
      <c r="AW16" s="219"/>
      <c r="AX16" s="219"/>
      <c r="AY16" s="227">
        <v>29</v>
      </c>
      <c r="AZ16" s="227">
        <v>38</v>
      </c>
      <c r="BA16" s="218"/>
      <c r="BB16" s="235">
        <v>105.8</v>
      </c>
      <c r="BC16" s="231">
        <v>35.407303969216301</v>
      </c>
      <c r="BD16" s="232" t="s">
        <v>55</v>
      </c>
      <c r="BE16" s="229">
        <v>1.1064782490380101</v>
      </c>
      <c r="BF16" s="230">
        <v>1.38439119752537</v>
      </c>
      <c r="BG16" s="219">
        <v>0.02</v>
      </c>
      <c r="BH16" s="219">
        <v>1.0999999999999999E-2</v>
      </c>
      <c r="BI16" s="227">
        <v>0</v>
      </c>
      <c r="BJ16" s="227">
        <v>9</v>
      </c>
      <c r="BK16" s="220"/>
      <c r="BL16" s="236">
        <v>0.8</v>
      </c>
      <c r="BM16" s="233">
        <v>0.81</v>
      </c>
      <c r="BN16" s="237">
        <v>3.7500000000000001E-4</v>
      </c>
      <c r="BO16" s="238">
        <v>0.95</v>
      </c>
      <c r="BP16" s="229">
        <v>1</v>
      </c>
      <c r="BQ16" s="237">
        <v>2.5000000000000001E-3</v>
      </c>
    </row>
    <row r="17" spans="1:69" s="207" customFormat="1" ht="22.35" customHeight="1" x14ac:dyDescent="0.2">
      <c r="A17" s="216" t="s">
        <v>4</v>
      </c>
      <c r="B17" s="216" t="s">
        <v>64</v>
      </c>
      <c r="C17" s="216" t="s">
        <v>67</v>
      </c>
      <c r="D17" s="217">
        <v>3.7318809292222199</v>
      </c>
      <c r="E17" s="218"/>
      <c r="F17" s="219">
        <v>0.05</v>
      </c>
      <c r="G17" s="219">
        <v>0.04</v>
      </c>
      <c r="H17" s="220"/>
      <c r="I17" s="221">
        <v>4</v>
      </c>
      <c r="J17" s="221">
        <v>4</v>
      </c>
      <c r="K17" s="218"/>
      <c r="L17" s="222">
        <v>1147.09989</v>
      </c>
      <c r="M17" s="222">
        <v>1168.21695</v>
      </c>
      <c r="N17" s="222">
        <v>2315.31684</v>
      </c>
      <c r="O17" s="217">
        <v>620.41551804884205</v>
      </c>
      <c r="P17" s="223">
        <v>246.29499999999999</v>
      </c>
      <c r="Q17" s="229">
        <v>2.51899355670575</v>
      </c>
      <c r="R17" s="230">
        <v>1311.61201409864</v>
      </c>
      <c r="S17" s="219">
        <v>0.01</v>
      </c>
      <c r="T17" s="219">
        <v>0.01</v>
      </c>
      <c r="U17" s="226">
        <v>0</v>
      </c>
      <c r="V17" s="227">
        <v>0</v>
      </c>
      <c r="W17" s="218"/>
      <c r="X17" s="226">
        <v>2740.45471</v>
      </c>
      <c r="Y17" s="217">
        <v>734.33605250935796</v>
      </c>
      <c r="Z17" s="228">
        <v>573</v>
      </c>
      <c r="AA17" s="229">
        <v>1.2815637914648501</v>
      </c>
      <c r="AB17" s="230">
        <v>405.35710249078898</v>
      </c>
      <c r="AC17" s="219">
        <v>0.02</v>
      </c>
      <c r="AD17" s="219">
        <v>0.02</v>
      </c>
      <c r="AE17" s="227">
        <v>0</v>
      </c>
      <c r="AF17" s="227">
        <v>0</v>
      </c>
      <c r="AG17" s="218"/>
      <c r="AH17" s="231">
        <v>147.1</v>
      </c>
      <c r="AI17" s="217">
        <v>39.417120425291202</v>
      </c>
      <c r="AJ17" s="232" t="s">
        <v>53</v>
      </c>
      <c r="AK17" s="224">
        <v>0.62566857817922505</v>
      </c>
      <c r="AL17" s="225">
        <v>-109.638480406772</v>
      </c>
      <c r="AM17" s="219"/>
      <c r="AN17" s="219"/>
      <c r="AO17" s="227">
        <v>89</v>
      </c>
      <c r="AP17" s="227">
        <v>136</v>
      </c>
      <c r="AQ17" s="218"/>
      <c r="AR17" s="231">
        <v>18.100000000000001</v>
      </c>
      <c r="AS17" s="217">
        <v>4.8501011536218304</v>
      </c>
      <c r="AT17" s="232" t="s">
        <v>54</v>
      </c>
      <c r="AU17" s="224">
        <v>0.30313132210136401</v>
      </c>
      <c r="AV17" s="225">
        <v>-47.1034235953706</v>
      </c>
      <c r="AW17" s="219"/>
      <c r="AX17" s="219"/>
      <c r="AY17" s="227">
        <v>42</v>
      </c>
      <c r="AZ17" s="227">
        <v>54</v>
      </c>
      <c r="BA17" s="218"/>
      <c r="BB17" s="235">
        <v>131.19999999999999</v>
      </c>
      <c r="BC17" s="231">
        <v>35.156534329015699</v>
      </c>
      <c r="BD17" s="232" t="s">
        <v>55</v>
      </c>
      <c r="BE17" s="229">
        <v>1.0986416977817399</v>
      </c>
      <c r="BF17" s="230">
        <v>0.79315280925871401</v>
      </c>
      <c r="BG17" s="219">
        <v>0.02</v>
      </c>
      <c r="BH17" s="219">
        <v>0.01</v>
      </c>
      <c r="BI17" s="227">
        <v>0</v>
      </c>
      <c r="BJ17" s="227">
        <v>13</v>
      </c>
      <c r="BK17" s="220"/>
      <c r="BL17" s="236">
        <v>0.8</v>
      </c>
      <c r="BM17" s="239">
        <v>0.77</v>
      </c>
      <c r="BN17" s="237"/>
      <c r="BO17" s="238">
        <v>0.95</v>
      </c>
      <c r="BP17" s="229">
        <v>1</v>
      </c>
      <c r="BQ17" s="237">
        <v>2.5000000000000001E-3</v>
      </c>
    </row>
    <row r="18" spans="1:69" s="207" customFormat="1" ht="22.35" customHeight="1" x14ac:dyDescent="0.2">
      <c r="A18" s="216" t="s">
        <v>4</v>
      </c>
      <c r="B18" s="216" t="s">
        <v>64</v>
      </c>
      <c r="C18" s="216" t="s">
        <v>68</v>
      </c>
      <c r="D18" s="217">
        <v>2.4135234434444399</v>
      </c>
      <c r="E18" s="218"/>
      <c r="F18" s="219">
        <v>0.06</v>
      </c>
      <c r="G18" s="219">
        <v>5.7000000000000002E-2</v>
      </c>
      <c r="H18" s="220"/>
      <c r="I18" s="221">
        <v>5</v>
      </c>
      <c r="J18" s="221">
        <v>5</v>
      </c>
      <c r="K18" s="218"/>
      <c r="L18" s="222">
        <v>265.68633999999997</v>
      </c>
      <c r="M18" s="222">
        <v>-858.96829000000002</v>
      </c>
      <c r="N18" s="222">
        <v>-593.28195000000005</v>
      </c>
      <c r="O18" s="217">
        <v>-245.815698045717</v>
      </c>
      <c r="P18" s="223">
        <v>233.14400000000001</v>
      </c>
      <c r="Q18" s="224">
        <v>-1.0543513796010899</v>
      </c>
      <c r="R18" s="225">
        <v>-1207.74872259066</v>
      </c>
      <c r="S18" s="219"/>
      <c r="T18" s="219"/>
      <c r="U18" s="226">
        <v>1156</v>
      </c>
      <c r="V18" s="227">
        <v>1269</v>
      </c>
      <c r="W18" s="218"/>
      <c r="X18" s="226">
        <v>1717.4284299999999</v>
      </c>
      <c r="Y18" s="217">
        <v>711.585559553954</v>
      </c>
      <c r="Z18" s="228">
        <v>573</v>
      </c>
      <c r="AA18" s="229">
        <v>1.24185961527741</v>
      </c>
      <c r="AB18" s="230">
        <v>207.248195061719</v>
      </c>
      <c r="AC18" s="219">
        <v>0.02</v>
      </c>
      <c r="AD18" s="219">
        <v>0.02</v>
      </c>
      <c r="AE18" s="227">
        <v>0</v>
      </c>
      <c r="AF18" s="227">
        <v>0</v>
      </c>
      <c r="AG18" s="218"/>
      <c r="AH18" s="231">
        <v>184.1</v>
      </c>
      <c r="AI18" s="217">
        <v>76.278521553228799</v>
      </c>
      <c r="AJ18" s="232" t="s">
        <v>53</v>
      </c>
      <c r="AK18" s="229">
        <v>1.2107701833845801</v>
      </c>
      <c r="AL18" s="230">
        <v>18.059241184796299</v>
      </c>
      <c r="AM18" s="219">
        <v>0.02</v>
      </c>
      <c r="AN18" s="219">
        <v>0.02</v>
      </c>
      <c r="AO18" s="227">
        <v>0</v>
      </c>
      <c r="AP18" s="227">
        <v>0</v>
      </c>
      <c r="AQ18" s="218"/>
      <c r="AR18" s="231">
        <v>17.3</v>
      </c>
      <c r="AS18" s="217">
        <v>7.1679436331931399</v>
      </c>
      <c r="AT18" s="232" t="s">
        <v>54</v>
      </c>
      <c r="AU18" s="224">
        <v>0.44799647707457102</v>
      </c>
      <c r="AV18" s="225">
        <v>-24.8690816038613</v>
      </c>
      <c r="AW18" s="219"/>
      <c r="AX18" s="219"/>
      <c r="AY18" s="227">
        <v>22</v>
      </c>
      <c r="AZ18" s="227">
        <v>30</v>
      </c>
      <c r="BA18" s="218"/>
      <c r="BB18" s="235">
        <v>90</v>
      </c>
      <c r="BC18" s="231">
        <v>37.289880172681102</v>
      </c>
      <c r="BD18" s="232" t="s">
        <v>55</v>
      </c>
      <c r="BE18" s="229">
        <v>1.16530875539628</v>
      </c>
      <c r="BF18" s="230">
        <v>5.6618367922774802</v>
      </c>
      <c r="BG18" s="219">
        <v>0.02</v>
      </c>
      <c r="BH18" s="219">
        <v>1.7000000000000001E-2</v>
      </c>
      <c r="BI18" s="227">
        <v>0</v>
      </c>
      <c r="BJ18" s="227">
        <v>3</v>
      </c>
      <c r="BK18" s="220"/>
      <c r="BL18" s="236">
        <v>0.8</v>
      </c>
      <c r="BM18" s="233">
        <v>0.86</v>
      </c>
      <c r="BN18" s="237">
        <v>2.2499999999999998E-3</v>
      </c>
      <c r="BO18" s="238">
        <v>0.95</v>
      </c>
      <c r="BP18" s="229">
        <v>1</v>
      </c>
      <c r="BQ18" s="237">
        <v>2.5000000000000001E-3</v>
      </c>
    </row>
    <row r="19" spans="1:69" s="207" customFormat="1" ht="22.35" customHeight="1" x14ac:dyDescent="0.2">
      <c r="A19" s="216" t="s">
        <v>4</v>
      </c>
      <c r="B19" s="216" t="s">
        <v>64</v>
      </c>
      <c r="C19" s="216" t="s">
        <v>69</v>
      </c>
      <c r="D19" s="217">
        <v>5.75203804544444</v>
      </c>
      <c r="E19" s="218"/>
      <c r="F19" s="219">
        <v>0.01</v>
      </c>
      <c r="G19" s="219">
        <v>0.01</v>
      </c>
      <c r="H19" s="220"/>
      <c r="I19" s="221">
        <v>2</v>
      </c>
      <c r="J19" s="221">
        <v>2</v>
      </c>
      <c r="K19" s="218"/>
      <c r="L19" s="222">
        <v>2369.9636700000001</v>
      </c>
      <c r="M19" s="222">
        <v>1868.5891999999999</v>
      </c>
      <c r="N19" s="222">
        <v>4238.5528700000004</v>
      </c>
      <c r="O19" s="217">
        <v>736.87844838872195</v>
      </c>
      <c r="P19" s="223">
        <v>212.5</v>
      </c>
      <c r="Q19" s="229">
        <v>3.46766328653516</v>
      </c>
      <c r="R19" s="230">
        <v>2903.7924415546199</v>
      </c>
      <c r="S19" s="219">
        <v>0.01</v>
      </c>
      <c r="T19" s="219">
        <v>0.01</v>
      </c>
      <c r="U19" s="226">
        <v>0</v>
      </c>
      <c r="V19" s="227">
        <v>0</v>
      </c>
      <c r="W19" s="218"/>
      <c r="X19" s="226">
        <v>2728.077655</v>
      </c>
      <c r="Y19" s="217">
        <v>474.28018268422397</v>
      </c>
      <c r="Z19" s="228">
        <v>573</v>
      </c>
      <c r="AA19" s="239">
        <v>0.82771410590615102</v>
      </c>
      <c r="AB19" s="222">
        <v>-871.064582643314</v>
      </c>
      <c r="AC19" s="219"/>
      <c r="AD19" s="219"/>
      <c r="AE19" s="227">
        <v>568</v>
      </c>
      <c r="AF19" s="227">
        <v>1228</v>
      </c>
      <c r="AG19" s="218"/>
      <c r="AH19" s="231">
        <v>285.89999999999998</v>
      </c>
      <c r="AI19" s="217">
        <v>49.704121867975097</v>
      </c>
      <c r="AJ19" s="232" t="s">
        <v>53</v>
      </c>
      <c r="AK19" s="239">
        <v>0.78895431536468397</v>
      </c>
      <c r="AL19" s="222">
        <v>-109.817209374396</v>
      </c>
      <c r="AM19" s="219"/>
      <c r="AN19" s="219"/>
      <c r="AO19" s="227">
        <v>77</v>
      </c>
      <c r="AP19" s="227">
        <v>149</v>
      </c>
      <c r="AQ19" s="218"/>
      <c r="AR19" s="231">
        <v>27.8</v>
      </c>
      <c r="AS19" s="217">
        <v>4.8330695625383298</v>
      </c>
      <c r="AT19" s="232" t="s">
        <v>54</v>
      </c>
      <c r="AU19" s="224">
        <v>0.302066847658646</v>
      </c>
      <c r="AV19" s="225">
        <v>-72.699608730005295</v>
      </c>
      <c r="AW19" s="219"/>
      <c r="AX19" s="219"/>
      <c r="AY19" s="227">
        <v>65</v>
      </c>
      <c r="AZ19" s="227">
        <v>83</v>
      </c>
      <c r="BA19" s="218"/>
      <c r="BB19" s="235">
        <v>147.4</v>
      </c>
      <c r="BC19" s="231">
        <v>25.625699766839901</v>
      </c>
      <c r="BD19" s="232" t="s">
        <v>55</v>
      </c>
      <c r="BE19" s="239">
        <v>0.80080311771374701</v>
      </c>
      <c r="BF19" s="222">
        <v>-53.5992174600105</v>
      </c>
      <c r="BG19" s="219"/>
      <c r="BH19" s="219"/>
      <c r="BI19" s="227">
        <v>37</v>
      </c>
      <c r="BJ19" s="227">
        <v>74</v>
      </c>
      <c r="BK19" s="220"/>
      <c r="BL19" s="236">
        <v>0.8</v>
      </c>
      <c r="BM19" s="239">
        <v>0.79</v>
      </c>
      <c r="BN19" s="237"/>
      <c r="BO19" s="238">
        <v>0.95</v>
      </c>
      <c r="BP19" s="229">
        <v>1</v>
      </c>
      <c r="BQ19" s="237">
        <v>2.5000000000000001E-3</v>
      </c>
    </row>
    <row r="20" spans="1:69" s="207" customFormat="1" ht="22.35" customHeight="1" x14ac:dyDescent="0.2">
      <c r="A20" s="216" t="s">
        <v>4</v>
      </c>
      <c r="B20" s="216" t="s">
        <v>64</v>
      </c>
      <c r="C20" s="216" t="s">
        <v>70</v>
      </c>
      <c r="D20" s="217">
        <v>3.7144129870000002</v>
      </c>
      <c r="E20" s="218"/>
      <c r="F20" s="219">
        <v>4.2999999999999997E-2</v>
      </c>
      <c r="G20" s="219">
        <v>3.2000000000000001E-2</v>
      </c>
      <c r="H20" s="220"/>
      <c r="I20" s="221">
        <v>4</v>
      </c>
      <c r="J20" s="221">
        <v>4</v>
      </c>
      <c r="K20" s="218"/>
      <c r="L20" s="222">
        <v>1504.4420299999999</v>
      </c>
      <c r="M20" s="222">
        <v>1231.4370899999999</v>
      </c>
      <c r="N20" s="222">
        <v>2735.8791200000001</v>
      </c>
      <c r="O20" s="217">
        <v>736.557601315537</v>
      </c>
      <c r="P20" s="223">
        <v>231.90199999999999</v>
      </c>
      <c r="Q20" s="229">
        <v>3.1761589003783399</v>
      </c>
      <c r="R20" s="230">
        <v>1795.2523778416901</v>
      </c>
      <c r="S20" s="219">
        <v>0.01</v>
      </c>
      <c r="T20" s="219">
        <v>0.01</v>
      </c>
      <c r="U20" s="226">
        <v>0</v>
      </c>
      <c r="V20" s="227">
        <v>0</v>
      </c>
      <c r="W20" s="218"/>
      <c r="X20" s="226">
        <v>2179.3162149999998</v>
      </c>
      <c r="Y20" s="217">
        <v>586.71887661047504</v>
      </c>
      <c r="Z20" s="228">
        <v>573</v>
      </c>
      <c r="AA20" s="233">
        <v>1.0239421930374799</v>
      </c>
      <c r="AB20" s="234">
        <v>-144.85142157369199</v>
      </c>
      <c r="AC20" s="219">
        <v>1.2999999999999999E-2</v>
      </c>
      <c r="AD20" s="219">
        <v>2E-3</v>
      </c>
      <c r="AE20" s="227">
        <v>0</v>
      </c>
      <c r="AF20" s="227">
        <v>375</v>
      </c>
      <c r="AG20" s="218"/>
      <c r="AH20" s="231">
        <v>130.19999999999999</v>
      </c>
      <c r="AI20" s="217">
        <v>35.052645049348101</v>
      </c>
      <c r="AJ20" s="232" t="s">
        <v>53</v>
      </c>
      <c r="AK20" s="224">
        <v>0.55639119125949399</v>
      </c>
      <c r="AL20" s="225">
        <v>-125.33675585365199</v>
      </c>
      <c r="AM20" s="219"/>
      <c r="AN20" s="219"/>
      <c r="AO20" s="227">
        <v>104</v>
      </c>
      <c r="AP20" s="227">
        <v>151</v>
      </c>
      <c r="AQ20" s="218"/>
      <c r="AR20" s="231">
        <v>52</v>
      </c>
      <c r="AS20" s="217">
        <v>13.999520296206599</v>
      </c>
      <c r="AT20" s="232" t="s">
        <v>54</v>
      </c>
      <c r="AU20" s="239">
        <v>0.87497001851291401</v>
      </c>
      <c r="AV20" s="222">
        <v>-12.898223708864</v>
      </c>
      <c r="AW20" s="219"/>
      <c r="AX20" s="219"/>
      <c r="AY20" s="227">
        <v>8</v>
      </c>
      <c r="AZ20" s="227">
        <v>20</v>
      </c>
      <c r="BA20" s="218"/>
      <c r="BB20" s="235">
        <v>154.19999999999999</v>
      </c>
      <c r="BC20" s="231">
        <v>41.513962109135797</v>
      </c>
      <c r="BD20" s="232" t="s">
        <v>55</v>
      </c>
      <c r="BE20" s="229">
        <v>1.2973113159104901</v>
      </c>
      <c r="BF20" s="230">
        <v>24.403552582271999</v>
      </c>
      <c r="BG20" s="219">
        <v>0.02</v>
      </c>
      <c r="BH20" s="219">
        <v>0.02</v>
      </c>
      <c r="BI20" s="227">
        <v>0</v>
      </c>
      <c r="BJ20" s="227">
        <v>0</v>
      </c>
      <c r="BK20" s="220"/>
      <c r="BL20" s="236">
        <v>0.8</v>
      </c>
      <c r="BM20" s="239">
        <v>0.8</v>
      </c>
      <c r="BN20" s="237">
        <v>0</v>
      </c>
      <c r="BO20" s="238">
        <v>0.95</v>
      </c>
      <c r="BP20" s="229">
        <v>1</v>
      </c>
      <c r="BQ20" s="237">
        <v>2.5000000000000001E-3</v>
      </c>
    </row>
    <row r="21" spans="1:69" s="207" customFormat="1" ht="22.35" customHeight="1" x14ac:dyDescent="0.2">
      <c r="A21" s="216" t="s">
        <v>4</v>
      </c>
      <c r="B21" s="216" t="s">
        <v>64</v>
      </c>
      <c r="C21" s="216" t="s">
        <v>71</v>
      </c>
      <c r="D21" s="217">
        <v>6.6311696409999996</v>
      </c>
      <c r="E21" s="218"/>
      <c r="F21" s="219">
        <v>4.2999999999999997E-2</v>
      </c>
      <c r="G21" s="219">
        <v>3.3000000000000002E-2</v>
      </c>
      <c r="H21" s="220"/>
      <c r="I21" s="221">
        <v>5</v>
      </c>
      <c r="J21" s="221">
        <v>5</v>
      </c>
      <c r="K21" s="218"/>
      <c r="L21" s="222">
        <v>3001.76541</v>
      </c>
      <c r="M21" s="222">
        <v>-861.30994999999996</v>
      </c>
      <c r="N21" s="222">
        <v>2140.4554600000001</v>
      </c>
      <c r="O21" s="217">
        <v>322.787015847963</v>
      </c>
      <c r="P21" s="223">
        <v>218.77099999999999</v>
      </c>
      <c r="Q21" s="229">
        <v>1.47545614294382</v>
      </c>
      <c r="R21" s="230">
        <v>556.28274602391798</v>
      </c>
      <c r="S21" s="219">
        <v>0.01</v>
      </c>
      <c r="T21" s="219">
        <v>0.01</v>
      </c>
      <c r="U21" s="226">
        <v>0</v>
      </c>
      <c r="V21" s="227">
        <v>0</v>
      </c>
      <c r="W21" s="218"/>
      <c r="X21" s="226">
        <v>3910.28287</v>
      </c>
      <c r="Y21" s="217">
        <v>589.68222526279999</v>
      </c>
      <c r="Z21" s="228">
        <v>573</v>
      </c>
      <c r="AA21" s="233">
        <v>1.0291138311741701</v>
      </c>
      <c r="AB21" s="234">
        <v>-238.946073087955</v>
      </c>
      <c r="AC21" s="219">
        <v>1.2999999999999999E-2</v>
      </c>
      <c r="AD21" s="219">
        <v>3.0000000000000001E-3</v>
      </c>
      <c r="AE21" s="227">
        <v>0</v>
      </c>
      <c r="AF21" s="227">
        <v>650</v>
      </c>
      <c r="AG21" s="218"/>
      <c r="AH21" s="231">
        <v>223.4</v>
      </c>
      <c r="AI21" s="217">
        <v>33.689380922897101</v>
      </c>
      <c r="AJ21" s="232" t="s">
        <v>53</v>
      </c>
      <c r="AK21" s="224">
        <v>0.53475207814122405</v>
      </c>
      <c r="AL21" s="225">
        <v>-232.797946622236</v>
      </c>
      <c r="AM21" s="219"/>
      <c r="AN21" s="219"/>
      <c r="AO21" s="227">
        <v>195</v>
      </c>
      <c r="AP21" s="227">
        <v>278</v>
      </c>
      <c r="AQ21" s="218"/>
      <c r="AR21" s="231">
        <v>42</v>
      </c>
      <c r="AS21" s="217">
        <v>6.3337242558714397</v>
      </c>
      <c r="AT21" s="232" t="s">
        <v>54</v>
      </c>
      <c r="AU21" s="224">
        <v>0.39585776599196498</v>
      </c>
      <c r="AV21" s="225">
        <v>-73.859795967552003</v>
      </c>
      <c r="AW21" s="219"/>
      <c r="AX21" s="219"/>
      <c r="AY21" s="227">
        <v>65</v>
      </c>
      <c r="AZ21" s="227">
        <v>86</v>
      </c>
      <c r="BA21" s="218"/>
      <c r="BB21" s="235">
        <v>256.8</v>
      </c>
      <c r="BC21" s="231">
        <v>38.726199735899598</v>
      </c>
      <c r="BD21" s="232" t="s">
        <v>55</v>
      </c>
      <c r="BE21" s="229">
        <v>1.21019374174686</v>
      </c>
      <c r="BF21" s="230">
        <v>25.080408064896002</v>
      </c>
      <c r="BG21" s="219">
        <v>0.02</v>
      </c>
      <c r="BH21" s="219">
        <v>0.02</v>
      </c>
      <c r="BI21" s="227">
        <v>0</v>
      </c>
      <c r="BJ21" s="227">
        <v>0</v>
      </c>
      <c r="BK21" s="220"/>
      <c r="BL21" s="236">
        <v>0.8</v>
      </c>
      <c r="BM21" s="233">
        <v>0.81</v>
      </c>
      <c r="BN21" s="237">
        <v>3.7500000000000001E-4</v>
      </c>
      <c r="BO21" s="238">
        <v>0.95</v>
      </c>
      <c r="BP21" s="229">
        <v>1</v>
      </c>
      <c r="BQ21" s="237">
        <v>2.5000000000000001E-3</v>
      </c>
    </row>
    <row r="22" spans="1:69" s="207" customFormat="1" ht="22.35" customHeight="1" x14ac:dyDescent="0.2">
      <c r="A22" s="216" t="s">
        <v>4</v>
      </c>
      <c r="B22" s="216" t="s">
        <v>64</v>
      </c>
      <c r="C22" s="216" t="s">
        <v>72</v>
      </c>
      <c r="D22" s="217">
        <v>4.3170066618888896</v>
      </c>
      <c r="E22" s="218"/>
      <c r="F22" s="219">
        <v>3.5000000000000003E-2</v>
      </c>
      <c r="G22" s="219">
        <v>2.1999999999999999E-2</v>
      </c>
      <c r="H22" s="220"/>
      <c r="I22" s="221">
        <v>5</v>
      </c>
      <c r="J22" s="221">
        <v>4</v>
      </c>
      <c r="K22" s="218"/>
      <c r="L22" s="222">
        <v>3333.9955100000002</v>
      </c>
      <c r="M22" s="222">
        <v>-781.57609000000002</v>
      </c>
      <c r="N22" s="222">
        <v>2552.4194200000002</v>
      </c>
      <c r="O22" s="217">
        <v>591.24750548408895</v>
      </c>
      <c r="P22" s="223">
        <v>242.99700000000001</v>
      </c>
      <c r="Q22" s="229">
        <v>2.4331473453750001</v>
      </c>
      <c r="R22" s="230">
        <v>1406.88994274164</v>
      </c>
      <c r="S22" s="219">
        <v>0.01</v>
      </c>
      <c r="T22" s="219">
        <v>0.01</v>
      </c>
      <c r="U22" s="226">
        <v>0</v>
      </c>
      <c r="V22" s="227">
        <v>0</v>
      </c>
      <c r="W22" s="218"/>
      <c r="X22" s="226">
        <v>2354.70352</v>
      </c>
      <c r="Y22" s="217">
        <v>545.44820159478502</v>
      </c>
      <c r="Z22" s="228">
        <v>573</v>
      </c>
      <c r="AA22" s="233">
        <v>0.95191658218985098</v>
      </c>
      <c r="AB22" s="234">
        <v>-346.51662045046902</v>
      </c>
      <c r="AC22" s="219">
        <v>5.0000000000000001E-3</v>
      </c>
      <c r="AD22" s="219"/>
      <c r="AE22" s="227">
        <v>119</v>
      </c>
      <c r="AF22" s="227">
        <v>614</v>
      </c>
      <c r="AG22" s="218"/>
      <c r="AH22" s="231">
        <v>132</v>
      </c>
      <c r="AI22" s="217">
        <v>30.576742251827799</v>
      </c>
      <c r="AJ22" s="232" t="s">
        <v>53</v>
      </c>
      <c r="AK22" s="224">
        <v>0.48534511510837702</v>
      </c>
      <c r="AL22" s="225">
        <v>-164.992790311308</v>
      </c>
      <c r="AM22" s="219"/>
      <c r="AN22" s="219"/>
      <c r="AO22" s="227">
        <v>140</v>
      </c>
      <c r="AP22" s="227">
        <v>195</v>
      </c>
      <c r="AQ22" s="218"/>
      <c r="AR22" s="231">
        <v>37.1</v>
      </c>
      <c r="AS22" s="217">
        <v>8.5939177086576599</v>
      </c>
      <c r="AT22" s="232" t="s">
        <v>54</v>
      </c>
      <c r="AU22" s="224">
        <v>0.53711985679110397</v>
      </c>
      <c r="AV22" s="225">
        <v>-38.326740396522702</v>
      </c>
      <c r="AW22" s="219"/>
      <c r="AX22" s="219"/>
      <c r="AY22" s="227">
        <v>32</v>
      </c>
      <c r="AZ22" s="227">
        <v>46</v>
      </c>
      <c r="BA22" s="218"/>
      <c r="BB22" s="235">
        <v>155.4</v>
      </c>
      <c r="BC22" s="231">
        <v>35.9971647419245</v>
      </c>
      <c r="BD22" s="232" t="s">
        <v>55</v>
      </c>
      <c r="BE22" s="229">
        <v>1.12491139818514</v>
      </c>
      <c r="BF22" s="230">
        <v>4.5465192069546303</v>
      </c>
      <c r="BG22" s="219">
        <v>0.02</v>
      </c>
      <c r="BH22" s="219">
        <v>1.2E-2</v>
      </c>
      <c r="BI22" s="227">
        <v>0</v>
      </c>
      <c r="BJ22" s="227">
        <v>11</v>
      </c>
      <c r="BK22" s="220"/>
      <c r="BL22" s="236">
        <v>0.8</v>
      </c>
      <c r="BM22" s="233">
        <v>0.81</v>
      </c>
      <c r="BN22" s="237">
        <v>3.7500000000000001E-4</v>
      </c>
      <c r="BO22" s="238">
        <v>0.95</v>
      </c>
      <c r="BP22" s="229">
        <v>1</v>
      </c>
      <c r="BQ22" s="237">
        <v>2.5000000000000001E-3</v>
      </c>
    </row>
    <row r="23" spans="1:69" s="207" customFormat="1" ht="22.35" customHeight="1" x14ac:dyDescent="0.2">
      <c r="A23" s="216" t="s">
        <v>4</v>
      </c>
      <c r="B23" s="216" t="s">
        <v>64</v>
      </c>
      <c r="C23" s="216" t="s">
        <v>73</v>
      </c>
      <c r="D23" s="217">
        <v>4.4760896213333297</v>
      </c>
      <c r="E23" s="218"/>
      <c r="F23" s="219">
        <v>0.01</v>
      </c>
      <c r="G23" s="219">
        <v>0.01</v>
      </c>
      <c r="H23" s="220"/>
      <c r="I23" s="221">
        <v>3</v>
      </c>
      <c r="J23" s="221">
        <v>3</v>
      </c>
      <c r="K23" s="218"/>
      <c r="L23" s="222">
        <v>4837.9179299999996</v>
      </c>
      <c r="M23" s="222">
        <v>2192.0443399999999</v>
      </c>
      <c r="N23" s="222">
        <v>7029.96227</v>
      </c>
      <c r="O23" s="217">
        <v>1570.5588727479301</v>
      </c>
      <c r="P23" s="223">
        <v>251.20400000000001</v>
      </c>
      <c r="Q23" s="229">
        <v>6.2521252557599798</v>
      </c>
      <c r="R23" s="230">
        <v>5802.1047839767398</v>
      </c>
      <c r="S23" s="219">
        <v>0.01</v>
      </c>
      <c r="T23" s="219">
        <v>0.01</v>
      </c>
      <c r="U23" s="226">
        <v>0</v>
      </c>
      <c r="V23" s="227">
        <v>0</v>
      </c>
      <c r="W23" s="218"/>
      <c r="X23" s="226">
        <v>2264.750035</v>
      </c>
      <c r="Y23" s="217">
        <v>505.96619518207501</v>
      </c>
      <c r="Z23" s="228">
        <v>573</v>
      </c>
      <c r="AA23" s="239">
        <v>0.88301255703677906</v>
      </c>
      <c r="AB23" s="222">
        <v>-536.01085850220602</v>
      </c>
      <c r="AC23" s="219"/>
      <c r="AD23" s="219"/>
      <c r="AE23" s="227">
        <v>301</v>
      </c>
      <c r="AF23" s="227">
        <v>814</v>
      </c>
      <c r="AG23" s="218"/>
      <c r="AH23" s="231">
        <v>89.5</v>
      </c>
      <c r="AI23" s="217">
        <v>19.995131369451901</v>
      </c>
      <c r="AJ23" s="232" t="s">
        <v>53</v>
      </c>
      <c r="AK23" s="224">
        <v>0.31738303761034697</v>
      </c>
      <c r="AL23" s="225">
        <v>-218.437061589248</v>
      </c>
      <c r="AM23" s="219"/>
      <c r="AN23" s="219"/>
      <c r="AO23" s="227">
        <v>193</v>
      </c>
      <c r="AP23" s="227">
        <v>249</v>
      </c>
      <c r="AQ23" s="218"/>
      <c r="AR23" s="231">
        <v>19.8</v>
      </c>
      <c r="AS23" s="217">
        <v>4.4235039230742599</v>
      </c>
      <c r="AT23" s="232" t="s">
        <v>54</v>
      </c>
      <c r="AU23" s="224">
        <v>0.27646899519214102</v>
      </c>
      <c r="AV23" s="225">
        <v>-58.4062378639359</v>
      </c>
      <c r="AW23" s="219"/>
      <c r="AX23" s="219"/>
      <c r="AY23" s="227">
        <v>52</v>
      </c>
      <c r="AZ23" s="227">
        <v>67</v>
      </c>
      <c r="BA23" s="218"/>
      <c r="BB23" s="235">
        <v>116.6</v>
      </c>
      <c r="BC23" s="231">
        <v>26.049523102548399</v>
      </c>
      <c r="BD23" s="232" t="s">
        <v>55</v>
      </c>
      <c r="BE23" s="239">
        <v>0.81404759695463902</v>
      </c>
      <c r="BF23" s="222">
        <v>-39.812475727871899</v>
      </c>
      <c r="BG23" s="219"/>
      <c r="BH23" s="219"/>
      <c r="BI23" s="227">
        <v>27</v>
      </c>
      <c r="BJ23" s="227">
        <v>56</v>
      </c>
      <c r="BK23" s="220"/>
      <c r="BL23" s="236">
        <v>0.8</v>
      </c>
      <c r="BM23" s="233">
        <v>0.81</v>
      </c>
      <c r="BN23" s="237">
        <v>3.7500000000000001E-4</v>
      </c>
      <c r="BO23" s="238">
        <v>0.95</v>
      </c>
      <c r="BP23" s="229">
        <v>1</v>
      </c>
      <c r="BQ23" s="237">
        <v>2.5000000000000001E-3</v>
      </c>
    </row>
    <row r="24" spans="1:69" s="207" customFormat="1" ht="22.35" customHeight="1" x14ac:dyDescent="0.2">
      <c r="A24" s="216" t="s">
        <v>4</v>
      </c>
      <c r="B24" s="216" t="s">
        <v>64</v>
      </c>
      <c r="C24" s="216" t="s">
        <v>74</v>
      </c>
      <c r="D24" s="217">
        <v>5.2411436323333298</v>
      </c>
      <c r="E24" s="218"/>
      <c r="F24" s="219">
        <v>0.04</v>
      </c>
      <c r="G24" s="219">
        <v>0.02</v>
      </c>
      <c r="H24" s="220"/>
      <c r="I24" s="221">
        <v>5</v>
      </c>
      <c r="J24" s="221">
        <v>5</v>
      </c>
      <c r="K24" s="218"/>
      <c r="L24" s="222">
        <v>4593.0861500000001</v>
      </c>
      <c r="M24" s="222">
        <v>3878.9495400000001</v>
      </c>
      <c r="N24" s="222">
        <v>8472.0356900000006</v>
      </c>
      <c r="O24" s="217">
        <v>1616.4479137215101</v>
      </c>
      <c r="P24" s="223">
        <v>248.62299999999999</v>
      </c>
      <c r="Q24" s="229">
        <v>6.5016024813533297</v>
      </c>
      <c r="R24" s="230">
        <v>7049.0845021946398</v>
      </c>
      <c r="S24" s="219">
        <v>0.01</v>
      </c>
      <c r="T24" s="219">
        <v>0.01</v>
      </c>
      <c r="U24" s="226">
        <v>0</v>
      </c>
      <c r="V24" s="227">
        <v>0</v>
      </c>
      <c r="W24" s="218"/>
      <c r="X24" s="226">
        <v>3206.1661450000001</v>
      </c>
      <c r="Y24" s="217">
        <v>611.73025772862297</v>
      </c>
      <c r="Z24" s="228">
        <v>573</v>
      </c>
      <c r="AA24" s="233">
        <v>1.06759207282482</v>
      </c>
      <c r="AB24" s="234">
        <v>-73.3012840490819</v>
      </c>
      <c r="AC24" s="219">
        <v>1.7000000000000001E-2</v>
      </c>
      <c r="AD24" s="219">
        <v>7.0000000000000001E-3</v>
      </c>
      <c r="AE24" s="227">
        <v>0</v>
      </c>
      <c r="AF24" s="227">
        <v>398</v>
      </c>
      <c r="AG24" s="218"/>
      <c r="AH24" s="231">
        <v>242.3</v>
      </c>
      <c r="AI24" s="217">
        <v>46.230368216817801</v>
      </c>
      <c r="AJ24" s="232" t="s">
        <v>53</v>
      </c>
      <c r="AK24" s="239">
        <v>0.733815368520918</v>
      </c>
      <c r="AL24" s="222">
        <v>-118.269717330004</v>
      </c>
      <c r="AM24" s="219"/>
      <c r="AN24" s="219"/>
      <c r="AO24" s="227">
        <v>88</v>
      </c>
      <c r="AP24" s="227">
        <v>154</v>
      </c>
      <c r="AQ24" s="218"/>
      <c r="AR24" s="231">
        <v>49.1</v>
      </c>
      <c r="AS24" s="217">
        <v>9.3681843972173109</v>
      </c>
      <c r="AT24" s="232" t="s">
        <v>54</v>
      </c>
      <c r="AU24" s="224">
        <v>0.58551152482608204</v>
      </c>
      <c r="AV24" s="225">
        <v>-42.473261544127901</v>
      </c>
      <c r="AW24" s="219"/>
      <c r="AX24" s="219"/>
      <c r="AY24" s="227">
        <v>35</v>
      </c>
      <c r="AZ24" s="227">
        <v>52</v>
      </c>
      <c r="BA24" s="218"/>
      <c r="BB24" s="235">
        <v>172.6</v>
      </c>
      <c r="BC24" s="231">
        <v>32.9317439299329</v>
      </c>
      <c r="BD24" s="232" t="s">
        <v>55</v>
      </c>
      <c r="BE24" s="233">
        <v>1.0291169978104</v>
      </c>
      <c r="BF24" s="234">
        <v>-10.546523088255899</v>
      </c>
      <c r="BG24" s="219">
        <v>1.2999999999999999E-2</v>
      </c>
      <c r="BH24" s="219">
        <v>3.0000000000000001E-3</v>
      </c>
      <c r="BI24" s="227">
        <v>0</v>
      </c>
      <c r="BJ24" s="227">
        <v>29</v>
      </c>
      <c r="BK24" s="220"/>
      <c r="BL24" s="236">
        <v>0.8</v>
      </c>
      <c r="BM24" s="233">
        <v>0.84</v>
      </c>
      <c r="BN24" s="237">
        <v>1.5E-3</v>
      </c>
      <c r="BO24" s="238">
        <v>0.95</v>
      </c>
      <c r="BP24" s="229">
        <v>1</v>
      </c>
      <c r="BQ24" s="237">
        <v>2.5000000000000001E-3</v>
      </c>
    </row>
    <row r="25" spans="1:69" s="207" customFormat="1" ht="22.35" customHeight="1" x14ac:dyDescent="0.2">
      <c r="A25" s="216" t="s">
        <v>4</v>
      </c>
      <c r="B25" s="216" t="s">
        <v>64</v>
      </c>
      <c r="C25" s="216" t="s">
        <v>75</v>
      </c>
      <c r="D25" s="217">
        <v>4.2224398655555602</v>
      </c>
      <c r="E25" s="218"/>
      <c r="F25" s="219">
        <v>0.03</v>
      </c>
      <c r="G25" s="219">
        <v>2.5999999999999999E-2</v>
      </c>
      <c r="H25" s="220"/>
      <c r="I25" s="221">
        <v>4</v>
      </c>
      <c r="J25" s="221">
        <v>4</v>
      </c>
      <c r="K25" s="218"/>
      <c r="L25" s="222">
        <v>780.26697999999999</v>
      </c>
      <c r="M25" s="222">
        <v>529.59698000000003</v>
      </c>
      <c r="N25" s="222">
        <v>1309.8639599999999</v>
      </c>
      <c r="O25" s="217">
        <v>310.21494721219898</v>
      </c>
      <c r="P25" s="223">
        <v>212.5</v>
      </c>
      <c r="Q25" s="229">
        <v>1.45983504570446</v>
      </c>
      <c r="R25" s="230">
        <v>330.04678919783203</v>
      </c>
      <c r="S25" s="219">
        <v>0.01</v>
      </c>
      <c r="T25" s="219">
        <v>0.01</v>
      </c>
      <c r="U25" s="226">
        <v>0</v>
      </c>
      <c r="V25" s="227">
        <v>0</v>
      </c>
      <c r="W25" s="218"/>
      <c r="X25" s="226">
        <v>1793.54215</v>
      </c>
      <c r="Y25" s="217">
        <v>424.76440330880098</v>
      </c>
      <c r="Z25" s="228">
        <v>573</v>
      </c>
      <c r="AA25" s="239">
        <v>0.74129913317417295</v>
      </c>
      <c r="AB25" s="222">
        <v>-848.50603291596303</v>
      </c>
      <c r="AC25" s="219"/>
      <c r="AD25" s="219"/>
      <c r="AE25" s="227">
        <v>626</v>
      </c>
      <c r="AF25" s="227">
        <v>1110</v>
      </c>
      <c r="AG25" s="218"/>
      <c r="AH25" s="231">
        <v>128.35</v>
      </c>
      <c r="AI25" s="217">
        <v>30.397117327119702</v>
      </c>
      <c r="AJ25" s="232" t="s">
        <v>53</v>
      </c>
      <c r="AK25" s="224">
        <v>0.482493925827298</v>
      </c>
      <c r="AL25" s="225">
        <v>-162.13697299076</v>
      </c>
      <c r="AM25" s="219"/>
      <c r="AN25" s="219"/>
      <c r="AO25" s="227">
        <v>138</v>
      </c>
      <c r="AP25" s="227">
        <v>191</v>
      </c>
      <c r="AQ25" s="218"/>
      <c r="AR25" s="231">
        <v>34.4</v>
      </c>
      <c r="AS25" s="217">
        <v>8.1469484694423002</v>
      </c>
      <c r="AT25" s="232" t="s">
        <v>54</v>
      </c>
      <c r="AU25" s="224">
        <v>0.50918427934014399</v>
      </c>
      <c r="AV25" s="225">
        <v>-39.374469330986699</v>
      </c>
      <c r="AW25" s="219"/>
      <c r="AX25" s="219"/>
      <c r="AY25" s="227">
        <v>34</v>
      </c>
      <c r="AZ25" s="227">
        <v>47</v>
      </c>
      <c r="BA25" s="218"/>
      <c r="BB25" s="235">
        <v>156.4</v>
      </c>
      <c r="BC25" s="231">
        <v>37.040195948278402</v>
      </c>
      <c r="BD25" s="232" t="s">
        <v>55</v>
      </c>
      <c r="BE25" s="229">
        <v>1.1575061233837001</v>
      </c>
      <c r="BF25" s="230">
        <v>8.8510613380265397</v>
      </c>
      <c r="BG25" s="219">
        <v>0.02</v>
      </c>
      <c r="BH25" s="219">
        <v>1.6E-2</v>
      </c>
      <c r="BI25" s="227">
        <v>0</v>
      </c>
      <c r="BJ25" s="227">
        <v>6</v>
      </c>
      <c r="BK25" s="220"/>
      <c r="BL25" s="236">
        <v>0.8</v>
      </c>
      <c r="BM25" s="233">
        <v>0.82</v>
      </c>
      <c r="BN25" s="237">
        <v>7.5000000000000002E-4</v>
      </c>
      <c r="BO25" s="238">
        <v>0.95</v>
      </c>
      <c r="BP25" s="229">
        <v>1</v>
      </c>
      <c r="BQ25" s="237">
        <v>2.5000000000000001E-3</v>
      </c>
    </row>
    <row r="26" spans="1:69" s="207" customFormat="1" ht="22.35" customHeight="1" x14ac:dyDescent="0.2">
      <c r="A26" s="216" t="s">
        <v>4</v>
      </c>
      <c r="B26" s="216" t="s">
        <v>64</v>
      </c>
      <c r="C26" s="216" t="s">
        <v>76</v>
      </c>
      <c r="D26" s="217">
        <v>3.2460809161111102</v>
      </c>
      <c r="E26" s="218"/>
      <c r="F26" s="219">
        <v>3.1E-2</v>
      </c>
      <c r="G26" s="219">
        <v>0.03</v>
      </c>
      <c r="H26" s="220"/>
      <c r="I26" s="221">
        <v>4</v>
      </c>
      <c r="J26" s="221">
        <v>3</v>
      </c>
      <c r="K26" s="218"/>
      <c r="L26" s="222">
        <v>2890.8880300000001</v>
      </c>
      <c r="M26" s="222">
        <v>461.18727000000001</v>
      </c>
      <c r="N26" s="222">
        <v>3352.0753</v>
      </c>
      <c r="O26" s="217">
        <v>1032.65303195703</v>
      </c>
      <c r="P26" s="223">
        <v>231.042</v>
      </c>
      <c r="Q26" s="229">
        <v>4.4695468008285504</v>
      </c>
      <c r="R26" s="230">
        <v>2533.096018494</v>
      </c>
      <c r="S26" s="219">
        <v>0.01</v>
      </c>
      <c r="T26" s="219">
        <v>0.01</v>
      </c>
      <c r="U26" s="226">
        <v>0</v>
      </c>
      <c r="V26" s="227">
        <v>0</v>
      </c>
      <c r="W26" s="218"/>
      <c r="X26" s="226">
        <v>1708.3829900000001</v>
      </c>
      <c r="Y26" s="217">
        <v>526.290944110748</v>
      </c>
      <c r="Z26" s="228">
        <v>573</v>
      </c>
      <c r="AA26" s="233">
        <v>0.91848332305540803</v>
      </c>
      <c r="AB26" s="234">
        <v>-322.74177650537899</v>
      </c>
      <c r="AC26" s="219">
        <v>1E-3</v>
      </c>
      <c r="AD26" s="219"/>
      <c r="AE26" s="227">
        <v>152</v>
      </c>
      <c r="AF26" s="227">
        <v>524</v>
      </c>
      <c r="AG26" s="218"/>
      <c r="AH26" s="231">
        <v>159.9</v>
      </c>
      <c r="AI26" s="217">
        <v>49.259400530152</v>
      </c>
      <c r="AJ26" s="232" t="s">
        <v>53</v>
      </c>
      <c r="AK26" s="239">
        <v>0.78189524651034903</v>
      </c>
      <c r="AL26" s="222">
        <v>-63.417382704779897</v>
      </c>
      <c r="AM26" s="219"/>
      <c r="AN26" s="219"/>
      <c r="AO26" s="227">
        <v>45</v>
      </c>
      <c r="AP26" s="227">
        <v>86</v>
      </c>
      <c r="AQ26" s="218"/>
      <c r="AR26" s="231">
        <v>36.6</v>
      </c>
      <c r="AS26" s="217">
        <v>11.275134830541401</v>
      </c>
      <c r="AT26" s="232" t="s">
        <v>54</v>
      </c>
      <c r="AU26" s="224">
        <v>0.70469592690883498</v>
      </c>
      <c r="AV26" s="225">
        <v>-20.115525766293299</v>
      </c>
      <c r="AW26" s="219"/>
      <c r="AX26" s="219"/>
      <c r="AY26" s="227">
        <v>16</v>
      </c>
      <c r="AZ26" s="227">
        <v>26</v>
      </c>
      <c r="BA26" s="218"/>
      <c r="BB26" s="235">
        <v>143.6</v>
      </c>
      <c r="BC26" s="231">
        <v>44.237960701249698</v>
      </c>
      <c r="BD26" s="232" t="s">
        <v>55</v>
      </c>
      <c r="BE26" s="229">
        <v>1.3824362719140499</v>
      </c>
      <c r="BF26" s="230">
        <v>30.168948467413401</v>
      </c>
      <c r="BG26" s="219">
        <v>0.02</v>
      </c>
      <c r="BH26" s="219">
        <v>0.02</v>
      </c>
      <c r="BI26" s="227">
        <v>0</v>
      </c>
      <c r="BJ26" s="227">
        <v>0</v>
      </c>
      <c r="BK26" s="220"/>
      <c r="BL26" s="236">
        <v>0.8</v>
      </c>
      <c r="BM26" s="239">
        <v>0.78</v>
      </c>
      <c r="BN26" s="237"/>
      <c r="BO26" s="238">
        <v>0.95</v>
      </c>
      <c r="BP26" s="229">
        <v>1</v>
      </c>
      <c r="BQ26" s="237">
        <v>2.5000000000000001E-3</v>
      </c>
    </row>
    <row r="27" spans="1:69" s="207" customFormat="1" ht="22.35" customHeight="1" x14ac:dyDescent="0.2">
      <c r="A27" s="216" t="s">
        <v>4</v>
      </c>
      <c r="B27" s="216" t="s">
        <v>64</v>
      </c>
      <c r="C27" s="216" t="s">
        <v>77</v>
      </c>
      <c r="D27" s="217">
        <v>2.5803141951111099</v>
      </c>
      <c r="E27" s="218"/>
      <c r="F27" s="219">
        <v>2.8000000000000001E-2</v>
      </c>
      <c r="G27" s="219">
        <v>1.7000000000000001E-2</v>
      </c>
      <c r="H27" s="220"/>
      <c r="I27" s="221">
        <v>4</v>
      </c>
      <c r="J27" s="221">
        <v>4</v>
      </c>
      <c r="K27" s="218"/>
      <c r="L27" s="222">
        <v>567.50427999999999</v>
      </c>
      <c r="M27" s="222">
        <v>444.60631999999998</v>
      </c>
      <c r="N27" s="222">
        <v>1012.1106</v>
      </c>
      <c r="O27" s="217">
        <v>392.24316244805902</v>
      </c>
      <c r="P27" s="223">
        <v>212.5</v>
      </c>
      <c r="Q27" s="229">
        <v>1.8458501762261601</v>
      </c>
      <c r="R27" s="230">
        <v>413.34869102446697</v>
      </c>
      <c r="S27" s="219">
        <v>0.01</v>
      </c>
      <c r="T27" s="219">
        <v>0.01</v>
      </c>
      <c r="U27" s="226">
        <v>0</v>
      </c>
      <c r="V27" s="227">
        <v>0</v>
      </c>
      <c r="W27" s="218"/>
      <c r="X27" s="226">
        <v>1243.029685</v>
      </c>
      <c r="Y27" s="217">
        <v>481.73578526024198</v>
      </c>
      <c r="Z27" s="228">
        <v>573</v>
      </c>
      <c r="AA27" s="239">
        <v>0.84072562872642598</v>
      </c>
      <c r="AB27" s="222">
        <v>-371.514191908143</v>
      </c>
      <c r="AC27" s="219"/>
      <c r="AD27" s="219"/>
      <c r="AE27" s="227">
        <v>236</v>
      </c>
      <c r="AF27" s="227">
        <v>532</v>
      </c>
      <c r="AG27" s="218"/>
      <c r="AH27" s="231">
        <v>138.55000000000001</v>
      </c>
      <c r="AI27" s="217">
        <v>53.695011352690699</v>
      </c>
      <c r="AJ27" s="232" t="s">
        <v>53</v>
      </c>
      <c r="AK27" s="239">
        <v>0.852301767503027</v>
      </c>
      <c r="AL27" s="222">
        <v>-38.965295366863899</v>
      </c>
      <c r="AM27" s="219"/>
      <c r="AN27" s="219"/>
      <c r="AO27" s="227">
        <v>25</v>
      </c>
      <c r="AP27" s="227">
        <v>57</v>
      </c>
      <c r="AQ27" s="218"/>
      <c r="AR27" s="231">
        <v>10.3</v>
      </c>
      <c r="AS27" s="217">
        <v>3.9917619410517098</v>
      </c>
      <c r="AT27" s="232" t="s">
        <v>54</v>
      </c>
      <c r="AU27" s="224">
        <v>0.249485121315732</v>
      </c>
      <c r="AV27" s="225">
        <v>-34.783249616981301</v>
      </c>
      <c r="AW27" s="219"/>
      <c r="AX27" s="219"/>
      <c r="AY27" s="227">
        <v>31</v>
      </c>
      <c r="AZ27" s="227">
        <v>40</v>
      </c>
      <c r="BA27" s="218"/>
      <c r="BB27" s="235">
        <v>88.4</v>
      </c>
      <c r="BC27" s="231">
        <v>34.259393746501999</v>
      </c>
      <c r="BD27" s="232" t="s">
        <v>55</v>
      </c>
      <c r="BE27" s="233">
        <v>1.0706060545781899</v>
      </c>
      <c r="BF27" s="234">
        <v>-1.76649923396262</v>
      </c>
      <c r="BG27" s="219">
        <v>1.7999999999999999E-2</v>
      </c>
      <c r="BH27" s="219">
        <v>7.0000000000000001E-3</v>
      </c>
      <c r="BI27" s="227">
        <v>0</v>
      </c>
      <c r="BJ27" s="227">
        <v>11</v>
      </c>
      <c r="BK27" s="220"/>
      <c r="BL27" s="236">
        <v>0.8</v>
      </c>
      <c r="BM27" s="233">
        <v>0.81</v>
      </c>
      <c r="BN27" s="237">
        <v>3.7500000000000001E-4</v>
      </c>
      <c r="BO27" s="238">
        <v>0.95</v>
      </c>
      <c r="BP27" s="229">
        <v>1</v>
      </c>
      <c r="BQ27" s="237">
        <v>2.5000000000000001E-3</v>
      </c>
    </row>
    <row r="28" spans="1:69" s="207" customFormat="1" ht="22.35" customHeight="1" x14ac:dyDescent="0.2">
      <c r="A28" s="216" t="s">
        <v>4</v>
      </c>
      <c r="B28" s="216" t="s">
        <v>64</v>
      </c>
      <c r="C28" s="216" t="s">
        <v>78</v>
      </c>
      <c r="D28" s="217">
        <v>9.6894159421111095</v>
      </c>
      <c r="E28" s="218"/>
      <c r="F28" s="219">
        <v>0.05</v>
      </c>
      <c r="G28" s="219">
        <v>0.05</v>
      </c>
      <c r="H28" s="220"/>
      <c r="I28" s="221">
        <v>4</v>
      </c>
      <c r="J28" s="221">
        <v>4</v>
      </c>
      <c r="K28" s="218"/>
      <c r="L28" s="222">
        <v>6569.8665700000001</v>
      </c>
      <c r="M28" s="222">
        <v>5847.9449999999997</v>
      </c>
      <c r="N28" s="222">
        <v>12417.81157</v>
      </c>
      <c r="O28" s="217">
        <v>1281.58514859818</v>
      </c>
      <c r="P28" s="223">
        <v>268.108</v>
      </c>
      <c r="Q28" s="229">
        <v>4.7801078244520099</v>
      </c>
      <c r="R28" s="230">
        <v>9581.0031270869804</v>
      </c>
      <c r="S28" s="219">
        <v>0.01</v>
      </c>
      <c r="T28" s="219">
        <v>0.01</v>
      </c>
      <c r="U28" s="226">
        <v>0</v>
      </c>
      <c r="V28" s="227">
        <v>0</v>
      </c>
      <c r="W28" s="218"/>
      <c r="X28" s="226">
        <v>6794.03593</v>
      </c>
      <c r="Y28" s="217">
        <v>701.181162062873</v>
      </c>
      <c r="Z28" s="228">
        <v>573</v>
      </c>
      <c r="AA28" s="229">
        <v>1.2237018535128701</v>
      </c>
      <c r="AB28" s="230">
        <v>731.213344366005</v>
      </c>
      <c r="AC28" s="219">
        <v>0.02</v>
      </c>
      <c r="AD28" s="219">
        <v>0.02</v>
      </c>
      <c r="AE28" s="227">
        <v>0</v>
      </c>
      <c r="AF28" s="227">
        <v>0</v>
      </c>
      <c r="AG28" s="218"/>
      <c r="AH28" s="231">
        <v>387.2</v>
      </c>
      <c r="AI28" s="217">
        <v>39.9611289589904</v>
      </c>
      <c r="AJ28" s="232" t="s">
        <v>53</v>
      </c>
      <c r="AK28" s="224">
        <v>0.63430363426968905</v>
      </c>
      <c r="AL28" s="225">
        <v>-279.39305915347597</v>
      </c>
      <c r="AM28" s="219"/>
      <c r="AN28" s="219"/>
      <c r="AO28" s="227">
        <v>224</v>
      </c>
      <c r="AP28" s="227">
        <v>346</v>
      </c>
      <c r="AQ28" s="218"/>
      <c r="AR28" s="231">
        <v>92.1</v>
      </c>
      <c r="AS28" s="217">
        <v>9.5052168830656498</v>
      </c>
      <c r="AT28" s="232" t="s">
        <v>54</v>
      </c>
      <c r="AU28" s="224">
        <v>0.594076055191603</v>
      </c>
      <c r="AV28" s="225">
        <v>-77.1934753405653</v>
      </c>
      <c r="AW28" s="219"/>
      <c r="AX28" s="219"/>
      <c r="AY28" s="227">
        <v>63</v>
      </c>
      <c r="AZ28" s="227">
        <v>94</v>
      </c>
      <c r="BA28" s="218"/>
      <c r="BB28" s="235">
        <v>431.8</v>
      </c>
      <c r="BC28" s="231">
        <v>44.564089577717098</v>
      </c>
      <c r="BD28" s="232" t="s">
        <v>55</v>
      </c>
      <c r="BE28" s="229">
        <v>1.39262779930366</v>
      </c>
      <c r="BF28" s="230">
        <v>93.213049318869395</v>
      </c>
      <c r="BG28" s="219">
        <v>0.02</v>
      </c>
      <c r="BH28" s="219">
        <v>0.02</v>
      </c>
      <c r="BI28" s="227">
        <v>0</v>
      </c>
      <c r="BJ28" s="227">
        <v>0</v>
      </c>
      <c r="BK28" s="220"/>
      <c r="BL28" s="236">
        <v>0.8</v>
      </c>
      <c r="BM28" s="239">
        <v>0.73</v>
      </c>
      <c r="BN28" s="237"/>
      <c r="BO28" s="238">
        <v>0.95</v>
      </c>
      <c r="BP28" s="229">
        <v>1</v>
      </c>
      <c r="BQ28" s="237">
        <v>2.5000000000000001E-3</v>
      </c>
    </row>
    <row r="29" spans="1:69" s="207" customFormat="1" ht="22.35" customHeight="1" x14ac:dyDescent="0.2">
      <c r="A29" s="216" t="s">
        <v>4</v>
      </c>
      <c r="B29" s="216" t="s">
        <v>64</v>
      </c>
      <c r="C29" s="216" t="s">
        <v>79</v>
      </c>
      <c r="D29" s="217">
        <v>4.4281860372222202</v>
      </c>
      <c r="E29" s="218"/>
      <c r="F29" s="219">
        <v>2.8000000000000001E-2</v>
      </c>
      <c r="G29" s="219">
        <v>1.0999999999999999E-2</v>
      </c>
      <c r="H29" s="220"/>
      <c r="I29" s="221">
        <v>4</v>
      </c>
      <c r="J29" s="221">
        <v>3</v>
      </c>
      <c r="K29" s="218"/>
      <c r="L29" s="222">
        <v>3535.84602</v>
      </c>
      <c r="M29" s="222">
        <v>-29.397939999999998</v>
      </c>
      <c r="N29" s="222">
        <v>3506.4480800000001</v>
      </c>
      <c r="O29" s="217">
        <v>791.84750833087799</v>
      </c>
      <c r="P29" s="223">
        <v>241.767</v>
      </c>
      <c r="Q29" s="229">
        <v>3.2752505856087799</v>
      </c>
      <c r="R29" s="230">
        <v>2337.36461500207</v>
      </c>
      <c r="S29" s="219">
        <v>0.01</v>
      </c>
      <c r="T29" s="219">
        <v>0.01</v>
      </c>
      <c r="U29" s="226">
        <v>0</v>
      </c>
      <c r="V29" s="227">
        <v>0</v>
      </c>
      <c r="W29" s="218"/>
      <c r="X29" s="226">
        <v>2466.9895700000002</v>
      </c>
      <c r="Y29" s="217">
        <v>557.11064288245905</v>
      </c>
      <c r="Z29" s="228">
        <v>573</v>
      </c>
      <c r="AA29" s="233">
        <v>0.97226988286642002</v>
      </c>
      <c r="AB29" s="234">
        <v>-303.797284466539</v>
      </c>
      <c r="AC29" s="219">
        <v>7.0000000000000001E-3</v>
      </c>
      <c r="AD29" s="219"/>
      <c r="AE29" s="227">
        <v>71</v>
      </c>
      <c r="AF29" s="227">
        <v>578</v>
      </c>
      <c r="AG29" s="218"/>
      <c r="AH29" s="231">
        <v>171.4</v>
      </c>
      <c r="AI29" s="217">
        <v>38.706594203417502</v>
      </c>
      <c r="AJ29" s="232" t="s">
        <v>53</v>
      </c>
      <c r="AK29" s="224">
        <v>0.61439038418123004</v>
      </c>
      <c r="AL29" s="225">
        <v>-133.24148661673999</v>
      </c>
      <c r="AM29" s="219"/>
      <c r="AN29" s="219"/>
      <c r="AO29" s="227">
        <v>108</v>
      </c>
      <c r="AP29" s="227">
        <v>164</v>
      </c>
      <c r="AQ29" s="218"/>
      <c r="AR29" s="231">
        <v>19.5</v>
      </c>
      <c r="AS29" s="217">
        <v>4.40360902547632</v>
      </c>
      <c r="AT29" s="232" t="s">
        <v>54</v>
      </c>
      <c r="AU29" s="224">
        <v>0.27522556409227</v>
      </c>
      <c r="AV29" s="225">
        <v>-57.8692664423466</v>
      </c>
      <c r="AW29" s="219"/>
      <c r="AX29" s="219"/>
      <c r="AY29" s="227">
        <v>52</v>
      </c>
      <c r="AZ29" s="227">
        <v>66</v>
      </c>
      <c r="BA29" s="218"/>
      <c r="BB29" s="235">
        <v>143.19999999999999</v>
      </c>
      <c r="BC29" s="231">
        <v>32.338298074267101</v>
      </c>
      <c r="BD29" s="232" t="s">
        <v>55</v>
      </c>
      <c r="BE29" s="233">
        <v>1.01057181482085</v>
      </c>
      <c r="BF29" s="234">
        <v>-11.5385328846933</v>
      </c>
      <c r="BG29" s="219">
        <v>1.0999999999999999E-2</v>
      </c>
      <c r="BH29" s="219">
        <v>1E-3</v>
      </c>
      <c r="BI29" s="227">
        <v>0</v>
      </c>
      <c r="BJ29" s="227">
        <v>27</v>
      </c>
      <c r="BK29" s="220"/>
      <c r="BL29" s="236">
        <v>0.8</v>
      </c>
      <c r="BM29" s="239">
        <v>0.78</v>
      </c>
      <c r="BN29" s="237"/>
      <c r="BO29" s="238">
        <v>0.95</v>
      </c>
      <c r="BP29" s="229">
        <v>1</v>
      </c>
      <c r="BQ29" s="237">
        <v>2.5000000000000001E-3</v>
      </c>
    </row>
    <row r="30" spans="1:69" s="207" customFormat="1" ht="22.35" customHeight="1" x14ac:dyDescent="0.2">
      <c r="A30" s="216" t="s">
        <v>80</v>
      </c>
      <c r="B30" s="216" t="s">
        <v>81</v>
      </c>
      <c r="C30" s="216" t="s">
        <v>82</v>
      </c>
      <c r="D30" s="217">
        <v>6.2436248350000003</v>
      </c>
      <c r="E30" s="218"/>
      <c r="F30" s="219">
        <v>2.5000000000000001E-2</v>
      </c>
      <c r="G30" s="219">
        <v>1.4999999999999999E-2</v>
      </c>
      <c r="H30" s="220"/>
      <c r="I30" s="221">
        <v>3</v>
      </c>
      <c r="J30" s="221">
        <v>3</v>
      </c>
      <c r="K30" s="218"/>
      <c r="L30" s="222">
        <v>3248.8663299999998</v>
      </c>
      <c r="M30" s="222">
        <v>1977.93049</v>
      </c>
      <c r="N30" s="222">
        <v>5226.7968199999996</v>
      </c>
      <c r="O30" s="217">
        <v>837.14139752600897</v>
      </c>
      <c r="P30" s="223">
        <v>244.696</v>
      </c>
      <c r="Q30" s="229">
        <v>3.42114868050973</v>
      </c>
      <c r="R30" s="230">
        <v>3558.4501152933299</v>
      </c>
      <c r="S30" s="219">
        <v>0.01</v>
      </c>
      <c r="T30" s="219">
        <v>0.01</v>
      </c>
      <c r="U30" s="226">
        <v>0</v>
      </c>
      <c r="V30" s="227">
        <v>0</v>
      </c>
      <c r="W30" s="218"/>
      <c r="X30" s="226">
        <v>2270.0012299999999</v>
      </c>
      <c r="Y30" s="217">
        <v>363.57104886812101</v>
      </c>
      <c r="Z30" s="228">
        <v>573</v>
      </c>
      <c r="AA30" s="224">
        <v>0.63450444828642405</v>
      </c>
      <c r="AB30" s="225">
        <v>-1636.73472725686</v>
      </c>
      <c r="AC30" s="219"/>
      <c r="AD30" s="219"/>
      <c r="AE30" s="227">
        <v>1308</v>
      </c>
      <c r="AF30" s="227">
        <v>2024</v>
      </c>
      <c r="AG30" s="218"/>
      <c r="AH30" s="231">
        <v>354.2</v>
      </c>
      <c r="AI30" s="217">
        <v>56.729865960948601</v>
      </c>
      <c r="AJ30" s="232" t="s">
        <v>53</v>
      </c>
      <c r="AK30" s="239">
        <v>0.9004740628722</v>
      </c>
      <c r="AL30" s="222">
        <v>-75.336414148660097</v>
      </c>
      <c r="AM30" s="219"/>
      <c r="AN30" s="219"/>
      <c r="AO30" s="227">
        <v>40</v>
      </c>
      <c r="AP30" s="227">
        <v>118</v>
      </c>
      <c r="AQ30" s="218"/>
      <c r="AR30" s="231">
        <v>37.700000000000003</v>
      </c>
      <c r="AS30" s="217">
        <v>6.0381590816706998</v>
      </c>
      <c r="AT30" s="232" t="s">
        <v>54</v>
      </c>
      <c r="AU30" s="224">
        <v>0.37738494260441902</v>
      </c>
      <c r="AV30" s="225">
        <v>-71.388613117120002</v>
      </c>
      <c r="AW30" s="219"/>
      <c r="AX30" s="219"/>
      <c r="AY30" s="227">
        <v>63</v>
      </c>
      <c r="AZ30" s="227">
        <v>83</v>
      </c>
      <c r="BA30" s="218"/>
      <c r="BB30" s="235">
        <v>209.4</v>
      </c>
      <c r="BC30" s="231">
        <v>33.538209859465397</v>
      </c>
      <c r="BD30" s="232" t="s">
        <v>55</v>
      </c>
      <c r="BE30" s="233">
        <v>1.0480690581082901</v>
      </c>
      <c r="BF30" s="234">
        <v>-8.7772262342400307</v>
      </c>
      <c r="BG30" s="219">
        <v>1.4999999999999999E-2</v>
      </c>
      <c r="BH30" s="219">
        <v>5.0000000000000001E-3</v>
      </c>
      <c r="BI30" s="227">
        <v>0</v>
      </c>
      <c r="BJ30" s="227">
        <v>31</v>
      </c>
      <c r="BK30" s="220"/>
      <c r="BL30" s="236">
        <v>0.8</v>
      </c>
      <c r="BM30" s="239">
        <v>0.74</v>
      </c>
      <c r="BN30" s="237"/>
      <c r="BO30" s="238">
        <v>0.95</v>
      </c>
      <c r="BP30" s="229">
        <v>1</v>
      </c>
      <c r="BQ30" s="237">
        <v>2.5000000000000001E-3</v>
      </c>
    </row>
    <row r="31" spans="1:69" s="207" customFormat="1" ht="22.35" customHeight="1" x14ac:dyDescent="0.2">
      <c r="A31" s="216" t="s">
        <v>80</v>
      </c>
      <c r="B31" s="216" t="s">
        <v>81</v>
      </c>
      <c r="C31" s="216" t="s">
        <v>83</v>
      </c>
      <c r="D31" s="217">
        <v>2.8402116402222202</v>
      </c>
      <c r="E31" s="218"/>
      <c r="F31" s="219">
        <v>4.5999999999999999E-2</v>
      </c>
      <c r="G31" s="219">
        <v>3.1E-2</v>
      </c>
      <c r="H31" s="220"/>
      <c r="I31" s="221">
        <v>5</v>
      </c>
      <c r="J31" s="221">
        <v>4</v>
      </c>
      <c r="K31" s="218"/>
      <c r="L31" s="222">
        <v>1163.5511899999999</v>
      </c>
      <c r="M31" s="222">
        <v>824.33378000000005</v>
      </c>
      <c r="N31" s="222">
        <v>1987.8849700000001</v>
      </c>
      <c r="O31" s="217">
        <v>699.90733854061102</v>
      </c>
      <c r="P31" s="223">
        <v>255.976</v>
      </c>
      <c r="Q31" s="229">
        <v>2.7342693789285399</v>
      </c>
      <c r="R31" s="230">
        <v>1193.9725618192599</v>
      </c>
      <c r="S31" s="219">
        <v>0.01</v>
      </c>
      <c r="T31" s="219">
        <v>0.01</v>
      </c>
      <c r="U31" s="226">
        <v>0</v>
      </c>
      <c r="V31" s="227">
        <v>0</v>
      </c>
      <c r="W31" s="218"/>
      <c r="X31" s="226">
        <v>1950.5120850000001</v>
      </c>
      <c r="Y31" s="217">
        <v>686.74885257754602</v>
      </c>
      <c r="Z31" s="228">
        <v>573</v>
      </c>
      <c r="AA31" s="229">
        <v>1.1985145769241601</v>
      </c>
      <c r="AB31" s="230">
        <v>173.346218326713</v>
      </c>
      <c r="AC31" s="219">
        <v>0.02</v>
      </c>
      <c r="AD31" s="219">
        <v>0.02</v>
      </c>
      <c r="AE31" s="227">
        <v>0</v>
      </c>
      <c r="AF31" s="227">
        <v>3</v>
      </c>
      <c r="AG31" s="218"/>
      <c r="AH31" s="231">
        <v>171.55</v>
      </c>
      <c r="AI31" s="217">
        <v>60.400428464752601</v>
      </c>
      <c r="AJ31" s="232" t="s">
        <v>53</v>
      </c>
      <c r="AK31" s="233">
        <v>0.95873695975797801</v>
      </c>
      <c r="AL31" s="234">
        <v>-23.8452000007279</v>
      </c>
      <c r="AM31" s="219">
        <v>5.0000000000000001E-3</v>
      </c>
      <c r="AN31" s="219"/>
      <c r="AO31" s="227">
        <v>8</v>
      </c>
      <c r="AP31" s="227">
        <v>44</v>
      </c>
      <c r="AQ31" s="218"/>
      <c r="AR31" s="231">
        <v>22.2</v>
      </c>
      <c r="AS31" s="217">
        <v>7.8163189269455398</v>
      </c>
      <c r="AT31" s="232" t="s">
        <v>54</v>
      </c>
      <c r="AU31" s="224">
        <v>0.48851993293409601</v>
      </c>
      <c r="AV31" s="225">
        <v>-27.424177777962601</v>
      </c>
      <c r="AW31" s="219"/>
      <c r="AX31" s="219"/>
      <c r="AY31" s="227">
        <v>24</v>
      </c>
      <c r="AZ31" s="227">
        <v>33</v>
      </c>
      <c r="BA31" s="218"/>
      <c r="BB31" s="235">
        <v>91.8</v>
      </c>
      <c r="BC31" s="231">
        <v>32.321535022234301</v>
      </c>
      <c r="BD31" s="232" t="s">
        <v>55</v>
      </c>
      <c r="BE31" s="233">
        <v>1.0100479694448199</v>
      </c>
      <c r="BF31" s="234">
        <v>-7.4483555559252803</v>
      </c>
      <c r="BG31" s="219">
        <v>1.0999999999999999E-2</v>
      </c>
      <c r="BH31" s="219">
        <v>1E-3</v>
      </c>
      <c r="BI31" s="227">
        <v>0</v>
      </c>
      <c r="BJ31" s="227">
        <v>18</v>
      </c>
      <c r="BK31" s="220"/>
      <c r="BL31" s="236">
        <v>0.8</v>
      </c>
      <c r="BM31" s="224">
        <v>0.67</v>
      </c>
      <c r="BN31" s="237"/>
      <c r="BO31" s="238">
        <v>0.95</v>
      </c>
      <c r="BP31" s="229">
        <v>1</v>
      </c>
      <c r="BQ31" s="237">
        <v>2.5000000000000001E-3</v>
      </c>
    </row>
    <row r="32" spans="1:69" s="207" customFormat="1" ht="22.35" customHeight="1" x14ac:dyDescent="0.2">
      <c r="A32" s="216" t="s">
        <v>80</v>
      </c>
      <c r="B32" s="216" t="s">
        <v>81</v>
      </c>
      <c r="C32" s="216" t="s">
        <v>84</v>
      </c>
      <c r="D32" s="217">
        <v>7.4919696311111101</v>
      </c>
      <c r="E32" s="218"/>
      <c r="F32" s="219">
        <v>0.01</v>
      </c>
      <c r="G32" s="219">
        <v>0.01</v>
      </c>
      <c r="H32" s="220"/>
      <c r="I32" s="221">
        <v>2</v>
      </c>
      <c r="J32" s="221">
        <v>2</v>
      </c>
      <c r="K32" s="218"/>
      <c r="L32" s="222">
        <v>5504.2335599999997</v>
      </c>
      <c r="M32" s="222">
        <v>1883.6323600000001</v>
      </c>
      <c r="N32" s="222">
        <v>7387.8659200000002</v>
      </c>
      <c r="O32" s="217">
        <v>986.10462718924896</v>
      </c>
      <c r="P32" s="223">
        <v>282.02199999999999</v>
      </c>
      <c r="Q32" s="229">
        <v>3.4965521384475302</v>
      </c>
      <c r="R32" s="230">
        <v>5080.5788368387002</v>
      </c>
      <c r="S32" s="219">
        <v>0.01</v>
      </c>
      <c r="T32" s="219">
        <v>0.01</v>
      </c>
      <c r="U32" s="226">
        <v>0</v>
      </c>
      <c r="V32" s="227">
        <v>0</v>
      </c>
      <c r="W32" s="218"/>
      <c r="X32" s="226">
        <v>3491.3643649999999</v>
      </c>
      <c r="Y32" s="217">
        <v>466.01421747650699</v>
      </c>
      <c r="Z32" s="228">
        <v>573</v>
      </c>
      <c r="AA32" s="239">
        <v>0.81328833765533504</v>
      </c>
      <c r="AB32" s="222">
        <v>-1196.48090470032</v>
      </c>
      <c r="AC32" s="219"/>
      <c r="AD32" s="219"/>
      <c r="AE32" s="227">
        <v>802</v>
      </c>
      <c r="AF32" s="227">
        <v>1661</v>
      </c>
      <c r="AG32" s="218"/>
      <c r="AH32" s="231">
        <v>233.8</v>
      </c>
      <c r="AI32" s="217">
        <v>31.206746891915198</v>
      </c>
      <c r="AJ32" s="232" t="s">
        <v>53</v>
      </c>
      <c r="AK32" s="224">
        <v>0.495345188760559</v>
      </c>
      <c r="AL32" s="225">
        <v>-281.61754274191998</v>
      </c>
      <c r="AM32" s="219"/>
      <c r="AN32" s="219"/>
      <c r="AO32" s="227">
        <v>239</v>
      </c>
      <c r="AP32" s="227">
        <v>333</v>
      </c>
      <c r="AQ32" s="218"/>
      <c r="AR32" s="231">
        <v>45.2</v>
      </c>
      <c r="AS32" s="217">
        <v>6.0331264307723202</v>
      </c>
      <c r="AT32" s="232" t="s">
        <v>54</v>
      </c>
      <c r="AU32" s="224">
        <v>0.37707040192327002</v>
      </c>
      <c r="AV32" s="225">
        <v>-85.699693394773305</v>
      </c>
      <c r="AW32" s="219"/>
      <c r="AX32" s="219"/>
      <c r="AY32" s="227">
        <v>75</v>
      </c>
      <c r="AZ32" s="227">
        <v>99</v>
      </c>
      <c r="BA32" s="218"/>
      <c r="BB32" s="235">
        <v>181</v>
      </c>
      <c r="BC32" s="231">
        <v>24.159200972783001</v>
      </c>
      <c r="BD32" s="232" t="s">
        <v>55</v>
      </c>
      <c r="BE32" s="239">
        <v>0.75497503039946701</v>
      </c>
      <c r="BF32" s="222">
        <v>-80.799386789546602</v>
      </c>
      <c r="BG32" s="219"/>
      <c r="BH32" s="219"/>
      <c r="BI32" s="227">
        <v>59</v>
      </c>
      <c r="BJ32" s="227">
        <v>107</v>
      </c>
      <c r="BK32" s="220"/>
      <c r="BL32" s="236">
        <v>0.8</v>
      </c>
      <c r="BM32" s="224">
        <v>0.69</v>
      </c>
      <c r="BN32" s="237"/>
      <c r="BO32" s="238">
        <v>0.95</v>
      </c>
      <c r="BP32" s="229">
        <v>1</v>
      </c>
      <c r="BQ32" s="237">
        <v>2.5000000000000001E-3</v>
      </c>
    </row>
    <row r="33" spans="1:69" s="207" customFormat="1" ht="22.35" customHeight="1" x14ac:dyDescent="0.2">
      <c r="A33" s="216" t="s">
        <v>80</v>
      </c>
      <c r="B33" s="216" t="s">
        <v>81</v>
      </c>
      <c r="C33" s="216" t="s">
        <v>85</v>
      </c>
      <c r="D33" s="217">
        <v>8.0712319791111096</v>
      </c>
      <c r="E33" s="218"/>
      <c r="F33" s="219">
        <v>0.03</v>
      </c>
      <c r="G33" s="219">
        <v>2.3E-2</v>
      </c>
      <c r="H33" s="220"/>
      <c r="I33" s="221">
        <v>3</v>
      </c>
      <c r="J33" s="221">
        <v>3</v>
      </c>
      <c r="K33" s="218"/>
      <c r="L33" s="222">
        <v>3706.5583200000001</v>
      </c>
      <c r="M33" s="222">
        <v>4466.37979</v>
      </c>
      <c r="N33" s="222">
        <v>8172.9381100000001</v>
      </c>
      <c r="O33" s="217">
        <v>1012.60106649792</v>
      </c>
      <c r="P33" s="223">
        <v>276.94400000000002</v>
      </c>
      <c r="Q33" s="229">
        <v>3.6563387056513998</v>
      </c>
      <c r="R33" s="230">
        <v>5732.0131480085402</v>
      </c>
      <c r="S33" s="219">
        <v>0.01</v>
      </c>
      <c r="T33" s="219">
        <v>0.01</v>
      </c>
      <c r="U33" s="226">
        <v>0</v>
      </c>
      <c r="V33" s="227">
        <v>0</v>
      </c>
      <c r="W33" s="218"/>
      <c r="X33" s="226">
        <v>3948.1300900000001</v>
      </c>
      <c r="Y33" s="217">
        <v>489.160774986771</v>
      </c>
      <c r="Z33" s="228">
        <v>573</v>
      </c>
      <c r="AA33" s="239">
        <v>0.85368372598040299</v>
      </c>
      <c r="AB33" s="222">
        <v>-1102.16889904149</v>
      </c>
      <c r="AC33" s="219"/>
      <c r="AD33" s="219"/>
      <c r="AE33" s="227">
        <v>677</v>
      </c>
      <c r="AF33" s="227">
        <v>1602</v>
      </c>
      <c r="AG33" s="218"/>
      <c r="AH33" s="231">
        <v>352.65</v>
      </c>
      <c r="AI33" s="217">
        <v>43.6922146349754</v>
      </c>
      <c r="AJ33" s="232" t="s">
        <v>53</v>
      </c>
      <c r="AK33" s="224">
        <v>0.69352721642818105</v>
      </c>
      <c r="AL33" s="225">
        <v>-202.61847523492801</v>
      </c>
      <c r="AM33" s="219"/>
      <c r="AN33" s="219"/>
      <c r="AO33" s="227">
        <v>156</v>
      </c>
      <c r="AP33" s="227">
        <v>258</v>
      </c>
      <c r="AQ33" s="218"/>
      <c r="AR33" s="231">
        <v>61.6</v>
      </c>
      <c r="AS33" s="217">
        <v>7.6320442975031497</v>
      </c>
      <c r="AT33" s="232" t="s">
        <v>54</v>
      </c>
      <c r="AU33" s="224">
        <v>0.47700276859394702</v>
      </c>
      <c r="AV33" s="225">
        <v>-79.420565139029307</v>
      </c>
      <c r="AW33" s="219"/>
      <c r="AX33" s="219"/>
      <c r="AY33" s="227">
        <v>68</v>
      </c>
      <c r="AZ33" s="227">
        <v>94</v>
      </c>
      <c r="BA33" s="218"/>
      <c r="BB33" s="235">
        <v>291.8</v>
      </c>
      <c r="BC33" s="231">
        <v>36.153092954730802</v>
      </c>
      <c r="BD33" s="232" t="s">
        <v>55</v>
      </c>
      <c r="BE33" s="229">
        <v>1.12978415483534</v>
      </c>
      <c r="BF33" s="230">
        <v>9.7588697219413802</v>
      </c>
      <c r="BG33" s="219">
        <v>0.02</v>
      </c>
      <c r="BH33" s="219">
        <v>1.2999999999999999E-2</v>
      </c>
      <c r="BI33" s="227">
        <v>0</v>
      </c>
      <c r="BJ33" s="227">
        <v>19</v>
      </c>
      <c r="BK33" s="220"/>
      <c r="BL33" s="236">
        <v>0.8</v>
      </c>
      <c r="BM33" s="224">
        <v>0.65</v>
      </c>
      <c r="BN33" s="237"/>
      <c r="BO33" s="238">
        <v>0.95</v>
      </c>
      <c r="BP33" s="229">
        <v>1</v>
      </c>
      <c r="BQ33" s="237">
        <v>2.5000000000000001E-3</v>
      </c>
    </row>
    <row r="34" spans="1:69" s="207" customFormat="1" ht="22.35" customHeight="1" x14ac:dyDescent="0.2">
      <c r="A34" s="216" t="s">
        <v>80</v>
      </c>
      <c r="B34" s="216" t="s">
        <v>81</v>
      </c>
      <c r="C34" s="216" t="s">
        <v>86</v>
      </c>
      <c r="D34" s="217">
        <v>1.4323658323333299</v>
      </c>
      <c r="E34" s="218"/>
      <c r="F34" s="219">
        <v>0.01</v>
      </c>
      <c r="G34" s="219">
        <v>0.01</v>
      </c>
      <c r="H34" s="220"/>
      <c r="I34" s="221">
        <v>3</v>
      </c>
      <c r="J34" s="221">
        <v>3</v>
      </c>
      <c r="K34" s="218"/>
      <c r="L34" s="222">
        <v>1280.3933300000001</v>
      </c>
      <c r="M34" s="222">
        <v>132.15737999999999</v>
      </c>
      <c r="N34" s="222">
        <v>1412.55071</v>
      </c>
      <c r="O34" s="217">
        <v>986.16615819364097</v>
      </c>
      <c r="P34" s="223">
        <v>276.94400000000002</v>
      </c>
      <c r="Q34" s="229">
        <v>3.5608865264950298</v>
      </c>
      <c r="R34" s="230">
        <v>979.37055560786405</v>
      </c>
      <c r="S34" s="219">
        <v>0.01</v>
      </c>
      <c r="T34" s="219">
        <v>0.01</v>
      </c>
      <c r="U34" s="226">
        <v>0</v>
      </c>
      <c r="V34" s="227">
        <v>0</v>
      </c>
      <c r="W34" s="218"/>
      <c r="X34" s="226">
        <v>435.25427500000001</v>
      </c>
      <c r="Y34" s="217">
        <v>303.87088631607998</v>
      </c>
      <c r="Z34" s="228">
        <v>573</v>
      </c>
      <c r="AA34" s="224">
        <v>0.53031568292509601</v>
      </c>
      <c r="AB34" s="225">
        <v>-460.99994414428198</v>
      </c>
      <c r="AC34" s="219"/>
      <c r="AD34" s="219"/>
      <c r="AE34" s="227">
        <v>386</v>
      </c>
      <c r="AF34" s="227">
        <v>550</v>
      </c>
      <c r="AG34" s="218"/>
      <c r="AH34" s="231">
        <v>30.3</v>
      </c>
      <c r="AI34" s="217">
        <v>21.1538137227422</v>
      </c>
      <c r="AJ34" s="232" t="s">
        <v>53</v>
      </c>
      <c r="AK34" s="224">
        <v>0.335774820995909</v>
      </c>
      <c r="AL34" s="225">
        <v>-68.241039801203797</v>
      </c>
      <c r="AM34" s="219"/>
      <c r="AN34" s="219"/>
      <c r="AO34" s="227">
        <v>60</v>
      </c>
      <c r="AP34" s="227">
        <v>78</v>
      </c>
      <c r="AQ34" s="218"/>
      <c r="AR34" s="231">
        <v>4.8</v>
      </c>
      <c r="AS34" s="217">
        <v>3.3510992036027298</v>
      </c>
      <c r="AT34" s="232" t="s">
        <v>54</v>
      </c>
      <c r="AU34" s="224">
        <v>0.209443700225171</v>
      </c>
      <c r="AV34" s="225">
        <v>-20.226295822527899</v>
      </c>
      <c r="AW34" s="219"/>
      <c r="AX34" s="219"/>
      <c r="AY34" s="227">
        <v>19</v>
      </c>
      <c r="AZ34" s="227">
        <v>23</v>
      </c>
      <c r="BA34" s="218"/>
      <c r="BB34" s="235">
        <v>27.4</v>
      </c>
      <c r="BC34" s="231">
        <v>19.129191287232299</v>
      </c>
      <c r="BD34" s="232" t="s">
        <v>55</v>
      </c>
      <c r="BE34" s="224">
        <v>0.59778722772600801</v>
      </c>
      <c r="BF34" s="225">
        <v>-22.6525916450559</v>
      </c>
      <c r="BG34" s="219"/>
      <c r="BH34" s="219"/>
      <c r="BI34" s="227">
        <v>19</v>
      </c>
      <c r="BJ34" s="227">
        <v>28</v>
      </c>
      <c r="BK34" s="220"/>
      <c r="BL34" s="236">
        <v>0.8</v>
      </c>
      <c r="BM34" s="233">
        <v>0.81</v>
      </c>
      <c r="BN34" s="237">
        <v>3.7500000000000001E-4</v>
      </c>
      <c r="BO34" s="238">
        <v>0.95</v>
      </c>
      <c r="BP34" s="229">
        <v>1</v>
      </c>
      <c r="BQ34" s="237">
        <v>2.5000000000000001E-3</v>
      </c>
    </row>
    <row r="35" spans="1:69" s="207" customFormat="1" ht="22.35" customHeight="1" x14ac:dyDescent="0.2">
      <c r="A35" s="216" t="s">
        <v>80</v>
      </c>
      <c r="B35" s="216" t="s">
        <v>81</v>
      </c>
      <c r="C35" s="216" t="s">
        <v>87</v>
      </c>
      <c r="D35" s="217">
        <v>2.4192814678888901</v>
      </c>
      <c r="E35" s="218"/>
      <c r="F35" s="219">
        <v>4.7E-2</v>
      </c>
      <c r="G35" s="219">
        <v>2.9000000000000001E-2</v>
      </c>
      <c r="H35" s="220"/>
      <c r="I35" s="221">
        <v>4</v>
      </c>
      <c r="J35" s="221">
        <v>4</v>
      </c>
      <c r="K35" s="218"/>
      <c r="L35" s="222">
        <v>1550.0249899999999</v>
      </c>
      <c r="M35" s="222">
        <v>667.13251000000002</v>
      </c>
      <c r="N35" s="222">
        <v>2217.1574999999998</v>
      </c>
      <c r="O35" s="217">
        <v>916.45289290573305</v>
      </c>
      <c r="P35" s="223">
        <v>237.21100000000001</v>
      </c>
      <c r="Q35" s="229">
        <v>3.8634502316744701</v>
      </c>
      <c r="R35" s="230">
        <v>1590.4803475029</v>
      </c>
      <c r="S35" s="219">
        <v>0.01</v>
      </c>
      <c r="T35" s="219">
        <v>0.01</v>
      </c>
      <c r="U35" s="226">
        <v>0</v>
      </c>
      <c r="V35" s="227">
        <v>0</v>
      </c>
      <c r="W35" s="218"/>
      <c r="X35" s="226">
        <v>1571.2996350000001</v>
      </c>
      <c r="Y35" s="217">
        <v>649.49021263373095</v>
      </c>
      <c r="Z35" s="228">
        <v>573</v>
      </c>
      <c r="AA35" s="229">
        <v>1.1334907724847001</v>
      </c>
      <c r="AB35" s="230">
        <v>57.516512038435401</v>
      </c>
      <c r="AC35" s="219">
        <v>0.02</v>
      </c>
      <c r="AD35" s="219">
        <v>1.2999999999999999E-2</v>
      </c>
      <c r="AE35" s="227">
        <v>0</v>
      </c>
      <c r="AF35" s="227">
        <v>93</v>
      </c>
      <c r="AG35" s="218"/>
      <c r="AH35" s="231">
        <v>161.69999999999999</v>
      </c>
      <c r="AI35" s="217">
        <v>66.838026970504799</v>
      </c>
      <c r="AJ35" s="232" t="s">
        <v>53</v>
      </c>
      <c r="AK35" s="233">
        <v>1.0609210630238901</v>
      </c>
      <c r="AL35" s="234">
        <v>-4.7368878648840704</v>
      </c>
      <c r="AM35" s="219">
        <v>1.7000000000000001E-2</v>
      </c>
      <c r="AN35" s="219">
        <v>6.0000000000000001E-3</v>
      </c>
      <c r="AO35" s="227">
        <v>0</v>
      </c>
      <c r="AP35" s="227">
        <v>22</v>
      </c>
      <c r="AQ35" s="218"/>
      <c r="AR35" s="231">
        <v>24.4</v>
      </c>
      <c r="AS35" s="217">
        <v>10.0856391965387</v>
      </c>
      <c r="AT35" s="232" t="s">
        <v>54</v>
      </c>
      <c r="AU35" s="224">
        <v>0.630352449783672</v>
      </c>
      <c r="AV35" s="225">
        <v>-17.869685806954699</v>
      </c>
      <c r="AW35" s="219"/>
      <c r="AX35" s="219"/>
      <c r="AY35" s="227">
        <v>15</v>
      </c>
      <c r="AZ35" s="227">
        <v>23</v>
      </c>
      <c r="BA35" s="218"/>
      <c r="BB35" s="235">
        <v>70.2</v>
      </c>
      <c r="BC35" s="231">
        <v>29.0168799834845</v>
      </c>
      <c r="BD35" s="232" t="s">
        <v>55</v>
      </c>
      <c r="BE35" s="239">
        <v>0.90677749948388897</v>
      </c>
      <c r="BF35" s="222">
        <v>-14.3393716139094</v>
      </c>
      <c r="BG35" s="219">
        <v>0</v>
      </c>
      <c r="BH35" s="219"/>
      <c r="BI35" s="227">
        <v>8</v>
      </c>
      <c r="BJ35" s="227">
        <v>23</v>
      </c>
      <c r="BK35" s="220"/>
      <c r="BL35" s="236">
        <v>0.8</v>
      </c>
      <c r="BM35" s="224">
        <v>0.64</v>
      </c>
      <c r="BN35" s="237"/>
      <c r="BO35" s="238">
        <v>0.95</v>
      </c>
      <c r="BP35" s="229">
        <v>1</v>
      </c>
      <c r="BQ35" s="237">
        <v>2.5000000000000001E-3</v>
      </c>
    </row>
    <row r="36" spans="1:69" s="207" customFormat="1" ht="22.35" customHeight="1" x14ac:dyDescent="0.2">
      <c r="A36" s="216" t="s">
        <v>80</v>
      </c>
      <c r="B36" s="216" t="s">
        <v>81</v>
      </c>
      <c r="C36" s="216" t="s">
        <v>88</v>
      </c>
      <c r="D36" s="217">
        <v>2.4492784859999999</v>
      </c>
      <c r="E36" s="218"/>
      <c r="F36" s="219">
        <v>0.03</v>
      </c>
      <c r="G36" s="219">
        <v>2.8000000000000001E-2</v>
      </c>
      <c r="H36" s="220"/>
      <c r="I36" s="221">
        <v>3</v>
      </c>
      <c r="J36" s="221">
        <v>3</v>
      </c>
      <c r="K36" s="218"/>
      <c r="L36" s="222">
        <v>1200.03495</v>
      </c>
      <c r="M36" s="222">
        <v>2134.3454400000001</v>
      </c>
      <c r="N36" s="222">
        <v>3334.3803899999998</v>
      </c>
      <c r="O36" s="217">
        <v>1361.3725058457901</v>
      </c>
      <c r="P36" s="223">
        <v>282.02199999999999</v>
      </c>
      <c r="Q36" s="229">
        <v>4.8271854885285199</v>
      </c>
      <c r="R36" s="230">
        <v>2580.0809344408699</v>
      </c>
      <c r="S36" s="219">
        <v>0.01</v>
      </c>
      <c r="T36" s="219">
        <v>0.01</v>
      </c>
      <c r="U36" s="226">
        <v>0</v>
      </c>
      <c r="V36" s="227">
        <v>0</v>
      </c>
      <c r="W36" s="218"/>
      <c r="X36" s="226">
        <v>1182.5286000000001</v>
      </c>
      <c r="Y36" s="217">
        <v>482.80691916386701</v>
      </c>
      <c r="Z36" s="228">
        <v>573</v>
      </c>
      <c r="AA36" s="239">
        <v>0.84259497236276903</v>
      </c>
      <c r="AB36" s="222">
        <v>-350.024137145976</v>
      </c>
      <c r="AC36" s="219"/>
      <c r="AD36" s="219"/>
      <c r="AE36" s="227">
        <v>221</v>
      </c>
      <c r="AF36" s="227">
        <v>502</v>
      </c>
      <c r="AG36" s="218"/>
      <c r="AH36" s="231">
        <v>139.9</v>
      </c>
      <c r="AI36" s="217">
        <v>57.118862064752598</v>
      </c>
      <c r="AJ36" s="232" t="s">
        <v>53</v>
      </c>
      <c r="AK36" s="239">
        <v>0.90664860420242199</v>
      </c>
      <c r="AL36" s="222">
        <v>-28.600562722856001</v>
      </c>
      <c r="AM36" s="219">
        <v>0</v>
      </c>
      <c r="AN36" s="219"/>
      <c r="AO36" s="227">
        <v>15</v>
      </c>
      <c r="AP36" s="227">
        <v>46</v>
      </c>
      <c r="AQ36" s="218"/>
      <c r="AR36" s="231">
        <v>15.6</v>
      </c>
      <c r="AS36" s="217">
        <v>6.3692226462483204</v>
      </c>
      <c r="AT36" s="232" t="s">
        <v>54</v>
      </c>
      <c r="AU36" s="224">
        <v>0.39807641539052002</v>
      </c>
      <c r="AV36" s="225">
        <v>-27.193793707392</v>
      </c>
      <c r="AW36" s="219"/>
      <c r="AX36" s="219"/>
      <c r="AY36" s="227">
        <v>24</v>
      </c>
      <c r="AZ36" s="227">
        <v>32</v>
      </c>
      <c r="BA36" s="218"/>
      <c r="BB36" s="235">
        <v>92.6</v>
      </c>
      <c r="BC36" s="231">
        <v>37.807052374525298</v>
      </c>
      <c r="BD36" s="232" t="s">
        <v>55</v>
      </c>
      <c r="BE36" s="229">
        <v>1.18147038670391</v>
      </c>
      <c r="BF36" s="230">
        <v>7.0124125852160102</v>
      </c>
      <c r="BG36" s="219">
        <v>0.02</v>
      </c>
      <c r="BH36" s="219">
        <v>1.7999999999999999E-2</v>
      </c>
      <c r="BI36" s="227">
        <v>0</v>
      </c>
      <c r="BJ36" s="227">
        <v>2</v>
      </c>
      <c r="BK36" s="220"/>
      <c r="BL36" s="236">
        <v>0.8</v>
      </c>
      <c r="BM36" s="239">
        <v>0.76</v>
      </c>
      <c r="BN36" s="237"/>
      <c r="BO36" s="238">
        <v>0.95</v>
      </c>
      <c r="BP36" s="229">
        <v>1</v>
      </c>
      <c r="BQ36" s="237">
        <v>2.5000000000000001E-3</v>
      </c>
    </row>
    <row r="37" spans="1:69" s="207" customFormat="1" ht="22.35" customHeight="1" x14ac:dyDescent="0.2">
      <c r="A37" s="216" t="s">
        <v>80</v>
      </c>
      <c r="B37" s="216" t="s">
        <v>81</v>
      </c>
      <c r="C37" s="216" t="s">
        <v>89</v>
      </c>
      <c r="D37" s="217">
        <v>3.7485407748888901</v>
      </c>
      <c r="E37" s="218"/>
      <c r="F37" s="219">
        <v>2.8000000000000001E-2</v>
      </c>
      <c r="G37" s="219">
        <v>1.7000000000000001E-2</v>
      </c>
      <c r="H37" s="220"/>
      <c r="I37" s="221">
        <v>2</v>
      </c>
      <c r="J37" s="221">
        <v>2</v>
      </c>
      <c r="K37" s="218"/>
      <c r="L37" s="222">
        <v>1043.1998000000001</v>
      </c>
      <c r="M37" s="222">
        <v>1964.2833000000001</v>
      </c>
      <c r="N37" s="222">
        <v>3007.4830999999999</v>
      </c>
      <c r="O37" s="217">
        <v>802.30769267519702</v>
      </c>
      <c r="P37" s="223">
        <v>231.66</v>
      </c>
      <c r="Q37" s="229">
        <v>3.4632983366796002</v>
      </c>
      <c r="R37" s="230">
        <v>2059.2045441454502</v>
      </c>
      <c r="S37" s="219">
        <v>0.01</v>
      </c>
      <c r="T37" s="219">
        <v>0.01</v>
      </c>
      <c r="U37" s="226">
        <v>0</v>
      </c>
      <c r="V37" s="227">
        <v>0</v>
      </c>
      <c r="W37" s="218"/>
      <c r="X37" s="226">
        <v>2298.4796999999999</v>
      </c>
      <c r="Y37" s="217">
        <v>613.16651946199795</v>
      </c>
      <c r="Z37" s="228">
        <v>573</v>
      </c>
      <c r="AA37" s="233">
        <v>1.0700986378045301</v>
      </c>
      <c r="AB37" s="234">
        <v>-47.042239500376603</v>
      </c>
      <c r="AC37" s="219">
        <v>1.7999999999999999E-2</v>
      </c>
      <c r="AD37" s="219">
        <v>7.0000000000000001E-3</v>
      </c>
      <c r="AE37" s="227">
        <v>0</v>
      </c>
      <c r="AF37" s="227">
        <v>280</v>
      </c>
      <c r="AG37" s="218"/>
      <c r="AH37" s="231">
        <v>195.2</v>
      </c>
      <c r="AI37" s="217">
        <v>52.073596559926997</v>
      </c>
      <c r="AJ37" s="232" t="s">
        <v>53</v>
      </c>
      <c r="AK37" s="239">
        <v>0.826565024760745</v>
      </c>
      <c r="AL37" s="222">
        <v>-62.684611149256099</v>
      </c>
      <c r="AM37" s="219"/>
      <c r="AN37" s="219"/>
      <c r="AO37" s="227">
        <v>41</v>
      </c>
      <c r="AP37" s="227">
        <v>89</v>
      </c>
      <c r="AQ37" s="218"/>
      <c r="AR37" s="231">
        <v>18.100000000000001</v>
      </c>
      <c r="AS37" s="217">
        <v>4.8285455826571599</v>
      </c>
      <c r="AT37" s="232" t="s">
        <v>54</v>
      </c>
      <c r="AU37" s="224">
        <v>0.301784098916072</v>
      </c>
      <c r="AV37" s="225">
        <v>-47.394504418858702</v>
      </c>
      <c r="AW37" s="219"/>
      <c r="AX37" s="219"/>
      <c r="AY37" s="227">
        <v>42</v>
      </c>
      <c r="AZ37" s="227">
        <v>54</v>
      </c>
      <c r="BA37" s="218"/>
      <c r="BB37" s="235">
        <v>95</v>
      </c>
      <c r="BC37" s="231">
        <v>25.343195047095598</v>
      </c>
      <c r="BD37" s="232" t="s">
        <v>55</v>
      </c>
      <c r="BE37" s="239">
        <v>0.791974845221737</v>
      </c>
      <c r="BF37" s="222">
        <v>-35.9890088377174</v>
      </c>
      <c r="BG37" s="219"/>
      <c r="BH37" s="219"/>
      <c r="BI37" s="227">
        <v>25</v>
      </c>
      <c r="BJ37" s="227">
        <v>49</v>
      </c>
      <c r="BK37" s="220"/>
      <c r="BL37" s="236">
        <v>0.8</v>
      </c>
      <c r="BM37" s="224">
        <v>0.67</v>
      </c>
      <c r="BN37" s="237"/>
      <c r="BO37" s="238">
        <v>0.95</v>
      </c>
      <c r="BP37" s="239">
        <v>0.94</v>
      </c>
      <c r="BQ37" s="237"/>
    </row>
    <row r="38" spans="1:69" s="207" customFormat="1" ht="22.35" customHeight="1" x14ac:dyDescent="0.2">
      <c r="A38" s="216" t="s">
        <v>80</v>
      </c>
      <c r="B38" s="216" t="s">
        <v>81</v>
      </c>
      <c r="C38" s="216" t="s">
        <v>90</v>
      </c>
      <c r="D38" s="217">
        <v>5.80392696766667</v>
      </c>
      <c r="E38" s="218"/>
      <c r="F38" s="219">
        <v>2.1000000000000001E-2</v>
      </c>
      <c r="G38" s="219">
        <v>1.0999999999999999E-2</v>
      </c>
      <c r="H38" s="220"/>
      <c r="I38" s="221">
        <v>2</v>
      </c>
      <c r="J38" s="221">
        <v>2</v>
      </c>
      <c r="K38" s="218"/>
      <c r="L38" s="222">
        <v>788.31001000000003</v>
      </c>
      <c r="M38" s="222">
        <v>1179.4201599999999</v>
      </c>
      <c r="N38" s="222">
        <v>1967.73017</v>
      </c>
      <c r="O38" s="217">
        <v>339.03427471815297</v>
      </c>
      <c r="P38" s="223">
        <v>236.59800000000001</v>
      </c>
      <c r="Q38" s="229">
        <v>1.4329549477094199</v>
      </c>
      <c r="R38" s="230">
        <v>468.19848613596901</v>
      </c>
      <c r="S38" s="219">
        <v>0.01</v>
      </c>
      <c r="T38" s="219">
        <v>0.01</v>
      </c>
      <c r="U38" s="226">
        <v>0</v>
      </c>
      <c r="V38" s="227">
        <v>0</v>
      </c>
      <c r="W38" s="218"/>
      <c r="X38" s="226">
        <v>3361.0334050000001</v>
      </c>
      <c r="Y38" s="217">
        <v>579.09643310884496</v>
      </c>
      <c r="Z38" s="228">
        <v>573</v>
      </c>
      <c r="AA38" s="233">
        <v>1.01063949931736</v>
      </c>
      <c r="AB38" s="234">
        <v>-270.57656150051798</v>
      </c>
      <c r="AC38" s="219">
        <v>1.0999999999999999E-2</v>
      </c>
      <c r="AD38" s="219">
        <v>1E-3</v>
      </c>
      <c r="AE38" s="227">
        <v>0</v>
      </c>
      <c r="AF38" s="227">
        <v>630</v>
      </c>
      <c r="AG38" s="218"/>
      <c r="AH38" s="231">
        <v>268.75</v>
      </c>
      <c r="AI38" s="217">
        <v>46.304855574026</v>
      </c>
      <c r="AJ38" s="232" t="s">
        <v>53</v>
      </c>
      <c r="AK38" s="239">
        <v>0.734997707524223</v>
      </c>
      <c r="AL38" s="222">
        <v>-130.53695966759599</v>
      </c>
      <c r="AM38" s="219"/>
      <c r="AN38" s="219"/>
      <c r="AO38" s="227">
        <v>97</v>
      </c>
      <c r="AP38" s="227">
        <v>171</v>
      </c>
      <c r="AQ38" s="218"/>
      <c r="AR38" s="231">
        <v>40.5</v>
      </c>
      <c r="AS38" s="217">
        <v>6.9780340492950899</v>
      </c>
      <c r="AT38" s="232" t="s">
        <v>54</v>
      </c>
      <c r="AU38" s="224">
        <v>0.43612712808094301</v>
      </c>
      <c r="AV38" s="225">
        <v>-60.906211979072097</v>
      </c>
      <c r="AW38" s="219"/>
      <c r="AX38" s="219"/>
      <c r="AY38" s="227">
        <v>53</v>
      </c>
      <c r="AZ38" s="227">
        <v>71</v>
      </c>
      <c r="BA38" s="218"/>
      <c r="BB38" s="235">
        <v>165.2</v>
      </c>
      <c r="BC38" s="231">
        <v>28.463487035643201</v>
      </c>
      <c r="BD38" s="232" t="s">
        <v>55</v>
      </c>
      <c r="BE38" s="239">
        <v>0.88948396986384903</v>
      </c>
      <c r="BF38" s="222">
        <v>-37.612423958144099</v>
      </c>
      <c r="BG38" s="219"/>
      <c r="BH38" s="219"/>
      <c r="BI38" s="227">
        <v>21</v>
      </c>
      <c r="BJ38" s="227">
        <v>58</v>
      </c>
      <c r="BK38" s="220"/>
      <c r="BL38" s="236">
        <v>0.8</v>
      </c>
      <c r="BM38" s="224">
        <v>0.68</v>
      </c>
      <c r="BN38" s="237"/>
      <c r="BO38" s="238">
        <v>0.95</v>
      </c>
      <c r="BP38" s="239">
        <v>0.88</v>
      </c>
      <c r="BQ38" s="237"/>
    </row>
    <row r="39" spans="1:69" s="207" customFormat="1" ht="22.35" customHeight="1" x14ac:dyDescent="0.2">
      <c r="A39" s="216" t="s">
        <v>80</v>
      </c>
      <c r="B39" s="216" t="s">
        <v>81</v>
      </c>
      <c r="C39" s="216" t="s">
        <v>91</v>
      </c>
      <c r="D39" s="217">
        <v>2.9206349206666702</v>
      </c>
      <c r="E39" s="218"/>
      <c r="F39" s="219">
        <v>2.9000000000000001E-2</v>
      </c>
      <c r="G39" s="219">
        <v>1.7999999999999999E-2</v>
      </c>
      <c r="H39" s="220"/>
      <c r="I39" s="221">
        <v>3</v>
      </c>
      <c r="J39" s="221">
        <v>3</v>
      </c>
      <c r="K39" s="218"/>
      <c r="L39" s="222">
        <v>1574.1693299999999</v>
      </c>
      <c r="M39" s="222">
        <v>1743.8178499999999</v>
      </c>
      <c r="N39" s="222">
        <v>3317.9871800000001</v>
      </c>
      <c r="O39" s="217">
        <v>1136.04995835722</v>
      </c>
      <c r="P39" s="223">
        <v>240.53200000000001</v>
      </c>
      <c r="Q39" s="229">
        <v>4.7230720168510603</v>
      </c>
      <c r="R39" s="230">
        <v>2550.8504546583299</v>
      </c>
      <c r="S39" s="219">
        <v>0.01</v>
      </c>
      <c r="T39" s="219">
        <v>0.01</v>
      </c>
      <c r="U39" s="226">
        <v>0</v>
      </c>
      <c r="V39" s="227">
        <v>0</v>
      </c>
      <c r="W39" s="218"/>
      <c r="X39" s="226">
        <v>1218.8441350000001</v>
      </c>
      <c r="Y39" s="217">
        <v>417.32163317481201</v>
      </c>
      <c r="Z39" s="228">
        <v>573</v>
      </c>
      <c r="AA39" s="239">
        <v>0.72831000554068404</v>
      </c>
      <c r="AB39" s="222">
        <v>-608.64386501986598</v>
      </c>
      <c r="AC39" s="219"/>
      <c r="AD39" s="219"/>
      <c r="AE39" s="227">
        <v>455</v>
      </c>
      <c r="AF39" s="227">
        <v>790</v>
      </c>
      <c r="AG39" s="218"/>
      <c r="AH39" s="231">
        <v>142.75</v>
      </c>
      <c r="AI39" s="217">
        <v>48.876358695120899</v>
      </c>
      <c r="AJ39" s="232" t="s">
        <v>53</v>
      </c>
      <c r="AK39" s="239">
        <v>0.77581521738287096</v>
      </c>
      <c r="AL39" s="222">
        <v>-58.178000002184199</v>
      </c>
      <c r="AM39" s="219"/>
      <c r="AN39" s="219"/>
      <c r="AO39" s="227">
        <v>42</v>
      </c>
      <c r="AP39" s="227">
        <v>79</v>
      </c>
      <c r="AQ39" s="218"/>
      <c r="AR39" s="231">
        <v>21.1</v>
      </c>
      <c r="AS39" s="217">
        <v>7.2244565216606</v>
      </c>
      <c r="AT39" s="232" t="s">
        <v>54</v>
      </c>
      <c r="AU39" s="224">
        <v>0.451528532603787</v>
      </c>
      <c r="AV39" s="225">
        <v>-29.929333333888099</v>
      </c>
      <c r="AW39" s="219"/>
      <c r="AX39" s="219"/>
      <c r="AY39" s="227">
        <v>26</v>
      </c>
      <c r="AZ39" s="227">
        <v>35</v>
      </c>
      <c r="BA39" s="218"/>
      <c r="BB39" s="235">
        <v>101.2</v>
      </c>
      <c r="BC39" s="231">
        <v>34.649999999623397</v>
      </c>
      <c r="BD39" s="232" t="s">
        <v>55</v>
      </c>
      <c r="BE39" s="233">
        <v>1.08281249998823</v>
      </c>
      <c r="BF39" s="234">
        <v>-0.85866666777610601</v>
      </c>
      <c r="BG39" s="219">
        <v>1.9E-2</v>
      </c>
      <c r="BH39" s="219">
        <v>8.0000000000000002E-3</v>
      </c>
      <c r="BI39" s="227">
        <v>0</v>
      </c>
      <c r="BJ39" s="227">
        <v>11</v>
      </c>
      <c r="BK39" s="220"/>
      <c r="BL39" s="236">
        <v>0.8</v>
      </c>
      <c r="BM39" s="224">
        <v>0.69</v>
      </c>
      <c r="BN39" s="237"/>
      <c r="BO39" s="238">
        <v>0.95</v>
      </c>
      <c r="BP39" s="229">
        <v>1</v>
      </c>
      <c r="BQ39" s="237">
        <v>2.5000000000000001E-3</v>
      </c>
    </row>
    <row r="40" spans="1:69" s="207" customFormat="1" ht="22.35" customHeight="1" x14ac:dyDescent="0.2">
      <c r="A40" s="216" t="s">
        <v>80</v>
      </c>
      <c r="B40" s="216" t="s">
        <v>81</v>
      </c>
      <c r="C40" s="216" t="s">
        <v>92</v>
      </c>
      <c r="D40" s="217">
        <v>4.1371847502222199</v>
      </c>
      <c r="E40" s="218"/>
      <c r="F40" s="219">
        <v>3.9E-2</v>
      </c>
      <c r="G40" s="219">
        <v>0.03</v>
      </c>
      <c r="H40" s="220"/>
      <c r="I40" s="221">
        <v>4</v>
      </c>
      <c r="J40" s="221">
        <v>3</v>
      </c>
      <c r="K40" s="218"/>
      <c r="L40" s="222">
        <v>1609.9491499999999</v>
      </c>
      <c r="M40" s="222">
        <v>516.51944000000003</v>
      </c>
      <c r="N40" s="222">
        <v>2126.4685899999999</v>
      </c>
      <c r="O40" s="217">
        <v>513.98927492560699</v>
      </c>
      <c r="P40" s="223">
        <v>228.25</v>
      </c>
      <c r="Q40" s="229">
        <v>2.25186976966312</v>
      </c>
      <c r="R40" s="230">
        <v>1095.27942819186</v>
      </c>
      <c r="S40" s="219">
        <v>0.01</v>
      </c>
      <c r="T40" s="219">
        <v>0.01</v>
      </c>
      <c r="U40" s="226">
        <v>0</v>
      </c>
      <c r="V40" s="227">
        <v>0</v>
      </c>
      <c r="W40" s="218"/>
      <c r="X40" s="226">
        <v>2837.3960149999998</v>
      </c>
      <c r="Y40" s="217">
        <v>685.82772738094297</v>
      </c>
      <c r="Z40" s="228">
        <v>573</v>
      </c>
      <c r="AA40" s="229">
        <v>1.1969070285880301</v>
      </c>
      <c r="AB40" s="230">
        <v>248.69332182995399</v>
      </c>
      <c r="AC40" s="219">
        <v>0.02</v>
      </c>
      <c r="AD40" s="219">
        <v>0.02</v>
      </c>
      <c r="AE40" s="227">
        <v>0</v>
      </c>
      <c r="AF40" s="227">
        <v>8</v>
      </c>
      <c r="AG40" s="218"/>
      <c r="AH40" s="231">
        <v>177.3</v>
      </c>
      <c r="AI40" s="217">
        <v>42.855229027535401</v>
      </c>
      <c r="AJ40" s="232" t="s">
        <v>53</v>
      </c>
      <c r="AK40" s="224">
        <v>0.68024173059579895</v>
      </c>
      <c r="AL40" s="225">
        <v>-107.321762076288</v>
      </c>
      <c r="AM40" s="219"/>
      <c r="AN40" s="219"/>
      <c r="AO40" s="227">
        <v>84</v>
      </c>
      <c r="AP40" s="227">
        <v>136</v>
      </c>
      <c r="AQ40" s="218"/>
      <c r="AR40" s="231">
        <v>28.8</v>
      </c>
      <c r="AS40" s="217">
        <v>6.96125547655397</v>
      </c>
      <c r="AT40" s="232" t="s">
        <v>54</v>
      </c>
      <c r="AU40" s="224">
        <v>0.43507846728462302</v>
      </c>
      <c r="AV40" s="225">
        <v>-43.484891955882603</v>
      </c>
      <c r="AW40" s="219"/>
      <c r="AX40" s="219"/>
      <c r="AY40" s="227">
        <v>38</v>
      </c>
      <c r="AZ40" s="227">
        <v>51</v>
      </c>
      <c r="BA40" s="218"/>
      <c r="BB40" s="235">
        <v>131</v>
      </c>
      <c r="BC40" s="231">
        <v>31.664044007936401</v>
      </c>
      <c r="BD40" s="232" t="s">
        <v>55</v>
      </c>
      <c r="BE40" s="233">
        <v>0.98950137524801396</v>
      </c>
      <c r="BF40" s="234">
        <v>-13.569783911765301</v>
      </c>
      <c r="BG40" s="219">
        <v>8.9999999999999993E-3</v>
      </c>
      <c r="BH40" s="219"/>
      <c r="BI40" s="227">
        <v>2</v>
      </c>
      <c r="BJ40" s="227">
        <v>28</v>
      </c>
      <c r="BK40" s="220"/>
      <c r="BL40" s="236">
        <v>0.8</v>
      </c>
      <c r="BM40" s="239">
        <v>0.72</v>
      </c>
      <c r="BN40" s="237"/>
      <c r="BO40" s="238">
        <v>0.95</v>
      </c>
      <c r="BP40" s="229">
        <v>1</v>
      </c>
      <c r="BQ40" s="237">
        <v>2.5000000000000001E-3</v>
      </c>
    </row>
    <row r="41" spans="1:69" s="207" customFormat="1" ht="22.35" customHeight="1" x14ac:dyDescent="0.2">
      <c r="A41" s="216" t="s">
        <v>80</v>
      </c>
      <c r="B41" s="216" t="s">
        <v>81</v>
      </c>
      <c r="C41" s="216" t="s">
        <v>93</v>
      </c>
      <c r="D41" s="217">
        <v>7.6785695595555596</v>
      </c>
      <c r="E41" s="218"/>
      <c r="F41" s="219">
        <v>0.04</v>
      </c>
      <c r="G41" s="219">
        <v>2.5999999999999999E-2</v>
      </c>
      <c r="H41" s="220"/>
      <c r="I41" s="221">
        <v>4</v>
      </c>
      <c r="J41" s="221">
        <v>4</v>
      </c>
      <c r="K41" s="218"/>
      <c r="L41" s="222">
        <v>5600.0351899999996</v>
      </c>
      <c r="M41" s="222">
        <v>2471.9359100000001</v>
      </c>
      <c r="N41" s="222">
        <v>8071.9710999999998</v>
      </c>
      <c r="O41" s="217">
        <v>1051.2337014587399</v>
      </c>
      <c r="P41" s="223">
        <v>287.5</v>
      </c>
      <c r="Q41" s="229">
        <v>3.6564650485521399</v>
      </c>
      <c r="R41" s="230">
        <v>5661.2841867775296</v>
      </c>
      <c r="S41" s="219">
        <v>0.01</v>
      </c>
      <c r="T41" s="219">
        <v>0.01</v>
      </c>
      <c r="U41" s="226">
        <v>0</v>
      </c>
      <c r="V41" s="227">
        <v>0</v>
      </c>
      <c r="W41" s="218"/>
      <c r="X41" s="226">
        <v>5070.1574049999999</v>
      </c>
      <c r="Y41" s="217">
        <v>660.29972974464602</v>
      </c>
      <c r="Z41" s="228">
        <v>573</v>
      </c>
      <c r="AA41" s="229">
        <v>1.1523555492925801</v>
      </c>
      <c r="AB41" s="230">
        <v>265.55357447313298</v>
      </c>
      <c r="AC41" s="219">
        <v>0.02</v>
      </c>
      <c r="AD41" s="219">
        <v>1.4999999999999999E-2</v>
      </c>
      <c r="AE41" s="227">
        <v>0</v>
      </c>
      <c r="AF41" s="227">
        <v>210</v>
      </c>
      <c r="AG41" s="218"/>
      <c r="AH41" s="231">
        <v>322.05</v>
      </c>
      <c r="AI41" s="217">
        <v>41.941405557657099</v>
      </c>
      <c r="AJ41" s="232" t="s">
        <v>53</v>
      </c>
      <c r="AK41" s="224">
        <v>0.66573659615328695</v>
      </c>
      <c r="AL41" s="225">
        <v>-206.204871419184</v>
      </c>
      <c r="AM41" s="219"/>
      <c r="AN41" s="219"/>
      <c r="AO41" s="227">
        <v>162</v>
      </c>
      <c r="AP41" s="227">
        <v>259</v>
      </c>
      <c r="AQ41" s="218"/>
      <c r="AR41" s="231">
        <v>73.400000000000006</v>
      </c>
      <c r="AS41" s="217">
        <v>9.5590720941842307</v>
      </c>
      <c r="AT41" s="232" t="s">
        <v>54</v>
      </c>
      <c r="AU41" s="224">
        <v>0.59744200588651397</v>
      </c>
      <c r="AV41" s="225">
        <v>-60.759967344554802</v>
      </c>
      <c r="AW41" s="219"/>
      <c r="AX41" s="219"/>
      <c r="AY41" s="227">
        <v>50</v>
      </c>
      <c r="AZ41" s="227">
        <v>75</v>
      </c>
      <c r="BA41" s="218"/>
      <c r="BB41" s="235">
        <v>246</v>
      </c>
      <c r="BC41" s="231">
        <v>32.037217100399502</v>
      </c>
      <c r="BD41" s="232" t="s">
        <v>55</v>
      </c>
      <c r="BE41" s="233">
        <v>1.00116303438748</v>
      </c>
      <c r="BF41" s="234">
        <v>-22.319934689109498</v>
      </c>
      <c r="BG41" s="219">
        <v>0.01</v>
      </c>
      <c r="BH41" s="219">
        <v>1E-3</v>
      </c>
      <c r="BI41" s="227">
        <v>0</v>
      </c>
      <c r="BJ41" s="227">
        <v>49</v>
      </c>
      <c r="BK41" s="220"/>
      <c r="BL41" s="236">
        <v>0.8</v>
      </c>
      <c r="BM41" s="239">
        <v>0.71</v>
      </c>
      <c r="BN41" s="237"/>
      <c r="BO41" s="238">
        <v>0.95</v>
      </c>
      <c r="BP41" s="233">
        <v>0.97</v>
      </c>
      <c r="BQ41" s="237">
        <v>1E-3</v>
      </c>
    </row>
    <row r="42" spans="1:69" s="207" customFormat="1" ht="22.35" customHeight="1" x14ac:dyDescent="0.2">
      <c r="A42" s="216" t="s">
        <v>80</v>
      </c>
      <c r="B42" s="216" t="s">
        <v>81</v>
      </c>
      <c r="C42" s="216" t="s">
        <v>94</v>
      </c>
      <c r="D42" s="217">
        <v>2.4205745912222199</v>
      </c>
      <c r="E42" s="218"/>
      <c r="F42" s="219">
        <v>0.01</v>
      </c>
      <c r="G42" s="219">
        <v>0.01</v>
      </c>
      <c r="H42" s="220"/>
      <c r="I42" s="221">
        <v>2</v>
      </c>
      <c r="J42" s="221">
        <v>2</v>
      </c>
      <c r="K42" s="218"/>
      <c r="L42" s="222">
        <v>1286.5758000000001</v>
      </c>
      <c r="M42" s="222">
        <v>1128.0840000000001</v>
      </c>
      <c r="N42" s="222">
        <v>2414.6597999999999</v>
      </c>
      <c r="O42" s="217">
        <v>997.556451578203</v>
      </c>
      <c r="P42" s="223">
        <v>276.94400000000002</v>
      </c>
      <c r="Q42" s="229">
        <v>3.6020150340076098</v>
      </c>
      <c r="R42" s="230">
        <v>1682.6227383261401</v>
      </c>
      <c r="S42" s="219">
        <v>0.01</v>
      </c>
      <c r="T42" s="219">
        <v>0.01</v>
      </c>
      <c r="U42" s="226">
        <v>0</v>
      </c>
      <c r="V42" s="227">
        <v>0</v>
      </c>
      <c r="W42" s="218"/>
      <c r="X42" s="226">
        <v>1184.9787899999999</v>
      </c>
      <c r="Y42" s="217">
        <v>489.54442234381497</v>
      </c>
      <c r="Z42" s="228">
        <v>573</v>
      </c>
      <c r="AA42" s="239">
        <v>0.85435326761573405</v>
      </c>
      <c r="AB42" s="222">
        <v>-329.61346092120198</v>
      </c>
      <c r="AC42" s="219"/>
      <c r="AD42" s="219"/>
      <c r="AE42" s="227">
        <v>203</v>
      </c>
      <c r="AF42" s="227">
        <v>480</v>
      </c>
      <c r="AG42" s="218"/>
      <c r="AH42" s="231">
        <v>100.35</v>
      </c>
      <c r="AI42" s="217">
        <v>41.457098807820699</v>
      </c>
      <c r="AJ42" s="232" t="s">
        <v>53</v>
      </c>
      <c r="AK42" s="224">
        <v>0.65804918742572605</v>
      </c>
      <c r="AL42" s="225">
        <v>-66.175849577723795</v>
      </c>
      <c r="AM42" s="219"/>
      <c r="AN42" s="219"/>
      <c r="AO42" s="227">
        <v>53</v>
      </c>
      <c r="AP42" s="227">
        <v>83</v>
      </c>
      <c r="AQ42" s="218"/>
      <c r="AR42" s="231">
        <v>9.6</v>
      </c>
      <c r="AS42" s="217">
        <v>3.96600048385729</v>
      </c>
      <c r="AT42" s="232" t="s">
        <v>54</v>
      </c>
      <c r="AU42" s="224">
        <v>0.24787503024108101</v>
      </c>
      <c r="AV42" s="225">
        <v>-32.692279257834599</v>
      </c>
      <c r="AW42" s="219"/>
      <c r="AX42" s="219"/>
      <c r="AY42" s="227">
        <v>30</v>
      </c>
      <c r="AZ42" s="227">
        <v>37</v>
      </c>
      <c r="BA42" s="218"/>
      <c r="BB42" s="235">
        <v>63.6</v>
      </c>
      <c r="BC42" s="231">
        <v>26.2747532055545</v>
      </c>
      <c r="BD42" s="232" t="s">
        <v>55</v>
      </c>
      <c r="BE42" s="239">
        <v>0.82108603767358002</v>
      </c>
      <c r="BF42" s="222">
        <v>-20.984558515669299</v>
      </c>
      <c r="BG42" s="219"/>
      <c r="BH42" s="219"/>
      <c r="BI42" s="227">
        <v>14</v>
      </c>
      <c r="BJ42" s="227">
        <v>30</v>
      </c>
      <c r="BK42" s="220"/>
      <c r="BL42" s="236">
        <v>0.8</v>
      </c>
      <c r="BM42" s="239">
        <v>0.75</v>
      </c>
      <c r="BN42" s="237"/>
      <c r="BO42" s="238">
        <v>0.95</v>
      </c>
      <c r="BP42" s="229">
        <v>1</v>
      </c>
      <c r="BQ42" s="237">
        <v>2.5000000000000001E-3</v>
      </c>
    </row>
    <row r="43" spans="1:69" s="207" customFormat="1" ht="22.35" customHeight="1" x14ac:dyDescent="0.2">
      <c r="A43" s="216" t="s">
        <v>80</v>
      </c>
      <c r="B43" s="216" t="s">
        <v>81</v>
      </c>
      <c r="C43" s="216" t="s">
        <v>95</v>
      </c>
      <c r="D43" s="217">
        <v>1.61576985288889</v>
      </c>
      <c r="E43" s="218"/>
      <c r="F43" s="219">
        <v>0.01</v>
      </c>
      <c r="G43" s="219">
        <v>0.01</v>
      </c>
      <c r="H43" s="220"/>
      <c r="I43" s="221">
        <v>2</v>
      </c>
      <c r="J43" s="221">
        <v>2</v>
      </c>
      <c r="K43" s="218"/>
      <c r="L43" s="222">
        <v>478.08506</v>
      </c>
      <c r="M43" s="222">
        <v>734.88032999999996</v>
      </c>
      <c r="N43" s="222">
        <v>1212.9653900000001</v>
      </c>
      <c r="O43" s="217">
        <v>750.70430843309703</v>
      </c>
      <c r="P43" s="223">
        <v>244.696</v>
      </c>
      <c r="Q43" s="229">
        <v>3.0679059258553298</v>
      </c>
      <c r="R43" s="230">
        <v>781.21870744463001</v>
      </c>
      <c r="S43" s="219">
        <v>0.01</v>
      </c>
      <c r="T43" s="219">
        <v>0.01</v>
      </c>
      <c r="U43" s="226">
        <v>0</v>
      </c>
      <c r="V43" s="227">
        <v>0</v>
      </c>
      <c r="W43" s="218"/>
      <c r="X43" s="226">
        <v>751.66916000000003</v>
      </c>
      <c r="Y43" s="217">
        <v>465.20806082380199</v>
      </c>
      <c r="Z43" s="228">
        <v>573</v>
      </c>
      <c r="AA43" s="239">
        <v>0.81188143250227196</v>
      </c>
      <c r="AB43" s="222">
        <v>-259.34388927022502</v>
      </c>
      <c r="AC43" s="219"/>
      <c r="AD43" s="219"/>
      <c r="AE43" s="227">
        <v>175</v>
      </c>
      <c r="AF43" s="227">
        <v>360</v>
      </c>
      <c r="AG43" s="218"/>
      <c r="AH43" s="231">
        <v>75.099999999999994</v>
      </c>
      <c r="AI43" s="217">
        <v>46.479391768404497</v>
      </c>
      <c r="AJ43" s="232" t="s">
        <v>53</v>
      </c>
      <c r="AK43" s="239">
        <v>0.73776812330800801</v>
      </c>
      <c r="AL43" s="222">
        <v>-36.058502799344097</v>
      </c>
      <c r="AM43" s="219"/>
      <c r="AN43" s="219"/>
      <c r="AO43" s="227">
        <v>27</v>
      </c>
      <c r="AP43" s="227">
        <v>48</v>
      </c>
      <c r="AQ43" s="218"/>
      <c r="AR43" s="231">
        <v>7</v>
      </c>
      <c r="AS43" s="217">
        <v>4.3323001648313104</v>
      </c>
      <c r="AT43" s="232" t="s">
        <v>54</v>
      </c>
      <c r="AU43" s="224">
        <v>0.27076876030195701</v>
      </c>
      <c r="AV43" s="225">
        <v>-21.230730869674701</v>
      </c>
      <c r="AW43" s="219"/>
      <c r="AX43" s="219"/>
      <c r="AY43" s="227">
        <v>19</v>
      </c>
      <c r="AZ43" s="227">
        <v>25</v>
      </c>
      <c r="BA43" s="218"/>
      <c r="BB43" s="235">
        <v>42</v>
      </c>
      <c r="BC43" s="231">
        <v>25.9938009889879</v>
      </c>
      <c r="BD43" s="232" t="s">
        <v>55</v>
      </c>
      <c r="BE43" s="239">
        <v>0.81230628090587098</v>
      </c>
      <c r="BF43" s="222">
        <v>-14.461461739349399</v>
      </c>
      <c r="BG43" s="219"/>
      <c r="BH43" s="219"/>
      <c r="BI43" s="227">
        <v>10</v>
      </c>
      <c r="BJ43" s="227">
        <v>21</v>
      </c>
      <c r="BK43" s="220"/>
      <c r="BL43" s="236">
        <v>0.8</v>
      </c>
      <c r="BM43" s="224">
        <v>0.68</v>
      </c>
      <c r="BN43" s="237"/>
      <c r="BO43" s="238">
        <v>0.95</v>
      </c>
      <c r="BP43" s="229">
        <v>1</v>
      </c>
      <c r="BQ43" s="237">
        <v>2.5000000000000001E-3</v>
      </c>
    </row>
    <row r="44" spans="1:69" s="207" customFormat="1" ht="22.35" customHeight="1" x14ac:dyDescent="0.2">
      <c r="A44" s="216" t="s">
        <v>80</v>
      </c>
      <c r="B44" s="216" t="s">
        <v>81</v>
      </c>
      <c r="C44" s="216" t="s">
        <v>96</v>
      </c>
      <c r="D44" s="217">
        <v>2.3852260407777801</v>
      </c>
      <c r="E44" s="218"/>
      <c r="F44" s="219">
        <v>5.1999999999999998E-2</v>
      </c>
      <c r="G44" s="219">
        <v>4.8000000000000001E-2</v>
      </c>
      <c r="H44" s="220"/>
      <c r="I44" s="221">
        <v>6</v>
      </c>
      <c r="J44" s="221">
        <v>5</v>
      </c>
      <c r="K44" s="218"/>
      <c r="L44" s="222">
        <v>733.21160999999995</v>
      </c>
      <c r="M44" s="222">
        <v>850.89484000000004</v>
      </c>
      <c r="N44" s="222">
        <v>1584.10645</v>
      </c>
      <c r="O44" s="217">
        <v>664.13263268057096</v>
      </c>
      <c r="P44" s="223">
        <v>239.304</v>
      </c>
      <c r="Q44" s="229">
        <v>2.7752675788142702</v>
      </c>
      <c r="R44" s="230">
        <v>960.799257351184</v>
      </c>
      <c r="S44" s="219">
        <v>0.01</v>
      </c>
      <c r="T44" s="219">
        <v>0.01</v>
      </c>
      <c r="U44" s="226">
        <v>0</v>
      </c>
      <c r="V44" s="227">
        <v>0</v>
      </c>
      <c r="W44" s="218"/>
      <c r="X44" s="226">
        <v>1268.2179699999999</v>
      </c>
      <c r="Y44" s="217">
        <v>531.69718438360599</v>
      </c>
      <c r="Z44" s="228">
        <v>573</v>
      </c>
      <c r="AA44" s="233">
        <v>0.927918297353588</v>
      </c>
      <c r="AB44" s="234">
        <v>-224.25612733130899</v>
      </c>
      <c r="AC44" s="219">
        <v>2E-3</v>
      </c>
      <c r="AD44" s="219"/>
      <c r="AE44" s="227">
        <v>99</v>
      </c>
      <c r="AF44" s="227">
        <v>372</v>
      </c>
      <c r="AG44" s="218"/>
      <c r="AH44" s="231">
        <v>177.1</v>
      </c>
      <c r="AI44" s="217">
        <v>74.248728201144004</v>
      </c>
      <c r="AJ44" s="232" t="s">
        <v>53</v>
      </c>
      <c r="AK44" s="229">
        <v>1.1785512412879999</v>
      </c>
      <c r="AL44" s="230">
        <v>13.0059892986518</v>
      </c>
      <c r="AM44" s="219">
        <v>0.02</v>
      </c>
      <c r="AN44" s="219">
        <v>1.7999999999999999E-2</v>
      </c>
      <c r="AO44" s="227">
        <v>0</v>
      </c>
      <c r="AP44" s="227">
        <v>4</v>
      </c>
      <c r="AQ44" s="218"/>
      <c r="AR44" s="231">
        <v>31.4</v>
      </c>
      <c r="AS44" s="217">
        <v>13.164370782133901</v>
      </c>
      <c r="AT44" s="232" t="s">
        <v>54</v>
      </c>
      <c r="AU44" s="239">
        <v>0.82277317388337101</v>
      </c>
      <c r="AV44" s="222">
        <v>-10.2746693844694</v>
      </c>
      <c r="AW44" s="219"/>
      <c r="AX44" s="219"/>
      <c r="AY44" s="227">
        <v>7</v>
      </c>
      <c r="AZ44" s="227">
        <v>15</v>
      </c>
      <c r="BA44" s="218"/>
      <c r="BB44" s="235">
        <v>111.6</v>
      </c>
      <c r="BC44" s="231">
        <v>46.788018448603403</v>
      </c>
      <c r="BD44" s="232" t="s">
        <v>55</v>
      </c>
      <c r="BE44" s="229">
        <v>1.4621255765188601</v>
      </c>
      <c r="BF44" s="230">
        <v>28.250661231061301</v>
      </c>
      <c r="BG44" s="219">
        <v>0.02</v>
      </c>
      <c r="BH44" s="219">
        <v>0.02</v>
      </c>
      <c r="BI44" s="227">
        <v>0</v>
      </c>
      <c r="BJ44" s="227">
        <v>0</v>
      </c>
      <c r="BK44" s="220"/>
      <c r="BL44" s="236">
        <v>0.8</v>
      </c>
      <c r="BM44" s="233">
        <v>0.82</v>
      </c>
      <c r="BN44" s="237">
        <v>7.5000000000000002E-4</v>
      </c>
      <c r="BO44" s="238">
        <v>0.95</v>
      </c>
      <c r="BP44" s="229">
        <v>1</v>
      </c>
      <c r="BQ44" s="237">
        <v>2.5000000000000001E-3</v>
      </c>
    </row>
    <row r="45" spans="1:69" s="207" customFormat="1" ht="22.35" customHeight="1" x14ac:dyDescent="0.2">
      <c r="A45" s="216" t="s">
        <v>80</v>
      </c>
      <c r="B45" s="216" t="s">
        <v>81</v>
      </c>
      <c r="C45" s="216" t="s">
        <v>97</v>
      </c>
      <c r="D45" s="217">
        <v>2.94060150377778</v>
      </c>
      <c r="E45" s="218"/>
      <c r="F45" s="219">
        <v>0.05</v>
      </c>
      <c r="G45" s="219">
        <v>0.04</v>
      </c>
      <c r="H45" s="220"/>
      <c r="I45" s="221">
        <v>5</v>
      </c>
      <c r="J45" s="221">
        <v>5</v>
      </c>
      <c r="K45" s="218"/>
      <c r="L45" s="222">
        <v>3012.4400599999999</v>
      </c>
      <c r="M45" s="222">
        <v>1926.6888100000001</v>
      </c>
      <c r="N45" s="222">
        <v>4939.1288699999996</v>
      </c>
      <c r="O45" s="217">
        <v>1679.63216493453</v>
      </c>
      <c r="P45" s="223">
        <v>287.5</v>
      </c>
      <c r="Q45" s="229">
        <v>5.8421988345548899</v>
      </c>
      <c r="R45" s="230">
        <v>4015.9270278889699</v>
      </c>
      <c r="S45" s="219">
        <v>0.01</v>
      </c>
      <c r="T45" s="219">
        <v>0.01</v>
      </c>
      <c r="U45" s="226">
        <v>0</v>
      </c>
      <c r="V45" s="227">
        <v>0</v>
      </c>
      <c r="W45" s="218"/>
      <c r="X45" s="226">
        <v>1857.68922</v>
      </c>
      <c r="Y45" s="217">
        <v>631.73783241742694</v>
      </c>
      <c r="Z45" s="228">
        <v>573</v>
      </c>
      <c r="AA45" s="229">
        <v>1.10250930613862</v>
      </c>
      <c r="AB45" s="230">
        <v>17.707809462182201</v>
      </c>
      <c r="AC45" s="219">
        <v>0.02</v>
      </c>
      <c r="AD45" s="219">
        <v>0.01</v>
      </c>
      <c r="AE45" s="227">
        <v>0</v>
      </c>
      <c r="AF45" s="227">
        <v>165</v>
      </c>
      <c r="AG45" s="218"/>
      <c r="AH45" s="231">
        <v>105.35</v>
      </c>
      <c r="AI45" s="217">
        <v>35.826003579423201</v>
      </c>
      <c r="AJ45" s="232" t="s">
        <v>53</v>
      </c>
      <c r="AK45" s="224">
        <v>0.56866672348290803</v>
      </c>
      <c r="AL45" s="225">
        <v>-96.951621053896204</v>
      </c>
      <c r="AM45" s="219"/>
      <c r="AN45" s="219"/>
      <c r="AO45" s="227">
        <v>80</v>
      </c>
      <c r="AP45" s="227">
        <v>117</v>
      </c>
      <c r="AQ45" s="218"/>
      <c r="AR45" s="231">
        <v>17.8</v>
      </c>
      <c r="AS45" s="217">
        <v>6.0531833290340202</v>
      </c>
      <c r="AT45" s="232" t="s">
        <v>54</v>
      </c>
      <c r="AU45" s="224">
        <v>0.37832395806462599</v>
      </c>
      <c r="AV45" s="225">
        <v>-33.578189474005399</v>
      </c>
      <c r="AW45" s="219"/>
      <c r="AX45" s="219"/>
      <c r="AY45" s="227">
        <v>30</v>
      </c>
      <c r="AZ45" s="227">
        <v>39</v>
      </c>
      <c r="BA45" s="218"/>
      <c r="BB45" s="235">
        <v>120</v>
      </c>
      <c r="BC45" s="231">
        <v>40.807977499105696</v>
      </c>
      <c r="BD45" s="232" t="s">
        <v>55</v>
      </c>
      <c r="BE45" s="229">
        <v>1.2752492968470499</v>
      </c>
      <c r="BF45" s="230">
        <v>17.243621051989201</v>
      </c>
      <c r="BG45" s="219">
        <v>0.02</v>
      </c>
      <c r="BH45" s="219">
        <v>0.02</v>
      </c>
      <c r="BI45" s="227">
        <v>0</v>
      </c>
      <c r="BJ45" s="227">
        <v>0</v>
      </c>
      <c r="BK45" s="220"/>
      <c r="BL45" s="236">
        <v>0.8</v>
      </c>
      <c r="BM45" s="233">
        <v>0.81</v>
      </c>
      <c r="BN45" s="237">
        <v>3.7500000000000001E-4</v>
      </c>
      <c r="BO45" s="238">
        <v>0.95</v>
      </c>
      <c r="BP45" s="229">
        <v>1</v>
      </c>
      <c r="BQ45" s="237">
        <v>2.5000000000000001E-3</v>
      </c>
    </row>
    <row r="46" spans="1:69" s="207" customFormat="1" ht="22.35" customHeight="1" x14ac:dyDescent="0.2">
      <c r="A46" s="216" t="s">
        <v>80</v>
      </c>
      <c r="B46" s="216" t="s">
        <v>81</v>
      </c>
      <c r="C46" s="216" t="s">
        <v>98</v>
      </c>
      <c r="D46" s="217">
        <v>8.6630214135555601</v>
      </c>
      <c r="E46" s="218"/>
      <c r="F46" s="219">
        <v>2.1999999999999999E-2</v>
      </c>
      <c r="G46" s="219">
        <v>1.2E-2</v>
      </c>
      <c r="H46" s="220"/>
      <c r="I46" s="221">
        <v>3</v>
      </c>
      <c r="J46" s="221">
        <v>3</v>
      </c>
      <c r="K46" s="218"/>
      <c r="L46" s="222">
        <v>3919.2051000000001</v>
      </c>
      <c r="M46" s="222">
        <v>4589.5854499999996</v>
      </c>
      <c r="N46" s="222">
        <v>8508.7905499999997</v>
      </c>
      <c r="O46" s="217">
        <v>982.19664292711798</v>
      </c>
      <c r="P46" s="223">
        <v>276.44</v>
      </c>
      <c r="Q46" s="229">
        <v>3.55301925527101</v>
      </c>
      <c r="R46" s="230">
        <v>5893.6627915968802</v>
      </c>
      <c r="S46" s="219">
        <v>0.01</v>
      </c>
      <c r="T46" s="219">
        <v>0.01</v>
      </c>
      <c r="U46" s="226">
        <v>0</v>
      </c>
      <c r="V46" s="227">
        <v>0</v>
      </c>
      <c r="W46" s="218"/>
      <c r="X46" s="226">
        <v>4254.8397999999997</v>
      </c>
      <c r="Y46" s="217">
        <v>491.14963439224499</v>
      </c>
      <c r="Z46" s="228">
        <v>573</v>
      </c>
      <c r="AA46" s="239">
        <v>0.85715468480321999</v>
      </c>
      <c r="AB46" s="222">
        <v>-1165.7513068043299</v>
      </c>
      <c r="AC46" s="219"/>
      <c r="AD46" s="219"/>
      <c r="AE46" s="227">
        <v>710</v>
      </c>
      <c r="AF46" s="227">
        <v>1702</v>
      </c>
      <c r="AG46" s="218"/>
      <c r="AH46" s="231">
        <v>485.25</v>
      </c>
      <c r="AI46" s="217">
        <v>56.013944423674097</v>
      </c>
      <c r="AJ46" s="232" t="s">
        <v>53</v>
      </c>
      <c r="AK46" s="239">
        <v>0.88911022894720904</v>
      </c>
      <c r="AL46" s="222">
        <v>-110.731221166968</v>
      </c>
      <c r="AM46" s="219"/>
      <c r="AN46" s="219"/>
      <c r="AO46" s="227">
        <v>61</v>
      </c>
      <c r="AP46" s="227">
        <v>170</v>
      </c>
      <c r="AQ46" s="218"/>
      <c r="AR46" s="231">
        <v>22</v>
      </c>
      <c r="AS46" s="217">
        <v>2.53952968020779</v>
      </c>
      <c r="AT46" s="232" t="s">
        <v>54</v>
      </c>
      <c r="AU46" s="224">
        <v>0.15872060501298699</v>
      </c>
      <c r="AV46" s="225">
        <v>-129.36031013764301</v>
      </c>
      <c r="AW46" s="219"/>
      <c r="AX46" s="219"/>
      <c r="AY46" s="227">
        <v>117</v>
      </c>
      <c r="AZ46" s="227">
        <v>145</v>
      </c>
      <c r="BA46" s="218"/>
      <c r="BB46" s="235">
        <v>283</v>
      </c>
      <c r="BC46" s="231">
        <v>32.667586340854797</v>
      </c>
      <c r="BD46" s="232" t="s">
        <v>55</v>
      </c>
      <c r="BE46" s="233">
        <v>1.02086207315171</v>
      </c>
      <c r="BF46" s="234">
        <v>-19.720620275285501</v>
      </c>
      <c r="BG46" s="219">
        <v>1.2E-2</v>
      </c>
      <c r="BH46" s="219">
        <v>2E-3</v>
      </c>
      <c r="BI46" s="227">
        <v>0</v>
      </c>
      <c r="BJ46" s="227">
        <v>50</v>
      </c>
      <c r="BK46" s="220"/>
      <c r="BL46" s="236">
        <v>0.8</v>
      </c>
      <c r="BM46" s="239">
        <v>0.7</v>
      </c>
      <c r="BN46" s="237"/>
      <c r="BO46" s="238">
        <v>0.95</v>
      </c>
      <c r="BP46" s="229">
        <v>1</v>
      </c>
      <c r="BQ46" s="237">
        <v>2.5000000000000001E-3</v>
      </c>
    </row>
    <row r="47" spans="1:69" s="207" customFormat="1" ht="22.35" customHeight="1" x14ac:dyDescent="0.2">
      <c r="A47" s="216" t="s">
        <v>80</v>
      </c>
      <c r="B47" s="216" t="s">
        <v>81</v>
      </c>
      <c r="C47" s="216" t="s">
        <v>99</v>
      </c>
      <c r="D47" s="217">
        <v>2.3098195907777801</v>
      </c>
      <c r="E47" s="218"/>
      <c r="F47" s="219">
        <v>0.01</v>
      </c>
      <c r="G47" s="219">
        <v>0.01</v>
      </c>
      <c r="H47" s="220"/>
      <c r="I47" s="221">
        <v>2</v>
      </c>
      <c r="J47" s="221">
        <v>2</v>
      </c>
      <c r="K47" s="218"/>
      <c r="L47" s="222">
        <v>245.21225999999999</v>
      </c>
      <c r="M47" s="222">
        <v>1143.8157200000001</v>
      </c>
      <c r="N47" s="222">
        <v>1389.0279800000001</v>
      </c>
      <c r="O47" s="217">
        <v>601.35777943258199</v>
      </c>
      <c r="P47" s="223">
        <v>236.59800000000001</v>
      </c>
      <c r="Q47" s="229">
        <v>2.5416858106686502</v>
      </c>
      <c r="R47" s="230">
        <v>792.25140447158503</v>
      </c>
      <c r="S47" s="219">
        <v>0.01</v>
      </c>
      <c r="T47" s="219">
        <v>0.01</v>
      </c>
      <c r="U47" s="226">
        <v>0</v>
      </c>
      <c r="V47" s="227">
        <v>0</v>
      </c>
      <c r="W47" s="218"/>
      <c r="X47" s="226">
        <v>1088.4898700000001</v>
      </c>
      <c r="Y47" s="217">
        <v>471.24453976662198</v>
      </c>
      <c r="Z47" s="228">
        <v>573</v>
      </c>
      <c r="AA47" s="239">
        <v>0.82241629976722797</v>
      </c>
      <c r="AB47" s="222">
        <v>-356.80120506310902</v>
      </c>
      <c r="AC47" s="219"/>
      <c r="AD47" s="219"/>
      <c r="AE47" s="227">
        <v>236</v>
      </c>
      <c r="AF47" s="227">
        <v>500</v>
      </c>
      <c r="AG47" s="218"/>
      <c r="AH47" s="231">
        <v>96.25</v>
      </c>
      <c r="AI47" s="217">
        <v>41.6699210554319</v>
      </c>
      <c r="AJ47" s="232" t="s">
        <v>53</v>
      </c>
      <c r="AK47" s="224">
        <v>0.66142731834018897</v>
      </c>
      <c r="AL47" s="225">
        <v>-62.6563485671482</v>
      </c>
      <c r="AM47" s="219"/>
      <c r="AN47" s="219"/>
      <c r="AO47" s="227">
        <v>50</v>
      </c>
      <c r="AP47" s="227">
        <v>79</v>
      </c>
      <c r="AQ47" s="218"/>
      <c r="AR47" s="231">
        <v>1</v>
      </c>
      <c r="AS47" s="217">
        <v>0.43293424473176001</v>
      </c>
      <c r="AT47" s="232" t="s">
        <v>54</v>
      </c>
      <c r="AU47" s="224">
        <v>2.7058390295735001E-2</v>
      </c>
      <c r="AV47" s="225">
        <v>-39.357167890069398</v>
      </c>
      <c r="AW47" s="219"/>
      <c r="AX47" s="219"/>
      <c r="AY47" s="227">
        <v>36</v>
      </c>
      <c r="AZ47" s="227">
        <v>44</v>
      </c>
      <c r="BA47" s="218"/>
      <c r="BB47" s="235">
        <v>63.2</v>
      </c>
      <c r="BC47" s="231">
        <v>27.361444267047201</v>
      </c>
      <c r="BD47" s="232" t="s">
        <v>55</v>
      </c>
      <c r="BE47" s="239">
        <v>0.85504513334522603</v>
      </c>
      <c r="BF47" s="222">
        <v>-17.514335780138801</v>
      </c>
      <c r="BG47" s="219"/>
      <c r="BH47" s="219"/>
      <c r="BI47" s="227">
        <v>11</v>
      </c>
      <c r="BJ47" s="227">
        <v>26</v>
      </c>
      <c r="BK47" s="220"/>
      <c r="BL47" s="236">
        <v>0.8</v>
      </c>
      <c r="BM47" s="239">
        <v>0.72</v>
      </c>
      <c r="BN47" s="237"/>
      <c r="BO47" s="238">
        <v>0.95</v>
      </c>
      <c r="BP47" s="229">
        <v>1</v>
      </c>
      <c r="BQ47" s="237">
        <v>2.5000000000000001E-3</v>
      </c>
    </row>
    <row r="48" spans="1:69" s="207" customFormat="1" ht="22.35" customHeight="1" x14ac:dyDescent="0.2">
      <c r="A48" s="216" t="s">
        <v>80</v>
      </c>
      <c r="B48" s="216" t="s">
        <v>100</v>
      </c>
      <c r="C48" s="216" t="s">
        <v>101</v>
      </c>
      <c r="D48" s="217">
        <v>2.9631336405555602</v>
      </c>
      <c r="E48" s="218"/>
      <c r="F48" s="219">
        <v>0.04</v>
      </c>
      <c r="G48" s="219">
        <v>0.04</v>
      </c>
      <c r="H48" s="220"/>
      <c r="I48" s="221">
        <v>4</v>
      </c>
      <c r="J48" s="221">
        <v>4</v>
      </c>
      <c r="K48" s="218"/>
      <c r="L48" s="222">
        <v>1553.1058599999999</v>
      </c>
      <c r="M48" s="222">
        <v>1707.2940799999999</v>
      </c>
      <c r="N48" s="222">
        <v>3260.3999399999998</v>
      </c>
      <c r="O48" s="217">
        <v>1100.32159716857</v>
      </c>
      <c r="P48" s="223">
        <v>287.5</v>
      </c>
      <c r="Q48" s="229">
        <v>3.8272055553689399</v>
      </c>
      <c r="R48" s="230">
        <v>2330.1241335475802</v>
      </c>
      <c r="S48" s="219">
        <v>0.01</v>
      </c>
      <c r="T48" s="219">
        <v>0.01</v>
      </c>
      <c r="U48" s="226">
        <v>0</v>
      </c>
      <c r="V48" s="227">
        <v>0</v>
      </c>
      <c r="W48" s="218"/>
      <c r="X48" s="226">
        <v>1500.644235</v>
      </c>
      <c r="Y48" s="217">
        <v>506.43825660142898</v>
      </c>
      <c r="Z48" s="228">
        <v>573</v>
      </c>
      <c r="AA48" s="239">
        <v>0.88383639895537303</v>
      </c>
      <c r="AB48" s="222">
        <v>-353.43589403386301</v>
      </c>
      <c r="AC48" s="219"/>
      <c r="AD48" s="219"/>
      <c r="AE48" s="227">
        <v>198</v>
      </c>
      <c r="AF48" s="227">
        <v>537</v>
      </c>
      <c r="AG48" s="218"/>
      <c r="AH48" s="231">
        <v>160.5</v>
      </c>
      <c r="AI48" s="217">
        <v>54.1656298599843</v>
      </c>
      <c r="AJ48" s="232" t="s">
        <v>53</v>
      </c>
      <c r="AK48" s="239">
        <v>0.85977190253943303</v>
      </c>
      <c r="AL48" s="222">
        <v>-43.3517419356603</v>
      </c>
      <c r="AM48" s="219"/>
      <c r="AN48" s="219"/>
      <c r="AO48" s="227">
        <v>27</v>
      </c>
      <c r="AP48" s="227">
        <v>64</v>
      </c>
      <c r="AQ48" s="218"/>
      <c r="AR48" s="231">
        <v>57.9</v>
      </c>
      <c r="AS48" s="217">
        <v>19.540124416779399</v>
      </c>
      <c r="AT48" s="232" t="s">
        <v>54</v>
      </c>
      <c r="AU48" s="229">
        <v>1.22125777604871</v>
      </c>
      <c r="AV48" s="230">
        <v>6.1281290322132396</v>
      </c>
      <c r="AW48" s="219">
        <v>0.01</v>
      </c>
      <c r="AX48" s="219">
        <v>0.01</v>
      </c>
      <c r="AY48" s="227">
        <v>0</v>
      </c>
      <c r="AZ48" s="227">
        <v>0</v>
      </c>
      <c r="BA48" s="218"/>
      <c r="BB48" s="235">
        <v>119</v>
      </c>
      <c r="BC48" s="231">
        <v>40.160186625159703</v>
      </c>
      <c r="BD48" s="232" t="s">
        <v>55</v>
      </c>
      <c r="BE48" s="229">
        <v>1.2550058320362401</v>
      </c>
      <c r="BF48" s="230">
        <v>15.4562580644265</v>
      </c>
      <c r="BG48" s="219">
        <v>0.02</v>
      </c>
      <c r="BH48" s="219">
        <v>0.02</v>
      </c>
      <c r="BI48" s="227">
        <v>0</v>
      </c>
      <c r="BJ48" s="227">
        <v>0</v>
      </c>
      <c r="BK48" s="220"/>
      <c r="BL48" s="236">
        <v>0.8</v>
      </c>
      <c r="BM48" s="224">
        <v>0.64</v>
      </c>
      <c r="BN48" s="237"/>
      <c r="BO48" s="238">
        <v>0.95</v>
      </c>
      <c r="BP48" s="229">
        <v>1</v>
      </c>
      <c r="BQ48" s="237">
        <v>2.5000000000000001E-3</v>
      </c>
    </row>
    <row r="49" spans="1:69" s="207" customFormat="1" ht="22.35" customHeight="1" x14ac:dyDescent="0.2">
      <c r="A49" s="216" t="s">
        <v>80</v>
      </c>
      <c r="B49" s="216" t="s">
        <v>100</v>
      </c>
      <c r="C49" s="216" t="s">
        <v>102</v>
      </c>
      <c r="D49" s="217">
        <v>3.6627518924444402</v>
      </c>
      <c r="E49" s="218"/>
      <c r="F49" s="219">
        <v>0.01</v>
      </c>
      <c r="G49" s="219">
        <v>0.01</v>
      </c>
      <c r="H49" s="220"/>
      <c r="I49" s="221">
        <v>2</v>
      </c>
      <c r="J49" s="221">
        <v>2</v>
      </c>
      <c r="K49" s="218"/>
      <c r="L49" s="222">
        <v>3311.2720100000001</v>
      </c>
      <c r="M49" s="222">
        <v>311.16413999999997</v>
      </c>
      <c r="N49" s="222">
        <v>3622.43615</v>
      </c>
      <c r="O49" s="217">
        <v>988.99304576768998</v>
      </c>
      <c r="P49" s="223">
        <v>265.84899999999999</v>
      </c>
      <c r="Q49" s="229">
        <v>3.7201307726103501</v>
      </c>
      <c r="R49" s="230">
        <v>2559.11324078293</v>
      </c>
      <c r="S49" s="219">
        <v>0.01</v>
      </c>
      <c r="T49" s="219">
        <v>0.01</v>
      </c>
      <c r="U49" s="226">
        <v>0</v>
      </c>
      <c r="V49" s="227">
        <v>0</v>
      </c>
      <c r="W49" s="218"/>
      <c r="X49" s="226">
        <v>1658.358365</v>
      </c>
      <c r="Y49" s="217">
        <v>452.76295356528902</v>
      </c>
      <c r="Z49" s="228">
        <v>573</v>
      </c>
      <c r="AA49" s="239">
        <v>0.79016222262703195</v>
      </c>
      <c r="AB49" s="222">
        <v>-633.48409813276498</v>
      </c>
      <c r="AC49" s="219"/>
      <c r="AD49" s="219"/>
      <c r="AE49" s="227">
        <v>441</v>
      </c>
      <c r="AF49" s="227">
        <v>861</v>
      </c>
      <c r="AG49" s="218"/>
      <c r="AH49" s="231">
        <v>124.5</v>
      </c>
      <c r="AI49" s="217">
        <v>33.990836304479103</v>
      </c>
      <c r="AJ49" s="232" t="s">
        <v>53</v>
      </c>
      <c r="AK49" s="224">
        <v>0.53953708419808</v>
      </c>
      <c r="AL49" s="225">
        <v>-127.482679192608</v>
      </c>
      <c r="AM49" s="219"/>
      <c r="AN49" s="219"/>
      <c r="AO49" s="227">
        <v>107</v>
      </c>
      <c r="AP49" s="227">
        <v>153</v>
      </c>
      <c r="AQ49" s="218"/>
      <c r="AR49" s="231">
        <v>4.8</v>
      </c>
      <c r="AS49" s="217">
        <v>1.31049007438955</v>
      </c>
      <c r="AT49" s="232" t="s">
        <v>54</v>
      </c>
      <c r="AU49" s="224">
        <v>8.1905629649346903E-2</v>
      </c>
      <c r="AV49" s="225">
        <v>-59.195601064789301</v>
      </c>
      <c r="AW49" s="219"/>
      <c r="AX49" s="219"/>
      <c r="AY49" s="227">
        <v>54</v>
      </c>
      <c r="AZ49" s="227">
        <v>66</v>
      </c>
      <c r="BA49" s="218"/>
      <c r="BB49" s="235">
        <v>93.6</v>
      </c>
      <c r="BC49" s="231">
        <v>25.554556450596301</v>
      </c>
      <c r="BD49" s="232" t="s">
        <v>55</v>
      </c>
      <c r="BE49" s="239">
        <v>0.79857988908113398</v>
      </c>
      <c r="BF49" s="222">
        <v>-34.391202129578502</v>
      </c>
      <c r="BG49" s="219"/>
      <c r="BH49" s="219"/>
      <c r="BI49" s="227">
        <v>24</v>
      </c>
      <c r="BJ49" s="227">
        <v>48</v>
      </c>
      <c r="BK49" s="220"/>
      <c r="BL49" s="236">
        <v>0.8</v>
      </c>
      <c r="BM49" s="224">
        <v>0.64</v>
      </c>
      <c r="BN49" s="237"/>
      <c r="BO49" s="238">
        <v>0.95</v>
      </c>
      <c r="BP49" s="229">
        <v>1</v>
      </c>
      <c r="BQ49" s="237">
        <v>2.5000000000000001E-3</v>
      </c>
    </row>
    <row r="50" spans="1:69" s="207" customFormat="1" ht="22.35" customHeight="1" x14ac:dyDescent="0.2">
      <c r="A50" s="216" t="s">
        <v>80</v>
      </c>
      <c r="B50" s="216" t="s">
        <v>100</v>
      </c>
      <c r="C50" s="216" t="s">
        <v>103</v>
      </c>
      <c r="D50" s="217">
        <v>4.5139963626666697</v>
      </c>
      <c r="E50" s="218"/>
      <c r="F50" s="219">
        <v>0.01</v>
      </c>
      <c r="G50" s="219">
        <v>0.01</v>
      </c>
      <c r="H50" s="220"/>
      <c r="I50" s="221">
        <v>2</v>
      </c>
      <c r="J50" s="221">
        <v>2</v>
      </c>
      <c r="K50" s="218"/>
      <c r="L50" s="222">
        <v>3301.9454799999999</v>
      </c>
      <c r="M50" s="222">
        <v>2218.41435</v>
      </c>
      <c r="N50" s="222">
        <v>5520.3598300000003</v>
      </c>
      <c r="O50" s="217">
        <v>1222.9429061256101</v>
      </c>
      <c r="P50" s="223">
        <v>287.5</v>
      </c>
      <c r="Q50" s="229">
        <v>4.2537144560890798</v>
      </c>
      <c r="R50" s="230">
        <v>4103.1906719407998</v>
      </c>
      <c r="S50" s="219">
        <v>0.01</v>
      </c>
      <c r="T50" s="219">
        <v>0.01</v>
      </c>
      <c r="U50" s="226">
        <v>0</v>
      </c>
      <c r="V50" s="227">
        <v>0</v>
      </c>
      <c r="W50" s="218"/>
      <c r="X50" s="226">
        <v>1454.83294</v>
      </c>
      <c r="Y50" s="217">
        <v>322.293777645082</v>
      </c>
      <c r="Z50" s="228">
        <v>573</v>
      </c>
      <c r="AA50" s="224">
        <v>0.56246732573312797</v>
      </c>
      <c r="AB50" s="225">
        <v>-1369.6468080623399</v>
      </c>
      <c r="AC50" s="219"/>
      <c r="AD50" s="219"/>
      <c r="AE50" s="227">
        <v>1132</v>
      </c>
      <c r="AF50" s="227">
        <v>1649</v>
      </c>
      <c r="AG50" s="218"/>
      <c r="AH50" s="231">
        <v>149.1</v>
      </c>
      <c r="AI50" s="217">
        <v>33.030598170867499</v>
      </c>
      <c r="AJ50" s="232" t="s">
        <v>53</v>
      </c>
      <c r="AK50" s="224">
        <v>0.52429520906138805</v>
      </c>
      <c r="AL50" s="225">
        <v>-161.44489376601601</v>
      </c>
      <c r="AM50" s="219"/>
      <c r="AN50" s="219"/>
      <c r="AO50" s="227">
        <v>136</v>
      </c>
      <c r="AP50" s="227">
        <v>193</v>
      </c>
      <c r="AQ50" s="218"/>
      <c r="AR50" s="231">
        <v>17.100000000000001</v>
      </c>
      <c r="AS50" s="217">
        <v>3.7882174964576398</v>
      </c>
      <c r="AT50" s="232" t="s">
        <v>54</v>
      </c>
      <c r="AU50" s="224">
        <v>0.23676359352860299</v>
      </c>
      <c r="AV50" s="225">
        <v>-61.768544448512102</v>
      </c>
      <c r="AW50" s="219"/>
      <c r="AX50" s="219"/>
      <c r="AY50" s="227">
        <v>56</v>
      </c>
      <c r="AZ50" s="227">
        <v>70</v>
      </c>
      <c r="BA50" s="218"/>
      <c r="BB50" s="235">
        <v>102.6</v>
      </c>
      <c r="BC50" s="231">
        <v>22.729304978745802</v>
      </c>
      <c r="BD50" s="232" t="s">
        <v>55</v>
      </c>
      <c r="BE50" s="224">
        <v>0.71029078058580697</v>
      </c>
      <c r="BF50" s="225">
        <v>-55.1370888970241</v>
      </c>
      <c r="BG50" s="219"/>
      <c r="BH50" s="219"/>
      <c r="BI50" s="227">
        <v>42</v>
      </c>
      <c r="BJ50" s="227">
        <v>71</v>
      </c>
      <c r="BK50" s="220"/>
      <c r="BL50" s="236">
        <v>0.8</v>
      </c>
      <c r="BM50" s="224">
        <v>0.68</v>
      </c>
      <c r="BN50" s="237"/>
      <c r="BO50" s="238">
        <v>0.95</v>
      </c>
      <c r="BP50" s="229">
        <v>1</v>
      </c>
      <c r="BQ50" s="237">
        <v>2.5000000000000001E-3</v>
      </c>
    </row>
    <row r="51" spans="1:69" s="207" customFormat="1" ht="22.35" customHeight="1" x14ac:dyDescent="0.2">
      <c r="A51" s="216" t="s">
        <v>80</v>
      </c>
      <c r="B51" s="216" t="s">
        <v>100</v>
      </c>
      <c r="C51" s="216" t="s">
        <v>104</v>
      </c>
      <c r="D51" s="217">
        <v>2.2098362645555598</v>
      </c>
      <c r="E51" s="218"/>
      <c r="F51" s="219">
        <v>4.4999999999999998E-2</v>
      </c>
      <c r="G51" s="219">
        <v>3.5000000000000003E-2</v>
      </c>
      <c r="H51" s="220"/>
      <c r="I51" s="221">
        <v>4</v>
      </c>
      <c r="J51" s="221">
        <v>4</v>
      </c>
      <c r="K51" s="218"/>
      <c r="L51" s="222">
        <v>-422.94718999999998</v>
      </c>
      <c r="M51" s="222">
        <v>2136.6299100000001</v>
      </c>
      <c r="N51" s="222">
        <v>1713.68272</v>
      </c>
      <c r="O51" s="217">
        <v>775.47949931243295</v>
      </c>
      <c r="P51" s="223">
        <v>287.5</v>
      </c>
      <c r="Q51" s="229">
        <v>2.6973199976084601</v>
      </c>
      <c r="R51" s="230">
        <v>1019.90462474278</v>
      </c>
      <c r="S51" s="219">
        <v>0.01</v>
      </c>
      <c r="T51" s="219">
        <v>0.01</v>
      </c>
      <c r="U51" s="226">
        <v>0</v>
      </c>
      <c r="V51" s="227">
        <v>0</v>
      </c>
      <c r="W51" s="218"/>
      <c r="X51" s="226">
        <v>1133.7021549999999</v>
      </c>
      <c r="Y51" s="217">
        <v>513.02540970292705</v>
      </c>
      <c r="Z51" s="228">
        <v>573</v>
      </c>
      <c r="AA51" s="239">
        <v>0.89533230314647005</v>
      </c>
      <c r="AB51" s="222">
        <v>-249.02775311264699</v>
      </c>
      <c r="AC51" s="219"/>
      <c r="AD51" s="219"/>
      <c r="AE51" s="227">
        <v>133</v>
      </c>
      <c r="AF51" s="227">
        <v>386</v>
      </c>
      <c r="AG51" s="218"/>
      <c r="AH51" s="231">
        <v>145.94999999999999</v>
      </c>
      <c r="AI51" s="217">
        <v>66.045617198409801</v>
      </c>
      <c r="AJ51" s="232" t="s">
        <v>53</v>
      </c>
      <c r="AK51" s="233">
        <v>1.04834313013349</v>
      </c>
      <c r="AL51" s="234">
        <v>-6.0778956563642899</v>
      </c>
      <c r="AM51" s="219">
        <v>1.4999999999999999E-2</v>
      </c>
      <c r="AN51" s="219">
        <v>5.0000000000000001E-3</v>
      </c>
      <c r="AO51" s="227">
        <v>0</v>
      </c>
      <c r="AP51" s="227">
        <v>22</v>
      </c>
      <c r="AQ51" s="218"/>
      <c r="AR51" s="231">
        <v>9.3000000000000007</v>
      </c>
      <c r="AS51" s="217">
        <v>4.2084565943488199</v>
      </c>
      <c r="AT51" s="232" t="s">
        <v>54</v>
      </c>
      <c r="AU51" s="224">
        <v>0.26302853714680102</v>
      </c>
      <c r="AV51" s="225">
        <v>-29.310259214314701</v>
      </c>
      <c r="AW51" s="219"/>
      <c r="AX51" s="219"/>
      <c r="AY51" s="227">
        <v>27</v>
      </c>
      <c r="AZ51" s="227">
        <v>34</v>
      </c>
      <c r="BA51" s="218"/>
      <c r="BB51" s="235">
        <v>104.6</v>
      </c>
      <c r="BC51" s="231">
        <v>47.333823631063098</v>
      </c>
      <c r="BD51" s="232" t="s">
        <v>55</v>
      </c>
      <c r="BE51" s="229">
        <v>1.47918198847072</v>
      </c>
      <c r="BF51" s="230">
        <v>27.379481571370501</v>
      </c>
      <c r="BG51" s="219">
        <v>0.02</v>
      </c>
      <c r="BH51" s="219">
        <v>0.02</v>
      </c>
      <c r="BI51" s="227">
        <v>0</v>
      </c>
      <c r="BJ51" s="227">
        <v>0</v>
      </c>
      <c r="BK51" s="220"/>
      <c r="BL51" s="236">
        <v>0.8</v>
      </c>
      <c r="BM51" s="239">
        <v>0.73</v>
      </c>
      <c r="BN51" s="237"/>
      <c r="BO51" s="238">
        <v>0.95</v>
      </c>
      <c r="BP51" s="229">
        <v>1</v>
      </c>
      <c r="BQ51" s="237">
        <v>2.5000000000000001E-3</v>
      </c>
    </row>
    <row r="52" spans="1:69" s="207" customFormat="1" ht="22.35" customHeight="1" x14ac:dyDescent="0.2">
      <c r="A52" s="216" t="s">
        <v>80</v>
      </c>
      <c r="B52" s="216" t="s">
        <v>100</v>
      </c>
      <c r="C52" s="216" t="s">
        <v>105</v>
      </c>
      <c r="D52" s="217">
        <v>7.7514398572222198</v>
      </c>
      <c r="E52" s="218"/>
      <c r="F52" s="219">
        <v>3.5999999999999997E-2</v>
      </c>
      <c r="G52" s="219">
        <v>1.6E-2</v>
      </c>
      <c r="H52" s="220"/>
      <c r="I52" s="221">
        <v>4</v>
      </c>
      <c r="J52" s="221">
        <v>4</v>
      </c>
      <c r="K52" s="218"/>
      <c r="L52" s="222">
        <v>6012.0926799999997</v>
      </c>
      <c r="M52" s="222">
        <v>3592.7775299999998</v>
      </c>
      <c r="N52" s="222">
        <v>9604.8702099999991</v>
      </c>
      <c r="O52" s="217">
        <v>1239.1078802025299</v>
      </c>
      <c r="P52" s="223">
        <v>287.5</v>
      </c>
      <c r="Q52" s="229">
        <v>4.3099404528783696</v>
      </c>
      <c r="R52" s="230">
        <v>7171.3056668250802</v>
      </c>
      <c r="S52" s="219">
        <v>0.01</v>
      </c>
      <c r="T52" s="219">
        <v>0.01</v>
      </c>
      <c r="U52" s="226">
        <v>0</v>
      </c>
      <c r="V52" s="227">
        <v>0</v>
      </c>
      <c r="W52" s="218"/>
      <c r="X52" s="226">
        <v>4666.10826</v>
      </c>
      <c r="Y52" s="217">
        <v>601.96664696462301</v>
      </c>
      <c r="Z52" s="228">
        <v>573</v>
      </c>
      <c r="AA52" s="233">
        <v>1.0505526125037099</v>
      </c>
      <c r="AB52" s="234">
        <v>-184.09168170165901</v>
      </c>
      <c r="AC52" s="219">
        <v>1.4999999999999999E-2</v>
      </c>
      <c r="AD52" s="219">
        <v>5.0000000000000001E-3</v>
      </c>
      <c r="AE52" s="227">
        <v>0</v>
      </c>
      <c r="AF52" s="227">
        <v>664</v>
      </c>
      <c r="AG52" s="218"/>
      <c r="AH52" s="231">
        <v>428.2</v>
      </c>
      <c r="AI52" s="217">
        <v>55.241349721759697</v>
      </c>
      <c r="AJ52" s="232" t="s">
        <v>53</v>
      </c>
      <c r="AK52" s="239">
        <v>0.87684682098031297</v>
      </c>
      <c r="AL52" s="222">
        <v>-105.06805641746</v>
      </c>
      <c r="AM52" s="219"/>
      <c r="AN52" s="219"/>
      <c r="AO52" s="227">
        <v>61</v>
      </c>
      <c r="AP52" s="227">
        <v>158</v>
      </c>
      <c r="AQ52" s="218"/>
      <c r="AR52" s="231">
        <v>80.599999999999994</v>
      </c>
      <c r="AS52" s="217">
        <v>10.3980681634139</v>
      </c>
      <c r="AT52" s="232" t="s">
        <v>54</v>
      </c>
      <c r="AU52" s="224">
        <v>0.64987926021336895</v>
      </c>
      <c r="AV52" s="225">
        <v>-54.833157185386597</v>
      </c>
      <c r="AW52" s="219"/>
      <c r="AX52" s="219"/>
      <c r="AY52" s="227">
        <v>44</v>
      </c>
      <c r="AZ52" s="227">
        <v>69</v>
      </c>
      <c r="BA52" s="218"/>
      <c r="BB52" s="235">
        <v>251.6</v>
      </c>
      <c r="BC52" s="231">
        <v>32.4584857309546</v>
      </c>
      <c r="BD52" s="232" t="s">
        <v>55</v>
      </c>
      <c r="BE52" s="233">
        <v>1.0143276790923299</v>
      </c>
      <c r="BF52" s="234">
        <v>-19.266314370773301</v>
      </c>
      <c r="BG52" s="219">
        <v>1.0999999999999999E-2</v>
      </c>
      <c r="BH52" s="219">
        <v>1E-3</v>
      </c>
      <c r="BI52" s="227">
        <v>0</v>
      </c>
      <c r="BJ52" s="227">
        <v>47</v>
      </c>
      <c r="BK52" s="220"/>
      <c r="BL52" s="236">
        <v>0.8</v>
      </c>
      <c r="BM52" s="239">
        <v>0.73</v>
      </c>
      <c r="BN52" s="237"/>
      <c r="BO52" s="238">
        <v>0.95</v>
      </c>
      <c r="BP52" s="229">
        <v>1</v>
      </c>
      <c r="BQ52" s="237">
        <v>2.5000000000000001E-3</v>
      </c>
    </row>
    <row r="53" spans="1:69" s="207" customFormat="1" ht="22.35" customHeight="1" x14ac:dyDescent="0.2">
      <c r="A53" s="216" t="s">
        <v>80</v>
      </c>
      <c r="B53" s="216" t="s">
        <v>100</v>
      </c>
      <c r="C53" s="216" t="s">
        <v>106</v>
      </c>
      <c r="D53" s="217">
        <v>4.7798890690000002</v>
      </c>
      <c r="E53" s="218"/>
      <c r="F53" s="219">
        <v>2.5999999999999999E-2</v>
      </c>
      <c r="G53" s="219">
        <v>1.6E-2</v>
      </c>
      <c r="H53" s="220"/>
      <c r="I53" s="221">
        <v>3</v>
      </c>
      <c r="J53" s="221">
        <v>3</v>
      </c>
      <c r="K53" s="218"/>
      <c r="L53" s="222">
        <v>942.15089999999998</v>
      </c>
      <c r="M53" s="222">
        <v>1492.1940099999999</v>
      </c>
      <c r="N53" s="222">
        <v>2434.3449099999998</v>
      </c>
      <c r="O53" s="217">
        <v>509.28899705810301</v>
      </c>
      <c r="P53" s="223">
        <v>284.87700000000001</v>
      </c>
      <c r="Q53" s="229">
        <v>1.7877504925217</v>
      </c>
      <c r="R53" s="230">
        <v>947.38984952601197</v>
      </c>
      <c r="S53" s="219">
        <v>0.01</v>
      </c>
      <c r="T53" s="219">
        <v>0.01</v>
      </c>
      <c r="U53" s="226">
        <v>0</v>
      </c>
      <c r="V53" s="227">
        <v>0</v>
      </c>
      <c r="W53" s="218"/>
      <c r="X53" s="226">
        <v>2332.0972750000001</v>
      </c>
      <c r="Y53" s="217">
        <v>487.897782006037</v>
      </c>
      <c r="Z53" s="228">
        <v>573</v>
      </c>
      <c r="AA53" s="239">
        <v>0.85147954974875495</v>
      </c>
      <c r="AB53" s="222">
        <v>-658.75579369840398</v>
      </c>
      <c r="AC53" s="219"/>
      <c r="AD53" s="219"/>
      <c r="AE53" s="227">
        <v>407</v>
      </c>
      <c r="AF53" s="227">
        <v>955</v>
      </c>
      <c r="AG53" s="218"/>
      <c r="AH53" s="231">
        <v>167.15</v>
      </c>
      <c r="AI53" s="217">
        <v>34.969430793708597</v>
      </c>
      <c r="AJ53" s="232" t="s">
        <v>53</v>
      </c>
      <c r="AK53" s="224">
        <v>0.55507033005886697</v>
      </c>
      <c r="AL53" s="225">
        <v>-161.687248390924</v>
      </c>
      <c r="AM53" s="219"/>
      <c r="AN53" s="219"/>
      <c r="AO53" s="227">
        <v>134</v>
      </c>
      <c r="AP53" s="227">
        <v>195</v>
      </c>
      <c r="AQ53" s="218"/>
      <c r="AR53" s="231">
        <v>24.2</v>
      </c>
      <c r="AS53" s="217">
        <v>5.0628790021402903</v>
      </c>
      <c r="AT53" s="232" t="s">
        <v>54</v>
      </c>
      <c r="AU53" s="224">
        <v>0.31642993763376798</v>
      </c>
      <c r="AV53" s="225">
        <v>-59.314221813567997</v>
      </c>
      <c r="AW53" s="219"/>
      <c r="AX53" s="219"/>
      <c r="AY53" s="227">
        <v>53</v>
      </c>
      <c r="AZ53" s="227">
        <v>68</v>
      </c>
      <c r="BA53" s="218"/>
      <c r="BB53" s="235">
        <v>161.80000000000001</v>
      </c>
      <c r="BC53" s="231">
        <v>33.850157956458602</v>
      </c>
      <c r="BD53" s="232" t="s">
        <v>55</v>
      </c>
      <c r="BE53" s="233">
        <v>1.05781743613933</v>
      </c>
      <c r="BF53" s="234">
        <v>-5.22844362713602</v>
      </c>
      <c r="BG53" s="219">
        <v>1.6E-2</v>
      </c>
      <c r="BH53" s="219">
        <v>6.0000000000000001E-3</v>
      </c>
      <c r="BI53" s="227">
        <v>0</v>
      </c>
      <c r="BJ53" s="227">
        <v>22</v>
      </c>
      <c r="BK53" s="220"/>
      <c r="BL53" s="236">
        <v>0.8</v>
      </c>
      <c r="BM53" s="239">
        <v>0.7</v>
      </c>
      <c r="BN53" s="237"/>
      <c r="BO53" s="238">
        <v>0.95</v>
      </c>
      <c r="BP53" s="229">
        <v>1</v>
      </c>
      <c r="BQ53" s="237">
        <v>2.5000000000000001E-3</v>
      </c>
    </row>
    <row r="54" spans="1:69" s="207" customFormat="1" ht="22.35" customHeight="1" x14ac:dyDescent="0.2">
      <c r="A54" s="216" t="s">
        <v>80</v>
      </c>
      <c r="B54" s="216" t="s">
        <v>100</v>
      </c>
      <c r="C54" s="216" t="s">
        <v>107</v>
      </c>
      <c r="D54" s="217">
        <v>2.5187938062222202</v>
      </c>
      <c r="E54" s="218"/>
      <c r="F54" s="219">
        <v>6.7000000000000004E-2</v>
      </c>
      <c r="G54" s="219">
        <v>5.0999999999999997E-2</v>
      </c>
      <c r="H54" s="220"/>
      <c r="I54" s="221">
        <v>5</v>
      </c>
      <c r="J54" s="221">
        <v>5</v>
      </c>
      <c r="K54" s="218"/>
      <c r="L54" s="222">
        <v>1242.9356600000001</v>
      </c>
      <c r="M54" s="222">
        <v>-186.79929999999999</v>
      </c>
      <c r="N54" s="222">
        <v>1056.13636</v>
      </c>
      <c r="O54" s="217">
        <v>419.30242856362702</v>
      </c>
      <c r="P54" s="223">
        <v>239.02500000000001</v>
      </c>
      <c r="Q54" s="229">
        <v>1.7542199709805599</v>
      </c>
      <c r="R54" s="230">
        <v>398.69263903076501</v>
      </c>
      <c r="S54" s="219">
        <v>0.01</v>
      </c>
      <c r="T54" s="219">
        <v>0.01</v>
      </c>
      <c r="U54" s="226">
        <v>0</v>
      </c>
      <c r="V54" s="227">
        <v>0</v>
      </c>
      <c r="W54" s="218"/>
      <c r="X54" s="226">
        <v>1728.5798649999999</v>
      </c>
      <c r="Y54" s="217">
        <v>686.27287423442795</v>
      </c>
      <c r="Z54" s="228">
        <v>573</v>
      </c>
      <c r="AA54" s="229">
        <v>1.1976838991874801</v>
      </c>
      <c r="AB54" s="230">
        <v>152.530279745857</v>
      </c>
      <c r="AC54" s="219">
        <v>0.02</v>
      </c>
      <c r="AD54" s="219">
        <v>0.02</v>
      </c>
      <c r="AE54" s="227">
        <v>0</v>
      </c>
      <c r="AF54" s="227">
        <v>4</v>
      </c>
      <c r="AG54" s="218"/>
      <c r="AH54" s="231">
        <v>168.8</v>
      </c>
      <c r="AI54" s="217">
        <v>67.016204177972099</v>
      </c>
      <c r="AJ54" s="232" t="s">
        <v>53</v>
      </c>
      <c r="AK54" s="233">
        <v>1.0637492726662201</v>
      </c>
      <c r="AL54" s="234">
        <v>-4.4829386928638497</v>
      </c>
      <c r="AM54" s="219">
        <v>1.7000000000000001E-2</v>
      </c>
      <c r="AN54" s="219">
        <v>6.0000000000000001E-3</v>
      </c>
      <c r="AO54" s="227">
        <v>0</v>
      </c>
      <c r="AP54" s="227">
        <v>22</v>
      </c>
      <c r="AQ54" s="218"/>
      <c r="AR54" s="231">
        <v>15.8</v>
      </c>
      <c r="AS54" s="217">
        <v>6.2728437559950203</v>
      </c>
      <c r="AT54" s="232" t="s">
        <v>54</v>
      </c>
      <c r="AU54" s="224">
        <v>0.39205273474968899</v>
      </c>
      <c r="AV54" s="225">
        <v>-28.2083653823146</v>
      </c>
      <c r="AW54" s="219"/>
      <c r="AX54" s="219"/>
      <c r="AY54" s="227">
        <v>25</v>
      </c>
      <c r="AZ54" s="227">
        <v>33</v>
      </c>
      <c r="BA54" s="218"/>
      <c r="BB54" s="235">
        <v>92.8</v>
      </c>
      <c r="BC54" s="231">
        <v>36.843031680780904</v>
      </c>
      <c r="BD54" s="232" t="s">
        <v>55</v>
      </c>
      <c r="BE54" s="229">
        <v>1.1513447400243999</v>
      </c>
      <c r="BF54" s="230">
        <v>4.78326923537072</v>
      </c>
      <c r="BG54" s="219">
        <v>0.02</v>
      </c>
      <c r="BH54" s="219">
        <v>1.4999999999999999E-2</v>
      </c>
      <c r="BI54" s="227">
        <v>0</v>
      </c>
      <c r="BJ54" s="227">
        <v>4</v>
      </c>
      <c r="BK54" s="220"/>
      <c r="BL54" s="236">
        <v>0.8</v>
      </c>
      <c r="BM54" s="239">
        <v>0.7</v>
      </c>
      <c r="BN54" s="237"/>
      <c r="BO54" s="238">
        <v>0.95</v>
      </c>
      <c r="BP54" s="229">
        <v>1</v>
      </c>
      <c r="BQ54" s="237">
        <v>2.5000000000000001E-3</v>
      </c>
    </row>
    <row r="55" spans="1:69" s="207" customFormat="1" ht="22.35" customHeight="1" x14ac:dyDescent="0.2">
      <c r="A55" s="216" t="s">
        <v>80</v>
      </c>
      <c r="B55" s="216" t="s">
        <v>100</v>
      </c>
      <c r="C55" s="216" t="s">
        <v>108</v>
      </c>
      <c r="D55" s="217">
        <v>2.56970437377778</v>
      </c>
      <c r="E55" s="218"/>
      <c r="F55" s="219">
        <v>0.01</v>
      </c>
      <c r="G55" s="219">
        <v>0.01</v>
      </c>
      <c r="H55" s="220"/>
      <c r="I55" s="221">
        <v>2</v>
      </c>
      <c r="J55" s="221">
        <v>2</v>
      </c>
      <c r="K55" s="218"/>
      <c r="L55" s="222">
        <v>466.75184999999999</v>
      </c>
      <c r="M55" s="222">
        <v>407.60933999999997</v>
      </c>
      <c r="N55" s="222">
        <v>874.36118999999997</v>
      </c>
      <c r="O55" s="217">
        <v>340.257501571896</v>
      </c>
      <c r="P55" s="223">
        <v>273.43799999999999</v>
      </c>
      <c r="Q55" s="229">
        <v>1.24436801604713</v>
      </c>
      <c r="R55" s="230">
        <v>107.062121583703</v>
      </c>
      <c r="S55" s="219">
        <v>0.01</v>
      </c>
      <c r="T55" s="219">
        <v>0.01</v>
      </c>
      <c r="U55" s="226">
        <v>0</v>
      </c>
      <c r="V55" s="227">
        <v>0</v>
      </c>
      <c r="W55" s="218"/>
      <c r="X55" s="226">
        <v>1020.32716</v>
      </c>
      <c r="Y55" s="217">
        <v>397.06013283543399</v>
      </c>
      <c r="Z55" s="228">
        <v>573</v>
      </c>
      <c r="AA55" s="224">
        <v>0.69294962100424795</v>
      </c>
      <c r="AB55" s="225">
        <v>-587.57798194273698</v>
      </c>
      <c r="AC55" s="219"/>
      <c r="AD55" s="219"/>
      <c r="AE55" s="227">
        <v>453</v>
      </c>
      <c r="AF55" s="227">
        <v>747</v>
      </c>
      <c r="AG55" s="218"/>
      <c r="AH55" s="231">
        <v>96.1</v>
      </c>
      <c r="AI55" s="217">
        <v>37.397297907354698</v>
      </c>
      <c r="AJ55" s="232" t="s">
        <v>53</v>
      </c>
      <c r="AK55" s="224">
        <v>0.59360790329134505</v>
      </c>
      <c r="AL55" s="225">
        <v>-80.685382098416198</v>
      </c>
      <c r="AM55" s="219"/>
      <c r="AN55" s="219"/>
      <c r="AO55" s="227">
        <v>66</v>
      </c>
      <c r="AP55" s="227">
        <v>99</v>
      </c>
      <c r="AQ55" s="218"/>
      <c r="AR55" s="231">
        <v>7</v>
      </c>
      <c r="AS55" s="217">
        <v>2.7240487549582002</v>
      </c>
      <c r="AT55" s="232" t="s">
        <v>54</v>
      </c>
      <c r="AU55" s="224">
        <v>0.17025304718488701</v>
      </c>
      <c r="AV55" s="225">
        <v>-37.897874818645398</v>
      </c>
      <c r="AW55" s="219"/>
      <c r="AX55" s="219"/>
      <c r="AY55" s="227">
        <v>35</v>
      </c>
      <c r="AZ55" s="227">
        <v>43</v>
      </c>
      <c r="BA55" s="218"/>
      <c r="BB55" s="235">
        <v>59.4</v>
      </c>
      <c r="BC55" s="231">
        <v>23.115499434930999</v>
      </c>
      <c r="BD55" s="232" t="s">
        <v>55</v>
      </c>
      <c r="BE55" s="224">
        <v>0.72235935734159396</v>
      </c>
      <c r="BF55" s="225">
        <v>-30.395749637290798</v>
      </c>
      <c r="BG55" s="219"/>
      <c r="BH55" s="219"/>
      <c r="BI55" s="227">
        <v>23</v>
      </c>
      <c r="BJ55" s="227">
        <v>40</v>
      </c>
      <c r="BK55" s="220"/>
      <c r="BL55" s="236">
        <v>0.8</v>
      </c>
      <c r="BM55" s="239">
        <v>0.74</v>
      </c>
      <c r="BN55" s="237"/>
      <c r="BO55" s="238">
        <v>0.95</v>
      </c>
      <c r="BP55" s="229">
        <v>1</v>
      </c>
      <c r="BQ55" s="237">
        <v>2.5000000000000001E-3</v>
      </c>
    </row>
    <row r="56" spans="1:69" s="207" customFormat="1" ht="22.35" customHeight="1" x14ac:dyDescent="0.2">
      <c r="A56" s="216" t="s">
        <v>80</v>
      </c>
      <c r="B56" s="216" t="s">
        <v>100</v>
      </c>
      <c r="C56" s="216" t="s">
        <v>109</v>
      </c>
      <c r="D56" s="217">
        <v>5.2395012254444397</v>
      </c>
      <c r="E56" s="218"/>
      <c r="F56" s="219">
        <v>2.8000000000000001E-2</v>
      </c>
      <c r="G56" s="219">
        <v>1.7999999999999999E-2</v>
      </c>
      <c r="H56" s="220"/>
      <c r="I56" s="221">
        <v>3</v>
      </c>
      <c r="J56" s="221">
        <v>3</v>
      </c>
      <c r="K56" s="218"/>
      <c r="L56" s="222">
        <v>2040.5803000000001</v>
      </c>
      <c r="M56" s="222">
        <v>1292.06933</v>
      </c>
      <c r="N56" s="222">
        <v>3332.6496299999999</v>
      </c>
      <c r="O56" s="217">
        <v>636.06238200990299</v>
      </c>
      <c r="P56" s="223">
        <v>287.5</v>
      </c>
      <c r="Q56" s="229">
        <v>2.2123908939474899</v>
      </c>
      <c r="R56" s="230">
        <v>1687.7082202717199</v>
      </c>
      <c r="S56" s="219">
        <v>0.01</v>
      </c>
      <c r="T56" s="219">
        <v>0.01</v>
      </c>
      <c r="U56" s="226">
        <v>0</v>
      </c>
      <c r="V56" s="227">
        <v>0</v>
      </c>
      <c r="W56" s="218"/>
      <c r="X56" s="226">
        <v>2274.1187</v>
      </c>
      <c r="Y56" s="217">
        <v>434.03343221989502</v>
      </c>
      <c r="Z56" s="228">
        <v>573</v>
      </c>
      <c r="AA56" s="239">
        <v>0.75747544890034102</v>
      </c>
      <c r="AB56" s="222">
        <v>-1004.32104878019</v>
      </c>
      <c r="AC56" s="219"/>
      <c r="AD56" s="219"/>
      <c r="AE56" s="227">
        <v>729</v>
      </c>
      <c r="AF56" s="227">
        <v>1329</v>
      </c>
      <c r="AG56" s="218"/>
      <c r="AH56" s="231">
        <v>148.80000000000001</v>
      </c>
      <c r="AI56" s="217">
        <v>28.399649813495</v>
      </c>
      <c r="AJ56" s="232" t="s">
        <v>53</v>
      </c>
      <c r="AK56" s="224">
        <v>0.450788092277698</v>
      </c>
      <c r="AL56" s="225">
        <v>-211.65672630567599</v>
      </c>
      <c r="AM56" s="219"/>
      <c r="AN56" s="219"/>
      <c r="AO56" s="227">
        <v>182</v>
      </c>
      <c r="AP56" s="227">
        <v>248</v>
      </c>
      <c r="AQ56" s="218"/>
      <c r="AR56" s="231">
        <v>26.3</v>
      </c>
      <c r="AS56" s="217">
        <v>5.0195617613905803</v>
      </c>
      <c r="AT56" s="232" t="s">
        <v>54</v>
      </c>
      <c r="AU56" s="224">
        <v>0.31372261008691099</v>
      </c>
      <c r="AV56" s="225">
        <v>-65.244565410965293</v>
      </c>
      <c r="AW56" s="219"/>
      <c r="AX56" s="219"/>
      <c r="AY56" s="227">
        <v>58</v>
      </c>
      <c r="AZ56" s="227">
        <v>75</v>
      </c>
      <c r="BA56" s="218"/>
      <c r="BB56" s="235">
        <v>180.8</v>
      </c>
      <c r="BC56" s="231">
        <v>34.507101386289598</v>
      </c>
      <c r="BD56" s="232" t="s">
        <v>55</v>
      </c>
      <c r="BE56" s="233">
        <v>1.0783469183215499</v>
      </c>
      <c r="BF56" s="234">
        <v>-2.28913082193051</v>
      </c>
      <c r="BG56" s="219">
        <v>1.7999999999999999E-2</v>
      </c>
      <c r="BH56" s="219">
        <v>8.0000000000000002E-3</v>
      </c>
      <c r="BI56" s="227">
        <v>0</v>
      </c>
      <c r="BJ56" s="227">
        <v>21</v>
      </c>
      <c r="BK56" s="220"/>
      <c r="BL56" s="236">
        <v>0.8</v>
      </c>
      <c r="BM56" s="239">
        <v>0.7</v>
      </c>
      <c r="BN56" s="237"/>
      <c r="BO56" s="238">
        <v>0.95</v>
      </c>
      <c r="BP56" s="229">
        <v>1</v>
      </c>
      <c r="BQ56" s="237">
        <v>2.5000000000000001E-3</v>
      </c>
    </row>
    <row r="57" spans="1:69" s="207" customFormat="1" ht="22.35" customHeight="1" x14ac:dyDescent="0.2">
      <c r="A57" s="216" t="s">
        <v>80</v>
      </c>
      <c r="B57" s="216" t="s">
        <v>100</v>
      </c>
      <c r="C57" s="216" t="s">
        <v>110</v>
      </c>
      <c r="D57" s="217">
        <v>2.6352440239999999</v>
      </c>
      <c r="E57" s="218"/>
      <c r="F57" s="219">
        <v>0.06</v>
      </c>
      <c r="G57" s="219">
        <v>0.06</v>
      </c>
      <c r="H57" s="220"/>
      <c r="I57" s="221">
        <v>5</v>
      </c>
      <c r="J57" s="221">
        <v>5</v>
      </c>
      <c r="K57" s="218"/>
      <c r="L57" s="222">
        <v>1834.59843</v>
      </c>
      <c r="M57" s="222">
        <v>2636.83941</v>
      </c>
      <c r="N57" s="222">
        <v>4471.4378399999996</v>
      </c>
      <c r="O57" s="217">
        <v>1696.7832197994601</v>
      </c>
      <c r="P57" s="223">
        <v>269.755</v>
      </c>
      <c r="Q57" s="229">
        <v>6.2900899697853996</v>
      </c>
      <c r="R57" s="230">
        <v>3695.1675251500201</v>
      </c>
      <c r="S57" s="219">
        <v>0.01</v>
      </c>
      <c r="T57" s="219">
        <v>0.01</v>
      </c>
      <c r="U57" s="226">
        <v>0</v>
      </c>
      <c r="V57" s="227">
        <v>0</v>
      </c>
      <c r="W57" s="218"/>
      <c r="X57" s="226">
        <v>1869.7637400000001</v>
      </c>
      <c r="Y57" s="217">
        <v>709.52204918082396</v>
      </c>
      <c r="Z57" s="228">
        <v>573</v>
      </c>
      <c r="AA57" s="229">
        <v>1.23825837553372</v>
      </c>
      <c r="AB57" s="230">
        <v>220.849390278816</v>
      </c>
      <c r="AC57" s="219">
        <v>0.02</v>
      </c>
      <c r="AD57" s="219">
        <v>0.02</v>
      </c>
      <c r="AE57" s="227">
        <v>0</v>
      </c>
      <c r="AF57" s="227">
        <v>0</v>
      </c>
      <c r="AG57" s="218"/>
      <c r="AH57" s="231">
        <v>147.94999999999999</v>
      </c>
      <c r="AI57" s="217">
        <v>56.142808276035403</v>
      </c>
      <c r="AJ57" s="232" t="s">
        <v>53</v>
      </c>
      <c r="AK57" s="239">
        <v>0.89115568692119596</v>
      </c>
      <c r="AL57" s="222">
        <v>-33.344247875104003</v>
      </c>
      <c r="AM57" s="219"/>
      <c r="AN57" s="219"/>
      <c r="AO57" s="227">
        <v>19</v>
      </c>
      <c r="AP57" s="227">
        <v>52</v>
      </c>
      <c r="AQ57" s="218"/>
      <c r="AR57" s="231">
        <v>63.4</v>
      </c>
      <c r="AS57" s="217">
        <v>24.058493036165199</v>
      </c>
      <c r="AT57" s="232" t="s">
        <v>54</v>
      </c>
      <c r="AU57" s="229">
        <v>1.5036558147603301</v>
      </c>
      <c r="AV57" s="230">
        <v>17.357016412671999</v>
      </c>
      <c r="AW57" s="219">
        <v>0.01</v>
      </c>
      <c r="AX57" s="219">
        <v>0.01</v>
      </c>
      <c r="AY57" s="227">
        <v>0</v>
      </c>
      <c r="AZ57" s="227">
        <v>0</v>
      </c>
      <c r="BA57" s="218"/>
      <c r="BB57" s="235">
        <v>134.80000000000001</v>
      </c>
      <c r="BC57" s="231">
        <v>51.152758064275602</v>
      </c>
      <c r="BD57" s="232" t="s">
        <v>55</v>
      </c>
      <c r="BE57" s="229">
        <v>1.5985236895086099</v>
      </c>
      <c r="BF57" s="230">
        <v>42.714032825343999</v>
      </c>
      <c r="BG57" s="219">
        <v>0.02</v>
      </c>
      <c r="BH57" s="219">
        <v>0.02</v>
      </c>
      <c r="BI57" s="227">
        <v>0</v>
      </c>
      <c r="BJ57" s="227">
        <v>0</v>
      </c>
      <c r="BK57" s="220"/>
      <c r="BL57" s="236">
        <v>0.8</v>
      </c>
      <c r="BM57" s="239">
        <v>0.73</v>
      </c>
      <c r="BN57" s="237"/>
      <c r="BO57" s="238">
        <v>0.95</v>
      </c>
      <c r="BP57" s="229">
        <v>1</v>
      </c>
      <c r="BQ57" s="237">
        <v>2.5000000000000001E-3</v>
      </c>
    </row>
    <row r="58" spans="1:69" s="207" customFormat="1" ht="22.35" customHeight="1" x14ac:dyDescent="0.2">
      <c r="A58" s="216" t="s">
        <v>80</v>
      </c>
      <c r="B58" s="216" t="s">
        <v>100</v>
      </c>
      <c r="C58" s="216" t="s">
        <v>111</v>
      </c>
      <c r="D58" s="217">
        <v>5.3559300766666702</v>
      </c>
      <c r="E58" s="218"/>
      <c r="F58" s="219">
        <v>0.03</v>
      </c>
      <c r="G58" s="219">
        <v>2.5999999999999999E-2</v>
      </c>
      <c r="H58" s="220"/>
      <c r="I58" s="221">
        <v>3</v>
      </c>
      <c r="J58" s="221">
        <v>3</v>
      </c>
      <c r="K58" s="218"/>
      <c r="L58" s="222">
        <v>3012.1510400000002</v>
      </c>
      <c r="M58" s="222">
        <v>1264.44965</v>
      </c>
      <c r="N58" s="222">
        <v>4276.6006900000002</v>
      </c>
      <c r="O58" s="217">
        <v>798.47955981187795</v>
      </c>
      <c r="P58" s="223">
        <v>280.08499999999998</v>
      </c>
      <c r="Q58" s="229">
        <v>2.85084727783308</v>
      </c>
      <c r="R58" s="230">
        <v>2638.4743723286801</v>
      </c>
      <c r="S58" s="219">
        <v>0.01</v>
      </c>
      <c r="T58" s="219">
        <v>0.01</v>
      </c>
      <c r="U58" s="226">
        <v>0</v>
      </c>
      <c r="V58" s="227">
        <v>0</v>
      </c>
      <c r="W58" s="218"/>
      <c r="X58" s="226">
        <v>1920.2623349999999</v>
      </c>
      <c r="Y58" s="217">
        <v>358.53013529166498</v>
      </c>
      <c r="Z58" s="228">
        <v>573</v>
      </c>
      <c r="AA58" s="224">
        <v>0.62570704239383101</v>
      </c>
      <c r="AB58" s="225">
        <v>-1431.0288088515599</v>
      </c>
      <c r="AC58" s="219"/>
      <c r="AD58" s="219"/>
      <c r="AE58" s="227">
        <v>1149</v>
      </c>
      <c r="AF58" s="227">
        <v>1763</v>
      </c>
      <c r="AG58" s="218"/>
      <c r="AH58" s="231">
        <v>236.2</v>
      </c>
      <c r="AI58" s="217">
        <v>44.100650422793102</v>
      </c>
      <c r="AJ58" s="232" t="s">
        <v>53</v>
      </c>
      <c r="AK58" s="224">
        <v>0.70001032417131803</v>
      </c>
      <c r="AL58" s="225">
        <v>-132.26656555436</v>
      </c>
      <c r="AM58" s="219"/>
      <c r="AN58" s="219"/>
      <c r="AO58" s="227">
        <v>102</v>
      </c>
      <c r="AP58" s="227">
        <v>169</v>
      </c>
      <c r="AQ58" s="218"/>
      <c r="AR58" s="231">
        <v>26.9</v>
      </c>
      <c r="AS58" s="217">
        <v>5.0224703487431599</v>
      </c>
      <c r="AT58" s="232" t="s">
        <v>54</v>
      </c>
      <c r="AU58" s="224">
        <v>0.31390439679644699</v>
      </c>
      <c r="AV58" s="225">
        <v>-66.678810299520094</v>
      </c>
      <c r="AW58" s="219"/>
      <c r="AX58" s="219"/>
      <c r="AY58" s="227">
        <v>59</v>
      </c>
      <c r="AZ58" s="227">
        <v>76</v>
      </c>
      <c r="BA58" s="218"/>
      <c r="BB58" s="235">
        <v>199.2</v>
      </c>
      <c r="BC58" s="231">
        <v>37.192419831584999</v>
      </c>
      <c r="BD58" s="232" t="s">
        <v>55</v>
      </c>
      <c r="BE58" s="229">
        <v>1.1622631197370299</v>
      </c>
      <c r="BF58" s="230">
        <v>12.0423794009599</v>
      </c>
      <c r="BG58" s="219">
        <v>0.02</v>
      </c>
      <c r="BH58" s="219">
        <v>1.6E-2</v>
      </c>
      <c r="BI58" s="227">
        <v>0</v>
      </c>
      <c r="BJ58" s="227">
        <v>7</v>
      </c>
      <c r="BK58" s="220"/>
      <c r="BL58" s="236">
        <v>0.8</v>
      </c>
      <c r="BM58" s="224">
        <v>0.65</v>
      </c>
      <c r="BN58" s="237"/>
      <c r="BO58" s="238">
        <v>0.95</v>
      </c>
      <c r="BP58" s="229">
        <v>1</v>
      </c>
      <c r="BQ58" s="237">
        <v>2.5000000000000001E-3</v>
      </c>
    </row>
    <row r="59" spans="1:69" s="207" customFormat="1" ht="22.35" customHeight="1" x14ac:dyDescent="0.2">
      <c r="A59" s="216" t="s">
        <v>80</v>
      </c>
      <c r="B59" s="216" t="s">
        <v>100</v>
      </c>
      <c r="C59" s="216" t="s">
        <v>112</v>
      </c>
      <c r="D59" s="217">
        <v>1.38279080044444</v>
      </c>
      <c r="E59" s="218"/>
      <c r="F59" s="219">
        <v>0.01</v>
      </c>
      <c r="G59" s="219">
        <v>0.01</v>
      </c>
      <c r="H59" s="220"/>
      <c r="I59" s="221">
        <v>2</v>
      </c>
      <c r="J59" s="221">
        <v>2</v>
      </c>
      <c r="K59" s="218"/>
      <c r="L59" s="222">
        <v>155.45249000000001</v>
      </c>
      <c r="M59" s="222">
        <v>1450.7616700000001</v>
      </c>
      <c r="N59" s="222">
        <v>1606.21416</v>
      </c>
      <c r="O59" s="217">
        <v>1161.5742305226099</v>
      </c>
      <c r="P59" s="223">
        <v>280.08499999999998</v>
      </c>
      <c r="Q59" s="229">
        <v>4.1472204170969897</v>
      </c>
      <c r="R59" s="230">
        <v>1183.28369421401</v>
      </c>
      <c r="S59" s="219">
        <v>0.01</v>
      </c>
      <c r="T59" s="219">
        <v>0.01</v>
      </c>
      <c r="U59" s="226">
        <v>0</v>
      </c>
      <c r="V59" s="227">
        <v>0</v>
      </c>
      <c r="W59" s="218"/>
      <c r="X59" s="226">
        <v>699.18479000000002</v>
      </c>
      <c r="Y59" s="217">
        <v>505.63309343342002</v>
      </c>
      <c r="Z59" s="228">
        <v>573</v>
      </c>
      <c r="AA59" s="239">
        <v>0.88243122763249604</v>
      </c>
      <c r="AB59" s="222">
        <v>-166.04953849089301</v>
      </c>
      <c r="AC59" s="219"/>
      <c r="AD59" s="219"/>
      <c r="AE59" s="227">
        <v>94</v>
      </c>
      <c r="AF59" s="227">
        <v>252</v>
      </c>
      <c r="AG59" s="218"/>
      <c r="AH59" s="231">
        <v>61.3</v>
      </c>
      <c r="AI59" s="217">
        <v>44.330639154019202</v>
      </c>
      <c r="AJ59" s="232" t="s">
        <v>53</v>
      </c>
      <c r="AK59" s="224">
        <v>0.703660938952685</v>
      </c>
      <c r="AL59" s="225">
        <v>-33.8304759073757</v>
      </c>
      <c r="AM59" s="219"/>
      <c r="AN59" s="219"/>
      <c r="AO59" s="227">
        <v>26</v>
      </c>
      <c r="AP59" s="227">
        <v>44</v>
      </c>
      <c r="AQ59" s="218"/>
      <c r="AR59" s="231">
        <v>5</v>
      </c>
      <c r="AS59" s="217">
        <v>3.61587595057253</v>
      </c>
      <c r="AT59" s="232" t="s">
        <v>54</v>
      </c>
      <c r="AU59" s="224">
        <v>0.22599224691078301</v>
      </c>
      <c r="AV59" s="225">
        <v>-19.1601208653653</v>
      </c>
      <c r="AW59" s="219"/>
      <c r="AX59" s="219"/>
      <c r="AY59" s="227">
        <v>18</v>
      </c>
      <c r="AZ59" s="227">
        <v>22</v>
      </c>
      <c r="BA59" s="218"/>
      <c r="BB59" s="235">
        <v>34</v>
      </c>
      <c r="BC59" s="231">
        <v>24.5879564638932</v>
      </c>
      <c r="BD59" s="232" t="s">
        <v>55</v>
      </c>
      <c r="BE59" s="239">
        <v>0.76837363949666104</v>
      </c>
      <c r="BF59" s="222">
        <v>-14.320241730730499</v>
      </c>
      <c r="BG59" s="219"/>
      <c r="BH59" s="219"/>
      <c r="BI59" s="227">
        <v>11</v>
      </c>
      <c r="BJ59" s="227">
        <v>20</v>
      </c>
      <c r="BK59" s="220"/>
      <c r="BL59" s="236">
        <v>0.8</v>
      </c>
      <c r="BM59" s="239">
        <v>0.75</v>
      </c>
      <c r="BN59" s="237"/>
      <c r="BO59" s="238">
        <v>0.95</v>
      </c>
      <c r="BP59" s="229">
        <v>1</v>
      </c>
      <c r="BQ59" s="237">
        <v>2.5000000000000001E-3</v>
      </c>
    </row>
    <row r="60" spans="1:69" s="207" customFormat="1" ht="22.35" customHeight="1" x14ac:dyDescent="0.2">
      <c r="A60" s="216" t="s">
        <v>80</v>
      </c>
      <c r="B60" s="216" t="s">
        <v>100</v>
      </c>
      <c r="C60" s="216" t="s">
        <v>113</v>
      </c>
      <c r="D60" s="217">
        <v>3.0026688585555599</v>
      </c>
      <c r="E60" s="218"/>
      <c r="F60" s="219">
        <v>0.05</v>
      </c>
      <c r="G60" s="219">
        <v>4.7E-2</v>
      </c>
      <c r="H60" s="220"/>
      <c r="I60" s="221">
        <v>4</v>
      </c>
      <c r="J60" s="221">
        <v>4</v>
      </c>
      <c r="K60" s="218"/>
      <c r="L60" s="222">
        <v>1197.3513600000001</v>
      </c>
      <c r="M60" s="222">
        <v>785.22547999999995</v>
      </c>
      <c r="N60" s="222">
        <v>1982.5768399999999</v>
      </c>
      <c r="O60" s="217">
        <v>660.27155620274596</v>
      </c>
      <c r="P60" s="223">
        <v>239.26400000000001</v>
      </c>
      <c r="Q60" s="229">
        <v>2.7595942398469702</v>
      </c>
      <c r="R60" s="230">
        <v>1198.05066654341</v>
      </c>
      <c r="S60" s="219">
        <v>0.01</v>
      </c>
      <c r="T60" s="219">
        <v>0.01</v>
      </c>
      <c r="U60" s="226">
        <v>0</v>
      </c>
      <c r="V60" s="227">
        <v>0</v>
      </c>
      <c r="W60" s="218"/>
      <c r="X60" s="226">
        <v>2018.4277300000001</v>
      </c>
      <c r="Y60" s="217">
        <v>672.21123110157805</v>
      </c>
      <c r="Z60" s="228">
        <v>573</v>
      </c>
      <c r="AA60" s="229">
        <v>1.17314350977588</v>
      </c>
      <c r="AB60" s="230">
        <v>139.60978250004899</v>
      </c>
      <c r="AC60" s="219">
        <v>0.02</v>
      </c>
      <c r="AD60" s="219">
        <v>1.7000000000000001E-2</v>
      </c>
      <c r="AE60" s="227">
        <v>0</v>
      </c>
      <c r="AF60" s="227">
        <v>47</v>
      </c>
      <c r="AG60" s="218"/>
      <c r="AH60" s="231">
        <v>169.8</v>
      </c>
      <c r="AI60" s="217">
        <v>56.549692289972597</v>
      </c>
      <c r="AJ60" s="232" t="s">
        <v>53</v>
      </c>
      <c r="AK60" s="239">
        <v>0.89761416333289901</v>
      </c>
      <c r="AL60" s="222">
        <v>-36.771606793188298</v>
      </c>
      <c r="AM60" s="219"/>
      <c r="AN60" s="219"/>
      <c r="AO60" s="227">
        <v>20</v>
      </c>
      <c r="AP60" s="227">
        <v>58</v>
      </c>
      <c r="AQ60" s="218"/>
      <c r="AR60" s="231">
        <v>31.5</v>
      </c>
      <c r="AS60" s="217">
        <v>10.4906672976098</v>
      </c>
      <c r="AT60" s="232" t="s">
        <v>54</v>
      </c>
      <c r="AU60" s="224">
        <v>0.65566670610060995</v>
      </c>
      <c r="AV60" s="225">
        <v>-20.9626302966828</v>
      </c>
      <c r="AW60" s="219"/>
      <c r="AX60" s="219"/>
      <c r="AY60" s="227">
        <v>17</v>
      </c>
      <c r="AZ60" s="227">
        <v>27</v>
      </c>
      <c r="BA60" s="218"/>
      <c r="BB60" s="235">
        <v>130.80000000000001</v>
      </c>
      <c r="BC60" s="231">
        <v>43.561247064360501</v>
      </c>
      <c r="BD60" s="232" t="s">
        <v>55</v>
      </c>
      <c r="BE60" s="229">
        <v>1.3612889707612701</v>
      </c>
      <c r="BF60" s="230">
        <v>25.8747394066345</v>
      </c>
      <c r="BG60" s="219">
        <v>0.02</v>
      </c>
      <c r="BH60" s="219">
        <v>0.02</v>
      </c>
      <c r="BI60" s="227">
        <v>0</v>
      </c>
      <c r="BJ60" s="227">
        <v>0</v>
      </c>
      <c r="BK60" s="220"/>
      <c r="BL60" s="236">
        <v>0.8</v>
      </c>
      <c r="BM60" s="239">
        <v>0.73</v>
      </c>
      <c r="BN60" s="237"/>
      <c r="BO60" s="238">
        <v>0.95</v>
      </c>
      <c r="BP60" s="229">
        <v>1</v>
      </c>
      <c r="BQ60" s="237">
        <v>2.5000000000000001E-3</v>
      </c>
    </row>
    <row r="61" spans="1:69" s="207" customFormat="1" ht="22.35" customHeight="1" x14ac:dyDescent="0.2">
      <c r="A61" s="216" t="s">
        <v>80</v>
      </c>
      <c r="B61" s="216" t="s">
        <v>100</v>
      </c>
      <c r="C61" s="216" t="s">
        <v>114</v>
      </c>
      <c r="D61" s="217">
        <v>8.0969419465555603</v>
      </c>
      <c r="E61" s="218"/>
      <c r="F61" s="219">
        <v>4.4999999999999998E-2</v>
      </c>
      <c r="G61" s="219">
        <v>2.9000000000000001E-2</v>
      </c>
      <c r="H61" s="220"/>
      <c r="I61" s="221">
        <v>4</v>
      </c>
      <c r="J61" s="221">
        <v>4</v>
      </c>
      <c r="K61" s="218"/>
      <c r="L61" s="222">
        <v>4538.8215399999999</v>
      </c>
      <c r="M61" s="222">
        <v>3400.4379800000002</v>
      </c>
      <c r="N61" s="222">
        <v>7939.2595199999996</v>
      </c>
      <c r="O61" s="217">
        <v>980.52568147377701</v>
      </c>
      <c r="P61" s="223">
        <v>262.83</v>
      </c>
      <c r="Q61" s="229">
        <v>3.7306459744845601</v>
      </c>
      <c r="R61" s="230">
        <v>5615.3532970199904</v>
      </c>
      <c r="S61" s="219">
        <v>0.01</v>
      </c>
      <c r="T61" s="219">
        <v>0.01</v>
      </c>
      <c r="U61" s="226">
        <v>0</v>
      </c>
      <c r="V61" s="227">
        <v>0</v>
      </c>
      <c r="W61" s="218"/>
      <c r="X61" s="226">
        <v>4865.2485100000004</v>
      </c>
      <c r="Y61" s="217">
        <v>600.87481695106896</v>
      </c>
      <c r="Z61" s="228">
        <v>573</v>
      </c>
      <c r="AA61" s="233">
        <v>1.0486471500018699</v>
      </c>
      <c r="AB61" s="234">
        <v>-201.13761703096</v>
      </c>
      <c r="AC61" s="219">
        <v>1.4999999999999999E-2</v>
      </c>
      <c r="AD61" s="219">
        <v>5.0000000000000001E-3</v>
      </c>
      <c r="AE61" s="227">
        <v>0</v>
      </c>
      <c r="AF61" s="227">
        <v>703</v>
      </c>
      <c r="AG61" s="218"/>
      <c r="AH61" s="231">
        <v>415.3</v>
      </c>
      <c r="AI61" s="217">
        <v>51.290969200621298</v>
      </c>
      <c r="AJ61" s="232" t="s">
        <v>53</v>
      </c>
      <c r="AK61" s="239">
        <v>0.81414236826383102</v>
      </c>
      <c r="AL61" s="222">
        <v>-141.73721815523601</v>
      </c>
      <c r="AM61" s="219"/>
      <c r="AN61" s="219"/>
      <c r="AO61" s="227">
        <v>95</v>
      </c>
      <c r="AP61" s="227">
        <v>197</v>
      </c>
      <c r="AQ61" s="218"/>
      <c r="AR61" s="231">
        <v>35.9</v>
      </c>
      <c r="AS61" s="217">
        <v>4.43377268071829</v>
      </c>
      <c r="AT61" s="232" t="s">
        <v>54</v>
      </c>
      <c r="AU61" s="224">
        <v>0.27711079254489301</v>
      </c>
      <c r="AV61" s="225">
        <v>-105.569769690219</v>
      </c>
      <c r="AW61" s="219"/>
      <c r="AX61" s="219"/>
      <c r="AY61" s="227">
        <v>94</v>
      </c>
      <c r="AZ61" s="227">
        <v>120</v>
      </c>
      <c r="BA61" s="218"/>
      <c r="BB61" s="235">
        <v>294.60000000000002</v>
      </c>
      <c r="BC61" s="231">
        <v>36.384106733693798</v>
      </c>
      <c r="BD61" s="232" t="s">
        <v>55</v>
      </c>
      <c r="BE61" s="229">
        <v>1.1370033354279301</v>
      </c>
      <c r="BF61" s="230">
        <v>11.6604606195625</v>
      </c>
      <c r="BG61" s="219">
        <v>0.02</v>
      </c>
      <c r="BH61" s="219">
        <v>1.4E-2</v>
      </c>
      <c r="BI61" s="227">
        <v>0</v>
      </c>
      <c r="BJ61" s="227">
        <v>17</v>
      </c>
      <c r="BK61" s="220"/>
      <c r="BL61" s="236">
        <v>0.8</v>
      </c>
      <c r="BM61" s="224">
        <v>0.68</v>
      </c>
      <c r="BN61" s="237"/>
      <c r="BO61" s="238">
        <v>0.95</v>
      </c>
      <c r="BP61" s="229">
        <v>1</v>
      </c>
      <c r="BQ61" s="237">
        <v>2.5000000000000001E-3</v>
      </c>
    </row>
    <row r="62" spans="1:69" s="207" customFormat="1" ht="22.35" customHeight="1" x14ac:dyDescent="0.2">
      <c r="A62" s="216" t="s">
        <v>80</v>
      </c>
      <c r="B62" s="216" t="s">
        <v>100</v>
      </c>
      <c r="C62" s="216" t="s">
        <v>115</v>
      </c>
      <c r="D62" s="217">
        <v>1.895420369</v>
      </c>
      <c r="E62" s="218"/>
      <c r="F62" s="219">
        <v>5.8000000000000003E-2</v>
      </c>
      <c r="G62" s="219">
        <v>4.3999999999999997E-2</v>
      </c>
      <c r="H62" s="220"/>
      <c r="I62" s="221">
        <v>5</v>
      </c>
      <c r="J62" s="221">
        <v>4</v>
      </c>
      <c r="K62" s="218"/>
      <c r="L62" s="222">
        <v>2330.3993599999999</v>
      </c>
      <c r="M62" s="222">
        <v>412.32677999999999</v>
      </c>
      <c r="N62" s="222">
        <v>2742.7261400000002</v>
      </c>
      <c r="O62" s="217">
        <v>1447.0278914682301</v>
      </c>
      <c r="P62" s="223">
        <v>248.27199999999999</v>
      </c>
      <c r="Q62" s="229">
        <v>5.8283974490406898</v>
      </c>
      <c r="R62" s="230">
        <v>2228.8529920092101</v>
      </c>
      <c r="S62" s="219">
        <v>0.01</v>
      </c>
      <c r="T62" s="219">
        <v>0.01</v>
      </c>
      <c r="U62" s="226">
        <v>0</v>
      </c>
      <c r="V62" s="227">
        <v>0</v>
      </c>
      <c r="W62" s="218"/>
      <c r="X62" s="226">
        <v>1069.90086</v>
      </c>
      <c r="Y62" s="217">
        <v>564.46626695505302</v>
      </c>
      <c r="Z62" s="228">
        <v>573</v>
      </c>
      <c r="AA62" s="233">
        <v>0.98510692313272896</v>
      </c>
      <c r="AB62" s="234">
        <v>-116.093991609204</v>
      </c>
      <c r="AC62" s="219">
        <v>8.0000000000000002E-3</v>
      </c>
      <c r="AD62" s="219"/>
      <c r="AE62" s="227">
        <v>17</v>
      </c>
      <c r="AF62" s="227">
        <v>234</v>
      </c>
      <c r="AG62" s="218"/>
      <c r="AH62" s="231">
        <v>135.9</v>
      </c>
      <c r="AI62" s="217">
        <v>71.699134515315507</v>
      </c>
      <c r="AJ62" s="232" t="s">
        <v>53</v>
      </c>
      <c r="AK62" s="229">
        <v>1.1380815002431</v>
      </c>
      <c r="AL62" s="230">
        <v>5.5026602942759801</v>
      </c>
      <c r="AM62" s="219">
        <v>0.02</v>
      </c>
      <c r="AN62" s="219">
        <v>1.4E-2</v>
      </c>
      <c r="AO62" s="227">
        <v>0</v>
      </c>
      <c r="AP62" s="227">
        <v>8</v>
      </c>
      <c r="AQ62" s="218"/>
      <c r="AR62" s="231">
        <v>26.9</v>
      </c>
      <c r="AS62" s="217">
        <v>14.1921024169388</v>
      </c>
      <c r="AT62" s="232" t="s">
        <v>54</v>
      </c>
      <c r="AU62" s="239">
        <v>0.88700640105867701</v>
      </c>
      <c r="AV62" s="222">
        <v>-6.2167846871680004</v>
      </c>
      <c r="AW62" s="219"/>
      <c r="AX62" s="219"/>
      <c r="AY62" s="227">
        <v>4</v>
      </c>
      <c r="AZ62" s="227">
        <v>10</v>
      </c>
      <c r="BA62" s="218"/>
      <c r="BB62" s="235">
        <v>82</v>
      </c>
      <c r="BC62" s="231">
        <v>43.262170936393503</v>
      </c>
      <c r="BD62" s="232" t="s">
        <v>55</v>
      </c>
      <c r="BE62" s="229">
        <v>1.3519428417623001</v>
      </c>
      <c r="BF62" s="230">
        <v>15.766430625664</v>
      </c>
      <c r="BG62" s="219">
        <v>0.02</v>
      </c>
      <c r="BH62" s="219">
        <v>0.02</v>
      </c>
      <c r="BI62" s="227">
        <v>0</v>
      </c>
      <c r="BJ62" s="227">
        <v>0</v>
      </c>
      <c r="BK62" s="220"/>
      <c r="BL62" s="236">
        <v>0.8</v>
      </c>
      <c r="BM62" s="239">
        <v>0.8</v>
      </c>
      <c r="BN62" s="237">
        <v>0</v>
      </c>
      <c r="BO62" s="238">
        <v>0.95</v>
      </c>
      <c r="BP62" s="229">
        <v>1</v>
      </c>
      <c r="BQ62" s="237">
        <v>2.5000000000000001E-3</v>
      </c>
    </row>
    <row r="63" spans="1:69" s="207" customFormat="1" ht="22.35" customHeight="1" x14ac:dyDescent="0.2">
      <c r="A63" s="216" t="s">
        <v>80</v>
      </c>
      <c r="B63" s="216" t="s">
        <v>100</v>
      </c>
      <c r="C63" s="216" t="s">
        <v>116</v>
      </c>
      <c r="D63" s="217">
        <v>2.1204174575555599</v>
      </c>
      <c r="E63" s="218"/>
      <c r="F63" s="219">
        <v>5.3999999999999999E-2</v>
      </c>
      <c r="G63" s="219">
        <v>3.5000000000000003E-2</v>
      </c>
      <c r="H63" s="220"/>
      <c r="I63" s="221">
        <v>4</v>
      </c>
      <c r="J63" s="221">
        <v>3</v>
      </c>
      <c r="K63" s="218"/>
      <c r="L63" s="222">
        <v>230.20095000000001</v>
      </c>
      <c r="M63" s="222">
        <v>717.09532000000002</v>
      </c>
      <c r="N63" s="222">
        <v>947.29627000000005</v>
      </c>
      <c r="O63" s="217">
        <v>446.74989192555302</v>
      </c>
      <c r="P63" s="223">
        <v>256.27100000000002</v>
      </c>
      <c r="Q63" s="229">
        <v>1.7432713491794001</v>
      </c>
      <c r="R63" s="230">
        <v>353.901829526379</v>
      </c>
      <c r="S63" s="219">
        <v>0.01</v>
      </c>
      <c r="T63" s="219">
        <v>0.01</v>
      </c>
      <c r="U63" s="226">
        <v>0</v>
      </c>
      <c r="V63" s="227">
        <v>0</v>
      </c>
      <c r="W63" s="218"/>
      <c r="X63" s="226">
        <v>1199.2255</v>
      </c>
      <c r="Y63" s="217">
        <v>565.56103880718001</v>
      </c>
      <c r="Z63" s="228">
        <v>573</v>
      </c>
      <c r="AA63" s="233">
        <v>0.98701751973329899</v>
      </c>
      <c r="AB63" s="234">
        <v>-127.553629871835</v>
      </c>
      <c r="AC63" s="219">
        <v>8.0000000000000002E-3</v>
      </c>
      <c r="AD63" s="219"/>
      <c r="AE63" s="227">
        <v>16</v>
      </c>
      <c r="AF63" s="227">
        <v>259</v>
      </c>
      <c r="AG63" s="218"/>
      <c r="AH63" s="231">
        <v>140.5</v>
      </c>
      <c r="AI63" s="217">
        <v>66.2605372821115</v>
      </c>
      <c r="AJ63" s="232" t="s">
        <v>53</v>
      </c>
      <c r="AK63" s="233">
        <v>1.0517545600335201</v>
      </c>
      <c r="AL63" s="234">
        <v>-5.3762394099923103</v>
      </c>
      <c r="AM63" s="219">
        <v>1.6E-2</v>
      </c>
      <c r="AN63" s="219">
        <v>5.0000000000000001E-3</v>
      </c>
      <c r="AO63" s="227">
        <v>0</v>
      </c>
      <c r="AP63" s="227">
        <v>20</v>
      </c>
      <c r="AQ63" s="218"/>
      <c r="AR63" s="231">
        <v>12.8</v>
      </c>
      <c r="AS63" s="217">
        <v>6.0365471687617598</v>
      </c>
      <c r="AT63" s="232" t="s">
        <v>54</v>
      </c>
      <c r="AU63" s="224">
        <v>0.37728419804760999</v>
      </c>
      <c r="AV63" s="225">
        <v>-24.247933818410701</v>
      </c>
      <c r="AW63" s="219"/>
      <c r="AX63" s="219"/>
      <c r="AY63" s="227">
        <v>22</v>
      </c>
      <c r="AZ63" s="227">
        <v>28</v>
      </c>
      <c r="BA63" s="218"/>
      <c r="BB63" s="235">
        <v>89.8</v>
      </c>
      <c r="BC63" s="231">
        <v>42.350151230844197</v>
      </c>
      <c r="BD63" s="232" t="s">
        <v>55</v>
      </c>
      <c r="BE63" s="229">
        <v>1.3234422259638801</v>
      </c>
      <c r="BF63" s="230">
        <v>15.7041323631785</v>
      </c>
      <c r="BG63" s="219">
        <v>0.02</v>
      </c>
      <c r="BH63" s="219">
        <v>0.02</v>
      </c>
      <c r="BI63" s="227">
        <v>0</v>
      </c>
      <c r="BJ63" s="227">
        <v>0</v>
      </c>
      <c r="BK63" s="220"/>
      <c r="BL63" s="236">
        <v>0.8</v>
      </c>
      <c r="BM63" s="239">
        <v>0.73</v>
      </c>
      <c r="BN63" s="237"/>
      <c r="BO63" s="238">
        <v>0.95</v>
      </c>
      <c r="BP63" s="224">
        <v>0.71</v>
      </c>
      <c r="BQ63" s="237"/>
    </row>
    <row r="64" spans="1:69" s="207" customFormat="1" ht="22.35" customHeight="1" x14ac:dyDescent="0.2">
      <c r="A64" s="216" t="s">
        <v>80</v>
      </c>
      <c r="B64" s="216" t="s">
        <v>100</v>
      </c>
      <c r="C64" s="216" t="s">
        <v>117</v>
      </c>
      <c r="D64" s="217">
        <v>2.5505437582222199</v>
      </c>
      <c r="E64" s="218"/>
      <c r="F64" s="219">
        <v>0.05</v>
      </c>
      <c r="G64" s="219">
        <v>0.05</v>
      </c>
      <c r="H64" s="220"/>
      <c r="I64" s="221">
        <v>4</v>
      </c>
      <c r="J64" s="221">
        <v>4</v>
      </c>
      <c r="K64" s="218"/>
      <c r="L64" s="222">
        <v>1358.1736599999999</v>
      </c>
      <c r="M64" s="222">
        <v>2832.5041000000001</v>
      </c>
      <c r="N64" s="222">
        <v>4190.6777599999996</v>
      </c>
      <c r="O64" s="217">
        <v>1643.05268101771</v>
      </c>
      <c r="P64" s="223">
        <v>273.43799999999999</v>
      </c>
      <c r="Q64" s="229">
        <v>6.0088673886501098</v>
      </c>
      <c r="R64" s="230">
        <v>3429.0999420964399</v>
      </c>
      <c r="S64" s="219">
        <v>0.01</v>
      </c>
      <c r="T64" s="219">
        <v>0.01</v>
      </c>
      <c r="U64" s="226">
        <v>0</v>
      </c>
      <c r="V64" s="227">
        <v>0</v>
      </c>
      <c r="W64" s="218"/>
      <c r="X64" s="226">
        <v>1775.12745</v>
      </c>
      <c r="Y64" s="217">
        <v>695.98000202015601</v>
      </c>
      <c r="Z64" s="228">
        <v>573</v>
      </c>
      <c r="AA64" s="229">
        <v>1.2146247853754899</v>
      </c>
      <c r="AB64" s="230">
        <v>179.21141178022501</v>
      </c>
      <c r="AC64" s="219">
        <v>0.02</v>
      </c>
      <c r="AD64" s="219">
        <v>0.02</v>
      </c>
      <c r="AE64" s="227">
        <v>0</v>
      </c>
      <c r="AF64" s="227">
        <v>0</v>
      </c>
      <c r="AG64" s="218"/>
      <c r="AH64" s="231">
        <v>125.45</v>
      </c>
      <c r="AI64" s="217">
        <v>49.185590168992398</v>
      </c>
      <c r="AJ64" s="232" t="s">
        <v>53</v>
      </c>
      <c r="AK64" s="239">
        <v>0.78072365347607098</v>
      </c>
      <c r="AL64" s="222">
        <v>-50.017208390655902</v>
      </c>
      <c r="AM64" s="219"/>
      <c r="AN64" s="219"/>
      <c r="AO64" s="227">
        <v>36</v>
      </c>
      <c r="AP64" s="227">
        <v>68</v>
      </c>
      <c r="AQ64" s="218"/>
      <c r="AR64" s="231">
        <v>10.6</v>
      </c>
      <c r="AS64" s="217">
        <v>4.1559765308196104</v>
      </c>
      <c r="AT64" s="232" t="s">
        <v>54</v>
      </c>
      <c r="AU64" s="224">
        <v>0.25974853317622598</v>
      </c>
      <c r="AV64" s="225">
        <v>-33.963100543658598</v>
      </c>
      <c r="AW64" s="219"/>
      <c r="AX64" s="219"/>
      <c r="AY64" s="227">
        <v>31</v>
      </c>
      <c r="AZ64" s="227">
        <v>39</v>
      </c>
      <c r="BA64" s="218"/>
      <c r="BB64" s="235">
        <v>100.8</v>
      </c>
      <c r="BC64" s="231">
        <v>39.520984368548703</v>
      </c>
      <c r="BD64" s="232" t="s">
        <v>55</v>
      </c>
      <c r="BE64" s="229">
        <v>1.2350307615171501</v>
      </c>
      <c r="BF64" s="230">
        <v>11.673798912682701</v>
      </c>
      <c r="BG64" s="219">
        <v>0.02</v>
      </c>
      <c r="BH64" s="219">
        <v>0.02</v>
      </c>
      <c r="BI64" s="227">
        <v>0</v>
      </c>
      <c r="BJ64" s="227">
        <v>0</v>
      </c>
      <c r="BK64" s="220"/>
      <c r="BL64" s="236">
        <v>0.8</v>
      </c>
      <c r="BM64" s="224">
        <v>0.66</v>
      </c>
      <c r="BN64" s="237"/>
      <c r="BO64" s="238">
        <v>0.95</v>
      </c>
      <c r="BP64" s="229">
        <v>1</v>
      </c>
      <c r="BQ64" s="237">
        <v>2.5000000000000001E-3</v>
      </c>
    </row>
    <row r="65" spans="1:69" s="207" customFormat="1" ht="22.35" customHeight="1" x14ac:dyDescent="0.2">
      <c r="A65" s="216" t="s">
        <v>80</v>
      </c>
      <c r="B65" s="216" t="s">
        <v>118</v>
      </c>
      <c r="C65" s="216" t="s">
        <v>119</v>
      </c>
      <c r="D65" s="217">
        <v>2.7952903572222199</v>
      </c>
      <c r="E65" s="218"/>
      <c r="F65" s="219">
        <v>0.03</v>
      </c>
      <c r="G65" s="219">
        <v>0.03</v>
      </c>
      <c r="H65" s="220"/>
      <c r="I65" s="221">
        <v>2</v>
      </c>
      <c r="J65" s="221">
        <v>2</v>
      </c>
      <c r="K65" s="218"/>
      <c r="L65" s="222">
        <v>2630.0652</v>
      </c>
      <c r="M65" s="222">
        <v>880.678</v>
      </c>
      <c r="N65" s="222">
        <v>3510.7431999999999</v>
      </c>
      <c r="O65" s="217">
        <v>1255.9493831934999</v>
      </c>
      <c r="P65" s="223">
        <v>264.72899999999998</v>
      </c>
      <c r="Q65" s="229">
        <v>4.7442833357641199</v>
      </c>
      <c r="R65" s="230">
        <v>2702.6692922930301</v>
      </c>
      <c r="S65" s="219">
        <v>0.01</v>
      </c>
      <c r="T65" s="219">
        <v>0.01</v>
      </c>
      <c r="U65" s="226">
        <v>0</v>
      </c>
      <c r="V65" s="227">
        <v>0</v>
      </c>
      <c r="W65" s="218"/>
      <c r="X65" s="226">
        <v>1389.47047</v>
      </c>
      <c r="Y65" s="217">
        <v>497.07554222766498</v>
      </c>
      <c r="Z65" s="228">
        <v>573</v>
      </c>
      <c r="AA65" s="239">
        <v>0.86749658329435397</v>
      </c>
      <c r="AB65" s="222">
        <v>-359.58743115965899</v>
      </c>
      <c r="AC65" s="219"/>
      <c r="AD65" s="219"/>
      <c r="AE65" s="227">
        <v>213</v>
      </c>
      <c r="AF65" s="227">
        <v>533</v>
      </c>
      <c r="AG65" s="218"/>
      <c r="AH65" s="231">
        <v>150.75</v>
      </c>
      <c r="AI65" s="217">
        <v>53.929996792821697</v>
      </c>
      <c r="AJ65" s="232" t="s">
        <v>53</v>
      </c>
      <c r="AK65" s="239">
        <v>0.856031695124154</v>
      </c>
      <c r="AL65" s="222">
        <v>-41.5547954154599</v>
      </c>
      <c r="AM65" s="219"/>
      <c r="AN65" s="219"/>
      <c r="AO65" s="227">
        <v>26</v>
      </c>
      <c r="AP65" s="227">
        <v>61</v>
      </c>
      <c r="AQ65" s="218"/>
      <c r="AR65" s="231">
        <v>14</v>
      </c>
      <c r="AS65" s="217">
        <v>5.0084242460995299</v>
      </c>
      <c r="AT65" s="232" t="s">
        <v>54</v>
      </c>
      <c r="AU65" s="224">
        <v>0.313026515381221</v>
      </c>
      <c r="AV65" s="225">
        <v>-34.839313121386603</v>
      </c>
      <c r="AW65" s="219"/>
      <c r="AX65" s="219"/>
      <c r="AY65" s="227">
        <v>31</v>
      </c>
      <c r="AZ65" s="227">
        <v>40</v>
      </c>
      <c r="BA65" s="218"/>
      <c r="BB65" s="235">
        <v>124.2</v>
      </c>
      <c r="BC65" s="231">
        <v>44.431877954683003</v>
      </c>
      <c r="BD65" s="232" t="s">
        <v>55</v>
      </c>
      <c r="BE65" s="229">
        <v>1.3884961860838401</v>
      </c>
      <c r="BF65" s="230">
        <v>26.521373757226701</v>
      </c>
      <c r="BG65" s="219">
        <v>0.02</v>
      </c>
      <c r="BH65" s="219">
        <v>0.02</v>
      </c>
      <c r="BI65" s="227">
        <v>0</v>
      </c>
      <c r="BJ65" s="227">
        <v>0</v>
      </c>
      <c r="BK65" s="220"/>
      <c r="BL65" s="236">
        <v>0.8</v>
      </c>
      <c r="BM65" s="224">
        <v>0.68</v>
      </c>
      <c r="BN65" s="237"/>
      <c r="BO65" s="238">
        <v>0.95</v>
      </c>
      <c r="BP65" s="239">
        <v>0.9</v>
      </c>
      <c r="BQ65" s="237"/>
    </row>
    <row r="66" spans="1:69" s="207" customFormat="1" ht="22.35" customHeight="1" x14ac:dyDescent="0.2">
      <c r="A66" s="216" t="s">
        <v>80</v>
      </c>
      <c r="B66" s="216" t="s">
        <v>118</v>
      </c>
      <c r="C66" s="216" t="s">
        <v>120</v>
      </c>
      <c r="D66" s="217">
        <v>1.42108807377778</v>
      </c>
      <c r="E66" s="218"/>
      <c r="F66" s="219">
        <v>0.03</v>
      </c>
      <c r="G66" s="219">
        <v>0.03</v>
      </c>
      <c r="H66" s="220"/>
      <c r="I66" s="221">
        <v>3</v>
      </c>
      <c r="J66" s="221">
        <v>3</v>
      </c>
      <c r="K66" s="218"/>
      <c r="L66" s="222">
        <v>2098.7774300000001</v>
      </c>
      <c r="M66" s="222">
        <v>1270.84374</v>
      </c>
      <c r="N66" s="222">
        <v>3369.6211699999999</v>
      </c>
      <c r="O66" s="217">
        <v>2371.1557588702399</v>
      </c>
      <c r="P66" s="223">
        <v>287.5</v>
      </c>
      <c r="Q66" s="229">
        <v>8.2474982917225699</v>
      </c>
      <c r="R66" s="230">
        <v>2923.47056923747</v>
      </c>
      <c r="S66" s="219">
        <v>0.01</v>
      </c>
      <c r="T66" s="219">
        <v>0.01</v>
      </c>
      <c r="U66" s="226">
        <v>0</v>
      </c>
      <c r="V66" s="227">
        <v>0</v>
      </c>
      <c r="W66" s="218"/>
      <c r="X66" s="226">
        <v>981.08911000000001</v>
      </c>
      <c r="Y66" s="217">
        <v>690.37882176570702</v>
      </c>
      <c r="Z66" s="228">
        <v>573</v>
      </c>
      <c r="AA66" s="229">
        <v>1.20484960168535</v>
      </c>
      <c r="AB66" s="230">
        <v>91.891564828062798</v>
      </c>
      <c r="AC66" s="219">
        <v>0.02</v>
      </c>
      <c r="AD66" s="219">
        <v>0.02</v>
      </c>
      <c r="AE66" s="227">
        <v>0</v>
      </c>
      <c r="AF66" s="227">
        <v>0</v>
      </c>
      <c r="AG66" s="218"/>
      <c r="AH66" s="231">
        <v>61.2</v>
      </c>
      <c r="AI66" s="217">
        <v>43.065592576051799</v>
      </c>
      <c r="AJ66" s="232" t="s">
        <v>53</v>
      </c>
      <c r="AK66" s="224">
        <v>0.683580834540504</v>
      </c>
      <c r="AL66" s="225">
        <v>-36.5651751236161</v>
      </c>
      <c r="AM66" s="219"/>
      <c r="AN66" s="219"/>
      <c r="AO66" s="227">
        <v>29</v>
      </c>
      <c r="AP66" s="227">
        <v>47</v>
      </c>
      <c r="AQ66" s="218"/>
      <c r="AR66" s="231">
        <v>10.6</v>
      </c>
      <c r="AS66" s="217">
        <v>7.4590732239566799</v>
      </c>
      <c r="AT66" s="232" t="s">
        <v>54</v>
      </c>
      <c r="AU66" s="224">
        <v>0.466192076497292</v>
      </c>
      <c r="AV66" s="225">
        <v>-14.2292508250454</v>
      </c>
      <c r="AW66" s="219"/>
      <c r="AX66" s="219"/>
      <c r="AY66" s="227">
        <v>13</v>
      </c>
      <c r="AZ66" s="227">
        <v>17</v>
      </c>
      <c r="BA66" s="218"/>
      <c r="BB66" s="235">
        <v>40.6</v>
      </c>
      <c r="BC66" s="231">
        <v>28.569657820060499</v>
      </c>
      <c r="BD66" s="232" t="s">
        <v>55</v>
      </c>
      <c r="BE66" s="239">
        <v>0.89280180687689004</v>
      </c>
      <c r="BF66" s="222">
        <v>-9.05850165009074</v>
      </c>
      <c r="BG66" s="219"/>
      <c r="BH66" s="219"/>
      <c r="BI66" s="227">
        <v>5</v>
      </c>
      <c r="BJ66" s="227">
        <v>14</v>
      </c>
      <c r="BK66" s="220"/>
      <c r="BL66" s="236">
        <v>0.8</v>
      </c>
      <c r="BM66" s="239">
        <v>0.75</v>
      </c>
      <c r="BN66" s="237"/>
      <c r="BO66" s="238">
        <v>0.95</v>
      </c>
      <c r="BP66" s="229">
        <v>1</v>
      </c>
      <c r="BQ66" s="237">
        <v>2.5000000000000001E-3</v>
      </c>
    </row>
    <row r="67" spans="1:69" s="207" customFormat="1" ht="22.35" customHeight="1" x14ac:dyDescent="0.2">
      <c r="A67" s="216" t="s">
        <v>80</v>
      </c>
      <c r="B67" s="216" t="s">
        <v>118</v>
      </c>
      <c r="C67" s="216" t="s">
        <v>121</v>
      </c>
      <c r="D67" s="217">
        <v>4.3565891625555597</v>
      </c>
      <c r="E67" s="218"/>
      <c r="F67" s="219">
        <v>0.03</v>
      </c>
      <c r="G67" s="219">
        <v>0.03</v>
      </c>
      <c r="H67" s="220"/>
      <c r="I67" s="221">
        <v>3</v>
      </c>
      <c r="J67" s="221">
        <v>3</v>
      </c>
      <c r="K67" s="218"/>
      <c r="L67" s="222">
        <v>3638.6355400000002</v>
      </c>
      <c r="M67" s="222">
        <v>2011.29115</v>
      </c>
      <c r="N67" s="222">
        <v>5649.9266900000002</v>
      </c>
      <c r="O67" s="217">
        <v>1296.8692890668999</v>
      </c>
      <c r="P67" s="223">
        <v>287.5</v>
      </c>
      <c r="Q67" s="229">
        <v>4.5108497011022601</v>
      </c>
      <c r="R67" s="230">
        <v>4282.1755224156796</v>
      </c>
      <c r="S67" s="219">
        <v>0.01</v>
      </c>
      <c r="T67" s="219">
        <v>0.01</v>
      </c>
      <c r="U67" s="226">
        <v>0</v>
      </c>
      <c r="V67" s="227">
        <v>0</v>
      </c>
      <c r="W67" s="218"/>
      <c r="X67" s="226">
        <v>1955.762305</v>
      </c>
      <c r="Y67" s="217">
        <v>448.92052751027802</v>
      </c>
      <c r="Z67" s="228">
        <v>573</v>
      </c>
      <c r="AA67" s="239">
        <v>0.78345641799350396</v>
      </c>
      <c r="AB67" s="222">
        <v>-770.22523943761496</v>
      </c>
      <c r="AC67" s="219"/>
      <c r="AD67" s="219"/>
      <c r="AE67" s="227">
        <v>541</v>
      </c>
      <c r="AF67" s="227">
        <v>1040</v>
      </c>
      <c r="AG67" s="218"/>
      <c r="AH67" s="231">
        <v>153.9</v>
      </c>
      <c r="AI67" s="217">
        <v>35.325800587935902</v>
      </c>
      <c r="AJ67" s="232" t="s">
        <v>53</v>
      </c>
      <c r="AK67" s="224">
        <v>0.56072699345929899</v>
      </c>
      <c r="AL67" s="225">
        <v>-145.81590802717199</v>
      </c>
      <c r="AM67" s="219"/>
      <c r="AN67" s="219"/>
      <c r="AO67" s="227">
        <v>121</v>
      </c>
      <c r="AP67" s="227">
        <v>176</v>
      </c>
      <c r="AQ67" s="218"/>
      <c r="AR67" s="231">
        <v>45.4</v>
      </c>
      <c r="AS67" s="217">
        <v>10.420996404758201</v>
      </c>
      <c r="AT67" s="232" t="s">
        <v>54</v>
      </c>
      <c r="AU67" s="224">
        <v>0.651312275297387</v>
      </c>
      <c r="AV67" s="225">
        <v>-30.7183258481707</v>
      </c>
      <c r="AW67" s="219"/>
      <c r="AX67" s="219"/>
      <c r="AY67" s="227">
        <v>25</v>
      </c>
      <c r="AZ67" s="227">
        <v>39</v>
      </c>
      <c r="BA67" s="218"/>
      <c r="BB67" s="235">
        <v>193.6</v>
      </c>
      <c r="BC67" s="231">
        <v>44.438434007955699</v>
      </c>
      <c r="BD67" s="232" t="s">
        <v>55</v>
      </c>
      <c r="BE67" s="229">
        <v>1.38870106274862</v>
      </c>
      <c r="BF67" s="230">
        <v>41.363348303658498</v>
      </c>
      <c r="BG67" s="219">
        <v>0.02</v>
      </c>
      <c r="BH67" s="219">
        <v>0.02</v>
      </c>
      <c r="BI67" s="227">
        <v>0</v>
      </c>
      <c r="BJ67" s="227">
        <v>0</v>
      </c>
      <c r="BK67" s="220"/>
      <c r="BL67" s="236">
        <v>0.8</v>
      </c>
      <c r="BM67" s="239">
        <v>0.75</v>
      </c>
      <c r="BN67" s="237"/>
      <c r="BO67" s="238">
        <v>0.95</v>
      </c>
      <c r="BP67" s="229">
        <v>1</v>
      </c>
      <c r="BQ67" s="237">
        <v>2.5000000000000001E-3</v>
      </c>
    </row>
    <row r="68" spans="1:69" s="207" customFormat="1" ht="22.35" customHeight="1" x14ac:dyDescent="0.2">
      <c r="A68" s="216" t="s">
        <v>80</v>
      </c>
      <c r="B68" s="216" t="s">
        <v>118</v>
      </c>
      <c r="C68" s="216" t="s">
        <v>122</v>
      </c>
      <c r="D68" s="217">
        <v>4.5469934366666704</v>
      </c>
      <c r="E68" s="218"/>
      <c r="F68" s="219">
        <v>5.6000000000000001E-2</v>
      </c>
      <c r="G68" s="219">
        <v>3.6999999999999998E-2</v>
      </c>
      <c r="H68" s="220"/>
      <c r="I68" s="221">
        <v>5</v>
      </c>
      <c r="J68" s="221">
        <v>5</v>
      </c>
      <c r="K68" s="218"/>
      <c r="L68" s="222">
        <v>4450.64534</v>
      </c>
      <c r="M68" s="222">
        <v>1574.8201200000001</v>
      </c>
      <c r="N68" s="222">
        <v>6025.4654600000003</v>
      </c>
      <c r="O68" s="217">
        <v>1325.15376235449</v>
      </c>
      <c r="P68" s="223">
        <v>287.5</v>
      </c>
      <c r="Q68" s="229">
        <v>4.6092304777547497</v>
      </c>
      <c r="R68" s="230">
        <v>4597.9368705585002</v>
      </c>
      <c r="S68" s="219">
        <v>0.01</v>
      </c>
      <c r="T68" s="219">
        <v>0.01</v>
      </c>
      <c r="U68" s="226">
        <v>0</v>
      </c>
      <c r="V68" s="227">
        <v>0</v>
      </c>
      <c r="W68" s="218"/>
      <c r="X68" s="226">
        <v>2752.2470450000001</v>
      </c>
      <c r="Y68" s="217">
        <v>605.28942549291003</v>
      </c>
      <c r="Z68" s="228">
        <v>573</v>
      </c>
      <c r="AA68" s="233">
        <v>1.05635152791084</v>
      </c>
      <c r="AB68" s="234">
        <v>-92.879500217322004</v>
      </c>
      <c r="AC68" s="219">
        <v>1.6E-2</v>
      </c>
      <c r="AD68" s="219">
        <v>6.0000000000000001E-3</v>
      </c>
      <c r="AE68" s="227">
        <v>0</v>
      </c>
      <c r="AF68" s="227">
        <v>375</v>
      </c>
      <c r="AG68" s="218"/>
      <c r="AH68" s="231">
        <v>287.05</v>
      </c>
      <c r="AI68" s="217">
        <v>63.129627081765101</v>
      </c>
      <c r="AJ68" s="232" t="s">
        <v>53</v>
      </c>
      <c r="AK68" s="233">
        <v>1.00205757272643</v>
      </c>
      <c r="AL68" s="234">
        <v>-25.764960468920201</v>
      </c>
      <c r="AM68" s="219">
        <v>0.01</v>
      </c>
      <c r="AN68" s="219">
        <v>1E-3</v>
      </c>
      <c r="AO68" s="227">
        <v>0</v>
      </c>
      <c r="AP68" s="227">
        <v>57</v>
      </c>
      <c r="AQ68" s="218"/>
      <c r="AR68" s="231">
        <v>40.200000000000003</v>
      </c>
      <c r="AS68" s="217">
        <v>8.8410068235044594</v>
      </c>
      <c r="AT68" s="232" t="s">
        <v>54</v>
      </c>
      <c r="AU68" s="224">
        <v>0.55256292646902905</v>
      </c>
      <c r="AV68" s="225">
        <v>-39.245069325440099</v>
      </c>
      <c r="AW68" s="219"/>
      <c r="AX68" s="219"/>
      <c r="AY68" s="227">
        <v>33</v>
      </c>
      <c r="AZ68" s="227">
        <v>48</v>
      </c>
      <c r="BA68" s="218"/>
      <c r="BB68" s="235">
        <v>211.8</v>
      </c>
      <c r="BC68" s="231">
        <v>46.580229980553298</v>
      </c>
      <c r="BD68" s="232" t="s">
        <v>55</v>
      </c>
      <c r="BE68" s="229">
        <v>1.4556321868922899</v>
      </c>
      <c r="BF68" s="230">
        <v>52.9098613491199</v>
      </c>
      <c r="BG68" s="219">
        <v>0.02</v>
      </c>
      <c r="BH68" s="219">
        <v>0.02</v>
      </c>
      <c r="BI68" s="227">
        <v>0</v>
      </c>
      <c r="BJ68" s="227">
        <v>0</v>
      </c>
      <c r="BK68" s="220"/>
      <c r="BL68" s="236">
        <v>0.8</v>
      </c>
      <c r="BM68" s="239">
        <v>0.77</v>
      </c>
      <c r="BN68" s="237"/>
      <c r="BO68" s="238">
        <v>0.95</v>
      </c>
      <c r="BP68" s="229">
        <v>1</v>
      </c>
      <c r="BQ68" s="237">
        <v>2.5000000000000001E-3</v>
      </c>
    </row>
    <row r="69" spans="1:69" s="207" customFormat="1" ht="22.35" customHeight="1" x14ac:dyDescent="0.2">
      <c r="A69" s="216" t="s">
        <v>80</v>
      </c>
      <c r="B69" s="216" t="s">
        <v>118</v>
      </c>
      <c r="C69" s="216" t="s">
        <v>123</v>
      </c>
      <c r="D69" s="217">
        <v>1.5103209235555599</v>
      </c>
      <c r="E69" s="218"/>
      <c r="F69" s="219">
        <v>3.5999999999999997E-2</v>
      </c>
      <c r="G69" s="219">
        <v>1.2500000000000001E-2</v>
      </c>
      <c r="H69" s="220"/>
      <c r="I69" s="221">
        <v>4</v>
      </c>
      <c r="J69" s="221">
        <v>3</v>
      </c>
      <c r="K69" s="218"/>
      <c r="L69" s="222">
        <v>542.33698000000004</v>
      </c>
      <c r="M69" s="222">
        <v>-323.46710999999999</v>
      </c>
      <c r="N69" s="222">
        <v>218.86986999999999</v>
      </c>
      <c r="O69" s="217">
        <v>144.91613443634401</v>
      </c>
      <c r="P69" s="223">
        <v>287.5</v>
      </c>
      <c r="Q69" s="224">
        <v>0.504056119778588</v>
      </c>
      <c r="R69" s="225">
        <v>-255.29538395026799</v>
      </c>
      <c r="S69" s="219"/>
      <c r="T69" s="219"/>
      <c r="U69" s="226">
        <v>216</v>
      </c>
      <c r="V69" s="227">
        <v>303</v>
      </c>
      <c r="W69" s="218"/>
      <c r="X69" s="226">
        <v>620.82729500000005</v>
      </c>
      <c r="Y69" s="217">
        <v>411.05654124056298</v>
      </c>
      <c r="Z69" s="228">
        <v>573</v>
      </c>
      <c r="AA69" s="224">
        <v>0.71737616272349602</v>
      </c>
      <c r="AB69" s="225">
        <v>-324.204672003491</v>
      </c>
      <c r="AC69" s="219"/>
      <c r="AD69" s="219"/>
      <c r="AE69" s="227">
        <v>245</v>
      </c>
      <c r="AF69" s="227">
        <v>418</v>
      </c>
      <c r="AG69" s="218"/>
      <c r="AH69" s="231">
        <v>93.65</v>
      </c>
      <c r="AI69" s="217">
        <v>62.006689134340903</v>
      </c>
      <c r="AJ69" s="232" t="s">
        <v>53</v>
      </c>
      <c r="AK69" s="233">
        <v>0.98423316086255397</v>
      </c>
      <c r="AL69" s="234">
        <v>-10.2540382569283</v>
      </c>
      <c r="AM69" s="219">
        <v>8.0000000000000002E-3</v>
      </c>
      <c r="AN69" s="219"/>
      <c r="AO69" s="227">
        <v>2</v>
      </c>
      <c r="AP69" s="227">
        <v>21</v>
      </c>
      <c r="AQ69" s="218"/>
      <c r="AR69" s="231">
        <v>25.4</v>
      </c>
      <c r="AS69" s="217">
        <v>16.817617768417101</v>
      </c>
      <c r="AT69" s="232" t="s">
        <v>54</v>
      </c>
      <c r="AU69" s="233">
        <v>1.0511011105260699</v>
      </c>
      <c r="AV69" s="234">
        <v>-0.98832717636274103</v>
      </c>
      <c r="AW69" s="219">
        <v>8.0000000000000002E-3</v>
      </c>
      <c r="AX69" s="219">
        <v>2.5000000000000001E-3</v>
      </c>
      <c r="AY69" s="227">
        <v>0</v>
      </c>
      <c r="AZ69" s="227">
        <v>4</v>
      </c>
      <c r="BA69" s="218"/>
      <c r="BB69" s="235">
        <v>53.4</v>
      </c>
      <c r="BC69" s="231">
        <v>35.356723969821701</v>
      </c>
      <c r="BD69" s="232" t="s">
        <v>55</v>
      </c>
      <c r="BE69" s="229">
        <v>1.1048976240569299</v>
      </c>
      <c r="BF69" s="230">
        <v>0.62334564727451203</v>
      </c>
      <c r="BG69" s="219">
        <v>0.02</v>
      </c>
      <c r="BH69" s="219">
        <v>0.01</v>
      </c>
      <c r="BI69" s="227">
        <v>0</v>
      </c>
      <c r="BJ69" s="227">
        <v>5</v>
      </c>
      <c r="BK69" s="220"/>
      <c r="BL69" s="236">
        <v>0.8</v>
      </c>
      <c r="BM69" s="224">
        <v>0.65</v>
      </c>
      <c r="BN69" s="237"/>
      <c r="BO69" s="238">
        <v>0.95</v>
      </c>
      <c r="BP69" s="229">
        <v>1</v>
      </c>
      <c r="BQ69" s="237">
        <v>2.5000000000000001E-3</v>
      </c>
    </row>
    <row r="70" spans="1:69" s="207" customFormat="1" ht="22.35" customHeight="1" x14ac:dyDescent="0.2">
      <c r="A70" s="216" t="s">
        <v>80</v>
      </c>
      <c r="B70" s="216" t="s">
        <v>118</v>
      </c>
      <c r="C70" s="216" t="s">
        <v>124</v>
      </c>
      <c r="D70" s="217">
        <v>3.0536943671111101</v>
      </c>
      <c r="E70" s="218"/>
      <c r="F70" s="219">
        <v>3.4500000000000003E-2</v>
      </c>
      <c r="G70" s="219">
        <v>0.03</v>
      </c>
      <c r="H70" s="220"/>
      <c r="I70" s="221">
        <v>4</v>
      </c>
      <c r="J70" s="221">
        <v>3</v>
      </c>
      <c r="K70" s="218"/>
      <c r="L70" s="222">
        <v>2768.2326800000001</v>
      </c>
      <c r="M70" s="222">
        <v>697.54173000000003</v>
      </c>
      <c r="N70" s="222">
        <v>3465.77441</v>
      </c>
      <c r="O70" s="217">
        <v>1134.94475653067</v>
      </c>
      <c r="P70" s="223">
        <v>253.321</v>
      </c>
      <c r="Q70" s="229">
        <v>4.4802632096457504</v>
      </c>
      <c r="R70" s="230">
        <v>2621.0415274381198</v>
      </c>
      <c r="S70" s="219">
        <v>0.01</v>
      </c>
      <c r="T70" s="219">
        <v>0.01</v>
      </c>
      <c r="U70" s="226">
        <v>0</v>
      </c>
      <c r="V70" s="227">
        <v>0</v>
      </c>
      <c r="W70" s="218"/>
      <c r="X70" s="226">
        <v>1468.09015</v>
      </c>
      <c r="Y70" s="217">
        <v>480.75870519709503</v>
      </c>
      <c r="Z70" s="228">
        <v>573</v>
      </c>
      <c r="AA70" s="239">
        <v>0.83902042791814102</v>
      </c>
      <c r="AB70" s="222">
        <v>-442.655274611295</v>
      </c>
      <c r="AC70" s="219"/>
      <c r="AD70" s="219"/>
      <c r="AE70" s="227">
        <v>282</v>
      </c>
      <c r="AF70" s="227">
        <v>632</v>
      </c>
      <c r="AG70" s="218"/>
      <c r="AH70" s="231">
        <v>121.3</v>
      </c>
      <c r="AI70" s="217">
        <v>39.722377362457998</v>
      </c>
      <c r="AJ70" s="232" t="s">
        <v>53</v>
      </c>
      <c r="AK70" s="224">
        <v>0.63051392638822301</v>
      </c>
      <c r="AL70" s="225">
        <v>-88.7819576797759</v>
      </c>
      <c r="AM70" s="219"/>
      <c r="AN70" s="219"/>
      <c r="AO70" s="227">
        <v>72</v>
      </c>
      <c r="AP70" s="227">
        <v>110</v>
      </c>
      <c r="AQ70" s="218"/>
      <c r="AR70" s="231">
        <v>48.6</v>
      </c>
      <c r="AS70" s="217">
        <v>15.9151487206551</v>
      </c>
      <c r="AT70" s="232" t="s">
        <v>54</v>
      </c>
      <c r="AU70" s="233">
        <v>0.99469679504094199</v>
      </c>
      <c r="AV70" s="234">
        <v>-4.7541479821653096</v>
      </c>
      <c r="AW70" s="219">
        <v>4.4999999999999997E-3</v>
      </c>
      <c r="AX70" s="219"/>
      <c r="AY70" s="227">
        <v>1</v>
      </c>
      <c r="AZ70" s="227">
        <v>11</v>
      </c>
      <c r="BA70" s="218"/>
      <c r="BB70" s="235">
        <v>164</v>
      </c>
      <c r="BC70" s="231">
        <v>53.705440127313402</v>
      </c>
      <c r="BD70" s="232" t="s">
        <v>55</v>
      </c>
      <c r="BE70" s="229">
        <v>1.67829500397854</v>
      </c>
      <c r="BF70" s="230">
        <v>57.291704035669397</v>
      </c>
      <c r="BG70" s="219">
        <v>0.02</v>
      </c>
      <c r="BH70" s="219">
        <v>0.02</v>
      </c>
      <c r="BI70" s="227">
        <v>0</v>
      </c>
      <c r="BJ70" s="227">
        <v>0</v>
      </c>
      <c r="BK70" s="220"/>
      <c r="BL70" s="236">
        <v>0.8</v>
      </c>
      <c r="BM70" s="224">
        <v>0.62</v>
      </c>
      <c r="BN70" s="237"/>
      <c r="BO70" s="238">
        <v>0.95</v>
      </c>
      <c r="BP70" s="229">
        <v>1</v>
      </c>
      <c r="BQ70" s="237">
        <v>2.5000000000000001E-3</v>
      </c>
    </row>
    <row r="71" spans="1:69" s="207" customFormat="1" ht="22.35" customHeight="1" x14ac:dyDescent="0.2">
      <c r="A71" s="216" t="s">
        <v>80</v>
      </c>
      <c r="B71" s="216" t="s">
        <v>118</v>
      </c>
      <c r="C71" s="216" t="s">
        <v>125</v>
      </c>
      <c r="D71" s="217">
        <v>2.1938047859999998</v>
      </c>
      <c r="E71" s="218"/>
      <c r="F71" s="219">
        <v>4.4999999999999998E-2</v>
      </c>
      <c r="G71" s="219">
        <v>3.5000000000000003E-2</v>
      </c>
      <c r="H71" s="220"/>
      <c r="I71" s="221">
        <v>4</v>
      </c>
      <c r="J71" s="221">
        <v>4</v>
      </c>
      <c r="K71" s="218"/>
      <c r="L71" s="222">
        <v>1984.3654300000001</v>
      </c>
      <c r="M71" s="222">
        <v>220.25617</v>
      </c>
      <c r="N71" s="222">
        <v>2204.6215999999999</v>
      </c>
      <c r="O71" s="217">
        <v>1004.93061828884</v>
      </c>
      <c r="P71" s="223">
        <v>252.24799999999999</v>
      </c>
      <c r="Q71" s="229">
        <v>3.9838992510895599</v>
      </c>
      <c r="R71" s="230">
        <v>1600.32750633245</v>
      </c>
      <c r="S71" s="219">
        <v>0.01</v>
      </c>
      <c r="T71" s="219">
        <v>0.01</v>
      </c>
      <c r="U71" s="226">
        <v>0</v>
      </c>
      <c r="V71" s="227">
        <v>0</v>
      </c>
      <c r="W71" s="218"/>
      <c r="X71" s="226">
        <v>1317.896555</v>
      </c>
      <c r="Y71" s="217">
        <v>600.73556380690695</v>
      </c>
      <c r="Z71" s="228">
        <v>573</v>
      </c>
      <c r="AA71" s="233">
        <v>1.0484041253174601</v>
      </c>
      <c r="AB71" s="234">
        <v>-54.802200476775901</v>
      </c>
      <c r="AC71" s="219">
        <v>1.4999999999999999E-2</v>
      </c>
      <c r="AD71" s="219">
        <v>5.0000000000000001E-3</v>
      </c>
      <c r="AE71" s="227">
        <v>0</v>
      </c>
      <c r="AF71" s="227">
        <v>191</v>
      </c>
      <c r="AG71" s="218"/>
      <c r="AH71" s="231">
        <v>118.9</v>
      </c>
      <c r="AI71" s="217">
        <v>54.198076674266098</v>
      </c>
      <c r="AJ71" s="232" t="s">
        <v>53</v>
      </c>
      <c r="AK71" s="239">
        <v>0.86028693133755796</v>
      </c>
      <c r="AL71" s="222">
        <v>-32.024994057656002</v>
      </c>
      <c r="AM71" s="219"/>
      <c r="AN71" s="219"/>
      <c r="AO71" s="227">
        <v>20</v>
      </c>
      <c r="AP71" s="227">
        <v>47</v>
      </c>
      <c r="AQ71" s="218"/>
      <c r="AR71" s="231">
        <v>24.8</v>
      </c>
      <c r="AS71" s="217">
        <v>11.304560988408699</v>
      </c>
      <c r="AT71" s="232" t="s">
        <v>54</v>
      </c>
      <c r="AU71" s="224">
        <v>0.70653506177554604</v>
      </c>
      <c r="AV71" s="225">
        <v>-13.530157220992001</v>
      </c>
      <c r="AW71" s="219"/>
      <c r="AX71" s="219"/>
      <c r="AY71" s="227">
        <v>11</v>
      </c>
      <c r="AZ71" s="227">
        <v>18</v>
      </c>
      <c r="BA71" s="218"/>
      <c r="BB71" s="235">
        <v>85.4</v>
      </c>
      <c r="BC71" s="231">
        <v>38.927802758471998</v>
      </c>
      <c r="BD71" s="232" t="s">
        <v>55</v>
      </c>
      <c r="BE71" s="229">
        <v>1.2164938362022499</v>
      </c>
      <c r="BF71" s="230">
        <v>8.73968555801601</v>
      </c>
      <c r="BG71" s="219">
        <v>0.02</v>
      </c>
      <c r="BH71" s="219">
        <v>0.02</v>
      </c>
      <c r="BI71" s="227">
        <v>0</v>
      </c>
      <c r="BJ71" s="227">
        <v>0</v>
      </c>
      <c r="BK71" s="220"/>
      <c r="BL71" s="236">
        <v>0.8</v>
      </c>
      <c r="BM71" s="239">
        <v>0.74</v>
      </c>
      <c r="BN71" s="237"/>
      <c r="BO71" s="238">
        <v>0.95</v>
      </c>
      <c r="BP71" s="229">
        <v>1</v>
      </c>
      <c r="BQ71" s="237">
        <v>2.5000000000000001E-3</v>
      </c>
    </row>
    <row r="72" spans="1:69" s="207" customFormat="1" ht="22.35" customHeight="1" x14ac:dyDescent="0.2">
      <c r="A72" s="216" t="s">
        <v>80</v>
      </c>
      <c r="B72" s="216" t="s">
        <v>118</v>
      </c>
      <c r="C72" s="216" t="s">
        <v>126</v>
      </c>
      <c r="D72" s="217">
        <v>4.5919046557777801</v>
      </c>
      <c r="E72" s="218"/>
      <c r="F72" s="219">
        <v>0.08</v>
      </c>
      <c r="G72" s="219">
        <v>6.9500000000000006E-2</v>
      </c>
      <c r="H72" s="220"/>
      <c r="I72" s="221">
        <v>6</v>
      </c>
      <c r="J72" s="221">
        <v>6</v>
      </c>
      <c r="K72" s="218"/>
      <c r="L72" s="222">
        <v>2959.4050900000002</v>
      </c>
      <c r="M72" s="222">
        <v>1029.2330199999999</v>
      </c>
      <c r="N72" s="222">
        <v>3988.6381099999999</v>
      </c>
      <c r="O72" s="217">
        <v>868.623895529121</v>
      </c>
      <c r="P72" s="223">
        <v>287.5</v>
      </c>
      <c r="Q72" s="229">
        <v>3.0213005061882501</v>
      </c>
      <c r="R72" s="230">
        <v>2547.0096433185699</v>
      </c>
      <c r="S72" s="219">
        <v>0.01</v>
      </c>
      <c r="T72" s="219">
        <v>0.01</v>
      </c>
      <c r="U72" s="226">
        <v>0</v>
      </c>
      <c r="V72" s="227">
        <v>0</v>
      </c>
      <c r="W72" s="218"/>
      <c r="X72" s="226">
        <v>2932.2169349999999</v>
      </c>
      <c r="Y72" s="217">
        <v>638.56224264380796</v>
      </c>
      <c r="Z72" s="228">
        <v>573</v>
      </c>
      <c r="AA72" s="229">
        <v>1.1144192716296799</v>
      </c>
      <c r="AB72" s="230">
        <v>58.988721405351001</v>
      </c>
      <c r="AC72" s="219">
        <v>0.02</v>
      </c>
      <c r="AD72" s="219">
        <v>1.0999999999999999E-2</v>
      </c>
      <c r="AE72" s="227">
        <v>0</v>
      </c>
      <c r="AF72" s="227">
        <v>226</v>
      </c>
      <c r="AG72" s="218"/>
      <c r="AH72" s="231">
        <v>367.75</v>
      </c>
      <c r="AI72" s="217">
        <v>80.086593160700204</v>
      </c>
      <c r="AJ72" s="232" t="s">
        <v>53</v>
      </c>
      <c r="AK72" s="229">
        <v>1.2712157644555599</v>
      </c>
      <c r="AL72" s="230">
        <v>51.845327301111901</v>
      </c>
      <c r="AM72" s="219">
        <v>0.02</v>
      </c>
      <c r="AN72" s="219">
        <v>0.02</v>
      </c>
      <c r="AO72" s="227">
        <v>0</v>
      </c>
      <c r="AP72" s="227">
        <v>0</v>
      </c>
      <c r="AQ72" s="218"/>
      <c r="AR72" s="231">
        <v>86</v>
      </c>
      <c r="AS72" s="217">
        <v>18.728611860829901</v>
      </c>
      <c r="AT72" s="232" t="s">
        <v>54</v>
      </c>
      <c r="AU72" s="229">
        <v>1.1705382413018699</v>
      </c>
      <c r="AV72" s="230">
        <v>5.7702418542506404</v>
      </c>
      <c r="AW72" s="219">
        <v>0.01</v>
      </c>
      <c r="AX72" s="219">
        <v>8.5000000000000006E-3</v>
      </c>
      <c r="AY72" s="227">
        <v>0</v>
      </c>
      <c r="AZ72" s="227">
        <v>3</v>
      </c>
      <c r="BA72" s="218"/>
      <c r="BB72" s="235">
        <v>232.8</v>
      </c>
      <c r="BC72" s="231">
        <v>50.697916758153603</v>
      </c>
      <c r="BD72" s="232" t="s">
        <v>55</v>
      </c>
      <c r="BE72" s="229">
        <v>1.5843098986923001</v>
      </c>
      <c r="BF72" s="230">
        <v>72.340483708501296</v>
      </c>
      <c r="BG72" s="219">
        <v>0.02</v>
      </c>
      <c r="BH72" s="219">
        <v>0.02</v>
      </c>
      <c r="BI72" s="227">
        <v>0</v>
      </c>
      <c r="BJ72" s="227">
        <v>0</v>
      </c>
      <c r="BK72" s="220"/>
      <c r="BL72" s="236">
        <v>0.8</v>
      </c>
      <c r="BM72" s="224">
        <v>0.62</v>
      </c>
      <c r="BN72" s="237"/>
      <c r="BO72" s="238">
        <v>0.95</v>
      </c>
      <c r="BP72" s="233">
        <v>0.96</v>
      </c>
      <c r="BQ72" s="237">
        <v>5.0000000000000001E-4</v>
      </c>
    </row>
    <row r="73" spans="1:69" s="207" customFormat="1" ht="22.35" customHeight="1" x14ac:dyDescent="0.2">
      <c r="A73" s="216" t="s">
        <v>80</v>
      </c>
      <c r="B73" s="216" t="s">
        <v>118</v>
      </c>
      <c r="C73" s="216" t="s">
        <v>127</v>
      </c>
      <c r="D73" s="217">
        <v>2.7606706158888898</v>
      </c>
      <c r="E73" s="218"/>
      <c r="F73" s="219">
        <v>5.1999999999999998E-2</v>
      </c>
      <c r="G73" s="219">
        <v>0.04</v>
      </c>
      <c r="H73" s="220"/>
      <c r="I73" s="221">
        <v>5</v>
      </c>
      <c r="J73" s="221">
        <v>4</v>
      </c>
      <c r="K73" s="218"/>
      <c r="L73" s="222">
        <v>2026.9544699999999</v>
      </c>
      <c r="M73" s="222">
        <v>982.22915</v>
      </c>
      <c r="N73" s="222">
        <v>3009.1836199999998</v>
      </c>
      <c r="O73" s="217">
        <v>1090.0190709752901</v>
      </c>
      <c r="P73" s="223">
        <v>276.39800000000002</v>
      </c>
      <c r="Q73" s="229">
        <v>3.94365759149954</v>
      </c>
      <c r="R73" s="230">
        <v>2175.93975011562</v>
      </c>
      <c r="S73" s="219">
        <v>0.01</v>
      </c>
      <c r="T73" s="219">
        <v>0.01</v>
      </c>
      <c r="U73" s="226">
        <v>0</v>
      </c>
      <c r="V73" s="227">
        <v>0</v>
      </c>
      <c r="W73" s="218"/>
      <c r="X73" s="226">
        <v>1765.9622449999999</v>
      </c>
      <c r="Y73" s="217">
        <v>639.68596428567002</v>
      </c>
      <c r="Z73" s="228">
        <v>573</v>
      </c>
      <c r="AA73" s="229">
        <v>1.11638039142351</v>
      </c>
      <c r="AB73" s="230">
        <v>38.566469908467496</v>
      </c>
      <c r="AC73" s="219">
        <v>0.02</v>
      </c>
      <c r="AD73" s="219">
        <v>1.2E-2</v>
      </c>
      <c r="AE73" s="227">
        <v>0</v>
      </c>
      <c r="AF73" s="227">
        <v>133</v>
      </c>
      <c r="AG73" s="218"/>
      <c r="AH73" s="231">
        <v>160.9</v>
      </c>
      <c r="AI73" s="217">
        <v>58.282940048678299</v>
      </c>
      <c r="AJ73" s="232" t="s">
        <v>53</v>
      </c>
      <c r="AK73" s="233">
        <v>0.92512603251870396</v>
      </c>
      <c r="AL73" s="234">
        <v>-29.023095690692099</v>
      </c>
      <c r="AM73" s="219">
        <v>2E-3</v>
      </c>
      <c r="AN73" s="219"/>
      <c r="AO73" s="227">
        <v>14</v>
      </c>
      <c r="AP73" s="227">
        <v>48</v>
      </c>
      <c r="AQ73" s="218"/>
      <c r="AR73" s="231">
        <v>29.8</v>
      </c>
      <c r="AS73" s="217">
        <v>10.7944786417067</v>
      </c>
      <c r="AT73" s="232" t="s">
        <v>54</v>
      </c>
      <c r="AU73" s="224">
        <v>0.67465491510667097</v>
      </c>
      <c r="AV73" s="225">
        <v>-18.4344370008107</v>
      </c>
      <c r="AW73" s="219"/>
      <c r="AX73" s="219"/>
      <c r="AY73" s="227">
        <v>15</v>
      </c>
      <c r="AZ73" s="227">
        <v>24</v>
      </c>
      <c r="BA73" s="218"/>
      <c r="BB73" s="235">
        <v>104</v>
      </c>
      <c r="BC73" s="231">
        <v>37.672005997902701</v>
      </c>
      <c r="BD73" s="232" t="s">
        <v>55</v>
      </c>
      <c r="BE73" s="229">
        <v>1.1772501874344601</v>
      </c>
      <c r="BF73" s="230">
        <v>7.5311259983786298</v>
      </c>
      <c r="BG73" s="219">
        <v>0.02</v>
      </c>
      <c r="BH73" s="219">
        <v>1.7999999999999999E-2</v>
      </c>
      <c r="BI73" s="227">
        <v>0</v>
      </c>
      <c r="BJ73" s="227">
        <v>3</v>
      </c>
      <c r="BK73" s="220"/>
      <c r="BL73" s="236">
        <v>0.8</v>
      </c>
      <c r="BM73" s="239">
        <v>0.72</v>
      </c>
      <c r="BN73" s="237"/>
      <c r="BO73" s="238">
        <v>0.95</v>
      </c>
      <c r="BP73" s="229">
        <v>1</v>
      </c>
      <c r="BQ73" s="237">
        <v>2.5000000000000001E-3</v>
      </c>
    </row>
    <row r="74" spans="1:69" s="207" customFormat="1" ht="22.35" customHeight="1" x14ac:dyDescent="0.2">
      <c r="A74" s="216" t="s">
        <v>80</v>
      </c>
      <c r="B74" s="216" t="s">
        <v>118</v>
      </c>
      <c r="C74" s="216" t="s">
        <v>128</v>
      </c>
      <c r="D74" s="217">
        <v>5.5965996495555599</v>
      </c>
      <c r="E74" s="218"/>
      <c r="F74" s="219">
        <v>0.04</v>
      </c>
      <c r="G74" s="219">
        <v>3.5499999999999997E-2</v>
      </c>
      <c r="H74" s="220"/>
      <c r="I74" s="221">
        <v>4</v>
      </c>
      <c r="J74" s="221">
        <v>4</v>
      </c>
      <c r="K74" s="218"/>
      <c r="L74" s="222">
        <v>2613.0964100000001</v>
      </c>
      <c r="M74" s="222">
        <v>1459.00397</v>
      </c>
      <c r="N74" s="222">
        <v>4072.1003799999999</v>
      </c>
      <c r="O74" s="217">
        <v>727.60258638893004</v>
      </c>
      <c r="P74" s="223">
        <v>242.33799999999999</v>
      </c>
      <c r="Q74" s="229">
        <v>3.0024287828938498</v>
      </c>
      <c r="R74" s="230">
        <v>2591.0548876655998</v>
      </c>
      <c r="S74" s="219">
        <v>0.01</v>
      </c>
      <c r="T74" s="219">
        <v>0.01</v>
      </c>
      <c r="U74" s="226">
        <v>0</v>
      </c>
      <c r="V74" s="227">
        <v>0</v>
      </c>
      <c r="W74" s="218"/>
      <c r="X74" s="226">
        <v>2075.1427800000001</v>
      </c>
      <c r="Y74" s="217">
        <v>370.78635420434199</v>
      </c>
      <c r="Z74" s="228">
        <v>573</v>
      </c>
      <c r="AA74" s="224">
        <v>0.64709660419605897</v>
      </c>
      <c r="AB74" s="225">
        <v>-1426.73916632131</v>
      </c>
      <c r="AC74" s="219"/>
      <c r="AD74" s="219"/>
      <c r="AE74" s="227">
        <v>1132</v>
      </c>
      <c r="AF74" s="227">
        <v>1774</v>
      </c>
      <c r="AG74" s="218"/>
      <c r="AH74" s="231">
        <v>275.8</v>
      </c>
      <c r="AI74" s="217">
        <v>49.279923037178897</v>
      </c>
      <c r="AJ74" s="232" t="s">
        <v>53</v>
      </c>
      <c r="AK74" s="239">
        <v>0.78222100059014099</v>
      </c>
      <c r="AL74" s="222">
        <v>-109.22366949082399</v>
      </c>
      <c r="AM74" s="219"/>
      <c r="AN74" s="219"/>
      <c r="AO74" s="227">
        <v>77</v>
      </c>
      <c r="AP74" s="227">
        <v>148</v>
      </c>
      <c r="AQ74" s="218"/>
      <c r="AR74" s="231">
        <v>99.5</v>
      </c>
      <c r="AS74" s="217">
        <v>17.7786524372708</v>
      </c>
      <c r="AT74" s="232" t="s">
        <v>54</v>
      </c>
      <c r="AU74" s="229">
        <v>1.1111657773294299</v>
      </c>
      <c r="AV74" s="230">
        <v>1.71621092296526</v>
      </c>
      <c r="AW74" s="219">
        <v>0.01</v>
      </c>
      <c r="AX74" s="219">
        <v>5.4999999999999997E-3</v>
      </c>
      <c r="AY74" s="227">
        <v>0</v>
      </c>
      <c r="AZ74" s="227">
        <v>8</v>
      </c>
      <c r="BA74" s="218"/>
      <c r="BB74" s="235">
        <v>264.60000000000002</v>
      </c>
      <c r="BC74" s="231">
        <v>47.2787078884609</v>
      </c>
      <c r="BD74" s="232" t="s">
        <v>55</v>
      </c>
      <c r="BE74" s="229">
        <v>1.4774596215144</v>
      </c>
      <c r="BF74" s="230">
        <v>69.0324218459305</v>
      </c>
      <c r="BG74" s="219">
        <v>0.02</v>
      </c>
      <c r="BH74" s="219">
        <v>0.02</v>
      </c>
      <c r="BI74" s="227">
        <v>0</v>
      </c>
      <c r="BJ74" s="227">
        <v>0</v>
      </c>
      <c r="BK74" s="220"/>
      <c r="BL74" s="236">
        <v>0.8</v>
      </c>
      <c r="BM74" s="224">
        <v>0.69</v>
      </c>
      <c r="BN74" s="237"/>
      <c r="BO74" s="238">
        <v>0.95</v>
      </c>
      <c r="BP74" s="229">
        <v>1</v>
      </c>
      <c r="BQ74" s="237">
        <v>2.5000000000000001E-3</v>
      </c>
    </row>
    <row r="75" spans="1:69" s="207" customFormat="1" ht="22.35" customHeight="1" x14ac:dyDescent="0.2">
      <c r="A75" s="216" t="s">
        <v>80</v>
      </c>
      <c r="B75" s="216" t="s">
        <v>118</v>
      </c>
      <c r="C75" s="216" t="s">
        <v>129</v>
      </c>
      <c r="D75" s="217">
        <v>4.2868855297777797</v>
      </c>
      <c r="E75" s="218"/>
      <c r="F75" s="219">
        <v>3.0000000000000001E-3</v>
      </c>
      <c r="G75" s="219"/>
      <c r="H75" s="220"/>
      <c r="I75" s="221">
        <v>1</v>
      </c>
      <c r="J75" s="221">
        <v>0</v>
      </c>
      <c r="K75" s="218"/>
      <c r="L75" s="222">
        <v>1191.4129499999999</v>
      </c>
      <c r="M75" s="222">
        <v>-1389.83674</v>
      </c>
      <c r="N75" s="222">
        <v>-198.42379</v>
      </c>
      <c r="O75" s="217">
        <v>-46.286234755208397</v>
      </c>
      <c r="P75" s="223">
        <v>275.59500000000003</v>
      </c>
      <c r="Q75" s="224">
        <v>-0.167950197772849</v>
      </c>
      <c r="R75" s="225">
        <v>-1488.5608755963899</v>
      </c>
      <c r="S75" s="219"/>
      <c r="T75" s="219"/>
      <c r="U75" s="226">
        <v>1380</v>
      </c>
      <c r="V75" s="227">
        <v>1617</v>
      </c>
      <c r="W75" s="218"/>
      <c r="X75" s="226">
        <v>2294.0540299999998</v>
      </c>
      <c r="Y75" s="217">
        <v>535.13302701108501</v>
      </c>
      <c r="Z75" s="228">
        <v>573</v>
      </c>
      <c r="AA75" s="233">
        <v>0.93391453230555799</v>
      </c>
      <c r="AB75" s="234">
        <v>-388.31883615043398</v>
      </c>
      <c r="AC75" s="219">
        <v>3.0000000000000001E-3</v>
      </c>
      <c r="AD75" s="219"/>
      <c r="AE75" s="227">
        <v>163</v>
      </c>
      <c r="AF75" s="227">
        <v>654</v>
      </c>
      <c r="AG75" s="218"/>
      <c r="AH75" s="231">
        <v>164.4</v>
      </c>
      <c r="AI75" s="217">
        <v>38.3495194490351</v>
      </c>
      <c r="AJ75" s="232" t="s">
        <v>53</v>
      </c>
      <c r="AK75" s="224">
        <v>0.60872253093706497</v>
      </c>
      <c r="AL75" s="225">
        <v>-130.520576906592</v>
      </c>
      <c r="AM75" s="219"/>
      <c r="AN75" s="219"/>
      <c r="AO75" s="227">
        <v>106</v>
      </c>
      <c r="AP75" s="227">
        <v>160</v>
      </c>
      <c r="AQ75" s="218"/>
      <c r="AR75" s="231">
        <v>9</v>
      </c>
      <c r="AS75" s="217">
        <v>2.0994262472099501</v>
      </c>
      <c r="AT75" s="232" t="s">
        <v>54</v>
      </c>
      <c r="AU75" s="224">
        <v>0.13121414045062199</v>
      </c>
      <c r="AV75" s="225">
        <v>-65.900463976277393</v>
      </c>
      <c r="AW75" s="219"/>
      <c r="AX75" s="219"/>
      <c r="AY75" s="227">
        <v>60</v>
      </c>
      <c r="AZ75" s="227">
        <v>74</v>
      </c>
      <c r="BA75" s="218"/>
      <c r="BB75" s="235">
        <v>123.4</v>
      </c>
      <c r="BC75" s="231">
        <v>28.785466545078599</v>
      </c>
      <c r="BD75" s="232" t="s">
        <v>55</v>
      </c>
      <c r="BE75" s="239">
        <v>0.89954582953370799</v>
      </c>
      <c r="BF75" s="222">
        <v>-26.400927952554799</v>
      </c>
      <c r="BG75" s="219"/>
      <c r="BH75" s="219"/>
      <c r="BI75" s="227">
        <v>14</v>
      </c>
      <c r="BJ75" s="227">
        <v>42</v>
      </c>
      <c r="BK75" s="220"/>
      <c r="BL75" s="236">
        <v>0.8</v>
      </c>
      <c r="BM75" s="239">
        <v>0.72</v>
      </c>
      <c r="BN75" s="237"/>
      <c r="BO75" s="238">
        <v>0.95</v>
      </c>
      <c r="BP75" s="239">
        <v>0.9</v>
      </c>
      <c r="BQ75" s="237"/>
    </row>
    <row r="76" spans="1:69" s="207" customFormat="1" ht="22.35" customHeight="1" x14ac:dyDescent="0.2">
      <c r="A76" s="216" t="s">
        <v>80</v>
      </c>
      <c r="B76" s="216" t="s">
        <v>118</v>
      </c>
      <c r="C76" s="216" t="s">
        <v>130</v>
      </c>
      <c r="D76" s="217">
        <v>5.9599043151111104</v>
      </c>
      <c r="E76" s="218"/>
      <c r="F76" s="219">
        <v>3.6999999999999998E-2</v>
      </c>
      <c r="G76" s="219">
        <v>1.7999999999999999E-2</v>
      </c>
      <c r="H76" s="220"/>
      <c r="I76" s="221">
        <v>4</v>
      </c>
      <c r="J76" s="221">
        <v>3</v>
      </c>
      <c r="K76" s="218"/>
      <c r="L76" s="222">
        <v>5538.96191</v>
      </c>
      <c r="M76" s="222">
        <v>4870.9960499999997</v>
      </c>
      <c r="N76" s="222">
        <v>10409.95796</v>
      </c>
      <c r="O76" s="217">
        <v>1746.66528346872</v>
      </c>
      <c r="P76" s="223">
        <v>283.69400000000002</v>
      </c>
      <c r="Q76" s="229">
        <v>6.1568636751877701</v>
      </c>
      <c r="R76" s="230">
        <v>8563.6162685099298</v>
      </c>
      <c r="S76" s="219">
        <v>0.01</v>
      </c>
      <c r="T76" s="219">
        <v>0.01</v>
      </c>
      <c r="U76" s="226">
        <v>0</v>
      </c>
      <c r="V76" s="227">
        <v>0</v>
      </c>
      <c r="W76" s="218"/>
      <c r="X76" s="226">
        <v>3350.6094199999998</v>
      </c>
      <c r="Y76" s="217">
        <v>562.19181430558501</v>
      </c>
      <c r="Z76" s="228">
        <v>573</v>
      </c>
      <c r="AA76" s="233">
        <v>0.98113754678112597</v>
      </c>
      <c r="AB76" s="234">
        <v>-378.59806843406301</v>
      </c>
      <c r="AC76" s="219">
        <v>8.0000000000000002E-3</v>
      </c>
      <c r="AD76" s="219"/>
      <c r="AE76" s="227">
        <v>65</v>
      </c>
      <c r="AF76" s="227">
        <v>748</v>
      </c>
      <c r="AG76" s="218"/>
      <c r="AH76" s="231">
        <v>257</v>
      </c>
      <c r="AI76" s="217">
        <v>43.121497663710201</v>
      </c>
      <c r="AJ76" s="232" t="s">
        <v>53</v>
      </c>
      <c r="AK76" s="224">
        <v>0.68446821688428905</v>
      </c>
      <c r="AL76" s="225">
        <v>-153.01757726238401</v>
      </c>
      <c r="AM76" s="219"/>
      <c r="AN76" s="219"/>
      <c r="AO76" s="227">
        <v>119</v>
      </c>
      <c r="AP76" s="227">
        <v>194</v>
      </c>
      <c r="AQ76" s="218"/>
      <c r="AR76" s="231">
        <v>31.8</v>
      </c>
      <c r="AS76" s="217">
        <v>5.3356561311516897</v>
      </c>
      <c r="AT76" s="232" t="s">
        <v>54</v>
      </c>
      <c r="AU76" s="224">
        <v>0.33347850819698099</v>
      </c>
      <c r="AV76" s="225">
        <v>-72.331448193621299</v>
      </c>
      <c r="AW76" s="219"/>
      <c r="AX76" s="219"/>
      <c r="AY76" s="227">
        <v>64</v>
      </c>
      <c r="AZ76" s="227">
        <v>83</v>
      </c>
      <c r="BA76" s="218"/>
      <c r="BB76" s="235">
        <v>206</v>
      </c>
      <c r="BC76" s="231">
        <v>34.564313302429198</v>
      </c>
      <c r="BD76" s="232" t="s">
        <v>55</v>
      </c>
      <c r="BE76" s="233">
        <v>1.08013479070091</v>
      </c>
      <c r="BF76" s="234">
        <v>-2.2628963872426202</v>
      </c>
      <c r="BG76" s="219">
        <v>1.9E-2</v>
      </c>
      <c r="BH76" s="219">
        <v>8.0000000000000002E-3</v>
      </c>
      <c r="BI76" s="227">
        <v>0</v>
      </c>
      <c r="BJ76" s="227">
        <v>23</v>
      </c>
      <c r="BK76" s="220"/>
      <c r="BL76" s="236">
        <v>0.8</v>
      </c>
      <c r="BM76" s="224">
        <v>0.62</v>
      </c>
      <c r="BN76" s="237"/>
      <c r="BO76" s="238">
        <v>0.95</v>
      </c>
      <c r="BP76" s="229">
        <v>1</v>
      </c>
      <c r="BQ76" s="237">
        <v>2.5000000000000001E-3</v>
      </c>
    </row>
    <row r="77" spans="1:69" s="207" customFormat="1" ht="22.35" customHeight="1" x14ac:dyDescent="0.2">
      <c r="A77" s="216" t="s">
        <v>80</v>
      </c>
      <c r="B77" s="216" t="s">
        <v>118</v>
      </c>
      <c r="C77" s="216" t="s">
        <v>131</v>
      </c>
      <c r="D77" s="217">
        <v>8.4737407848888893</v>
      </c>
      <c r="E77" s="218"/>
      <c r="F77" s="219">
        <v>4.2000000000000003E-2</v>
      </c>
      <c r="G77" s="219">
        <v>3.0499999999999999E-2</v>
      </c>
      <c r="H77" s="220"/>
      <c r="I77" s="221">
        <v>5</v>
      </c>
      <c r="J77" s="221">
        <v>4</v>
      </c>
      <c r="K77" s="218"/>
      <c r="L77" s="222">
        <v>12506.70824</v>
      </c>
      <c r="M77" s="222">
        <v>6411.7211600000001</v>
      </c>
      <c r="N77" s="222">
        <v>18918.429400000001</v>
      </c>
      <c r="O77" s="217">
        <v>2232.5947748764002</v>
      </c>
      <c r="P77" s="223">
        <v>248.64599999999999</v>
      </c>
      <c r="Q77" s="229">
        <v>8.9790094144945005</v>
      </c>
      <c r="R77" s="230">
        <v>16617.6271676902</v>
      </c>
      <c r="S77" s="219">
        <v>0.01</v>
      </c>
      <c r="T77" s="219">
        <v>0.01</v>
      </c>
      <c r="U77" s="226">
        <v>0</v>
      </c>
      <c r="V77" s="227">
        <v>0</v>
      </c>
      <c r="W77" s="218"/>
      <c r="X77" s="226">
        <v>3411.2687799999999</v>
      </c>
      <c r="Y77" s="217">
        <v>402.56940430409099</v>
      </c>
      <c r="Z77" s="228">
        <v>573</v>
      </c>
      <c r="AA77" s="224">
        <v>0.70256440541726195</v>
      </c>
      <c r="AB77" s="225">
        <v>-1890.88640895754</v>
      </c>
      <c r="AC77" s="219"/>
      <c r="AD77" s="219"/>
      <c r="AE77" s="227">
        <v>1445</v>
      </c>
      <c r="AF77" s="227">
        <v>2416</v>
      </c>
      <c r="AG77" s="218"/>
      <c r="AH77" s="231">
        <v>517.6</v>
      </c>
      <c r="AI77" s="217">
        <v>61.082821995573603</v>
      </c>
      <c r="AJ77" s="232" t="s">
        <v>53</v>
      </c>
      <c r="AK77" s="233">
        <v>0.96956860310434201</v>
      </c>
      <c r="AL77" s="234">
        <v>-65.359471037216096</v>
      </c>
      <c r="AM77" s="219">
        <v>7.0000000000000001E-3</v>
      </c>
      <c r="AN77" s="219"/>
      <c r="AO77" s="227">
        <v>17</v>
      </c>
      <c r="AP77" s="227">
        <v>124</v>
      </c>
      <c r="AQ77" s="218"/>
      <c r="AR77" s="231">
        <v>135.80000000000001</v>
      </c>
      <c r="AS77" s="217">
        <v>16.025979959426</v>
      </c>
      <c r="AT77" s="232" t="s">
        <v>54</v>
      </c>
      <c r="AU77" s="233">
        <v>1.0016237474641201</v>
      </c>
      <c r="AV77" s="234">
        <v>-12.2531989935787</v>
      </c>
      <c r="AW77" s="219">
        <v>5.0000000000000001E-3</v>
      </c>
      <c r="AX77" s="219">
        <v>5.0000000000000001E-4</v>
      </c>
      <c r="AY77" s="227">
        <v>0</v>
      </c>
      <c r="AZ77" s="227">
        <v>27</v>
      </c>
      <c r="BA77" s="218"/>
      <c r="BB77" s="235">
        <v>674.8</v>
      </c>
      <c r="BC77" s="231">
        <v>79.634250932405394</v>
      </c>
      <c r="BD77" s="232" t="s">
        <v>55</v>
      </c>
      <c r="BE77" s="229">
        <v>2.4885703416376699</v>
      </c>
      <c r="BF77" s="230">
        <v>378.69360201284297</v>
      </c>
      <c r="BG77" s="219">
        <v>0.02</v>
      </c>
      <c r="BH77" s="219">
        <v>0.02</v>
      </c>
      <c r="BI77" s="227">
        <v>0</v>
      </c>
      <c r="BJ77" s="227">
        <v>0</v>
      </c>
      <c r="BK77" s="220"/>
      <c r="BL77" s="236">
        <v>0.8</v>
      </c>
      <c r="BM77" s="224">
        <v>0.57999999999999996</v>
      </c>
      <c r="BN77" s="237"/>
      <c r="BO77" s="238">
        <v>0.95</v>
      </c>
      <c r="BP77" s="229">
        <v>1</v>
      </c>
      <c r="BQ77" s="237">
        <v>2.5000000000000001E-3</v>
      </c>
    </row>
    <row r="78" spans="1:69" s="207" customFormat="1" ht="22.35" customHeight="1" x14ac:dyDescent="0.2">
      <c r="A78" s="216" t="s">
        <v>80</v>
      </c>
      <c r="B78" s="216" t="s">
        <v>118</v>
      </c>
      <c r="C78" s="216" t="s">
        <v>132</v>
      </c>
      <c r="D78" s="217">
        <v>2.7902579681111099</v>
      </c>
      <c r="E78" s="218"/>
      <c r="F78" s="219">
        <v>1.7000000000000001E-2</v>
      </c>
      <c r="G78" s="219">
        <v>7.0000000000000001E-3</v>
      </c>
      <c r="H78" s="220"/>
      <c r="I78" s="221">
        <v>1</v>
      </c>
      <c r="J78" s="221">
        <v>1</v>
      </c>
      <c r="K78" s="218"/>
      <c r="L78" s="222">
        <v>866.89889000000005</v>
      </c>
      <c r="M78" s="222">
        <v>-848.05146999999999</v>
      </c>
      <c r="N78" s="222">
        <v>18.84742</v>
      </c>
      <c r="O78" s="217">
        <v>6.7547231171456596</v>
      </c>
      <c r="P78" s="223">
        <v>256.80599999999998</v>
      </c>
      <c r="Q78" s="224">
        <v>2.6302824377723501E-2</v>
      </c>
      <c r="R78" s="225">
        <v>-763.63062663254595</v>
      </c>
      <c r="S78" s="219"/>
      <c r="T78" s="219"/>
      <c r="U78" s="226">
        <v>698</v>
      </c>
      <c r="V78" s="227">
        <v>842</v>
      </c>
      <c r="W78" s="218"/>
      <c r="X78" s="226">
        <v>630.70265500000005</v>
      </c>
      <c r="Y78" s="217">
        <v>226.03739948351799</v>
      </c>
      <c r="Z78" s="228">
        <v>573</v>
      </c>
      <c r="AA78" s="224">
        <v>0.39448062737088602</v>
      </c>
      <c r="AB78" s="225">
        <v>-1115.20639977461</v>
      </c>
      <c r="AC78" s="219"/>
      <c r="AD78" s="219"/>
      <c r="AE78" s="227">
        <v>969</v>
      </c>
      <c r="AF78" s="227">
        <v>1288</v>
      </c>
      <c r="AG78" s="218"/>
      <c r="AH78" s="231">
        <v>129.94999999999999</v>
      </c>
      <c r="AI78" s="217">
        <v>46.5727547363553</v>
      </c>
      <c r="AJ78" s="232" t="s">
        <v>53</v>
      </c>
      <c r="AK78" s="239">
        <v>0.73925007518024299</v>
      </c>
      <c r="AL78" s="222">
        <v>-62.0085871741719</v>
      </c>
      <c r="AM78" s="219"/>
      <c r="AN78" s="219"/>
      <c r="AO78" s="227">
        <v>46</v>
      </c>
      <c r="AP78" s="227">
        <v>81</v>
      </c>
      <c r="AQ78" s="218"/>
      <c r="AR78" s="231">
        <v>14.3</v>
      </c>
      <c r="AS78" s="217">
        <v>5.1249741649086697</v>
      </c>
      <c r="AT78" s="232" t="s">
        <v>54</v>
      </c>
      <c r="AU78" s="224">
        <v>0.32031088530679203</v>
      </c>
      <c r="AV78" s="225">
        <v>-34.451387218837297</v>
      </c>
      <c r="AW78" s="219"/>
      <c r="AX78" s="219"/>
      <c r="AY78" s="227">
        <v>31</v>
      </c>
      <c r="AZ78" s="227">
        <v>40</v>
      </c>
      <c r="BA78" s="218"/>
      <c r="BB78" s="235">
        <v>95.4</v>
      </c>
      <c r="BC78" s="231">
        <v>34.190387086173899</v>
      </c>
      <c r="BD78" s="232" t="s">
        <v>55</v>
      </c>
      <c r="BE78" s="233">
        <v>1.0684495964429299</v>
      </c>
      <c r="BF78" s="234">
        <v>-2.10277443767463</v>
      </c>
      <c r="BG78" s="219">
        <v>1.7000000000000001E-2</v>
      </c>
      <c r="BH78" s="219">
        <v>7.0000000000000001E-3</v>
      </c>
      <c r="BI78" s="227">
        <v>0</v>
      </c>
      <c r="BJ78" s="227">
        <v>12</v>
      </c>
      <c r="BK78" s="220"/>
      <c r="BL78" s="236">
        <v>0.8</v>
      </c>
      <c r="BM78" s="239">
        <v>0.73</v>
      </c>
      <c r="BN78" s="237"/>
      <c r="BO78" s="238">
        <v>0.95</v>
      </c>
      <c r="BP78" s="239">
        <v>0.88</v>
      </c>
      <c r="BQ78" s="237"/>
    </row>
    <row r="79" spans="1:69" s="207" customFormat="1" ht="22.35" customHeight="1" x14ac:dyDescent="0.2">
      <c r="A79" s="216" t="s">
        <v>80</v>
      </c>
      <c r="B79" s="216" t="s">
        <v>118</v>
      </c>
      <c r="C79" s="216" t="s">
        <v>133</v>
      </c>
      <c r="D79" s="217">
        <v>2.4499054332222201</v>
      </c>
      <c r="E79" s="218"/>
      <c r="F79" s="219">
        <v>6.0499999999999998E-2</v>
      </c>
      <c r="G79" s="219">
        <v>0.06</v>
      </c>
      <c r="H79" s="220"/>
      <c r="I79" s="221">
        <v>5</v>
      </c>
      <c r="J79" s="221">
        <v>4</v>
      </c>
      <c r="K79" s="218"/>
      <c r="L79" s="222">
        <v>1040.02478</v>
      </c>
      <c r="M79" s="222">
        <v>-479.82504</v>
      </c>
      <c r="N79" s="222">
        <v>560.19974000000002</v>
      </c>
      <c r="O79" s="217">
        <v>228.66178114605901</v>
      </c>
      <c r="P79" s="223">
        <v>249.55500000000001</v>
      </c>
      <c r="Q79" s="233">
        <v>0.91627809960152495</v>
      </c>
      <c r="R79" s="234">
        <v>-107.433936223446</v>
      </c>
      <c r="S79" s="219">
        <v>5.0000000000000001E-4</v>
      </c>
      <c r="T79" s="219"/>
      <c r="U79" s="226">
        <v>52</v>
      </c>
      <c r="V79" s="227">
        <v>174</v>
      </c>
      <c r="W79" s="218"/>
      <c r="X79" s="226">
        <v>1695.3282300000001</v>
      </c>
      <c r="Y79" s="217">
        <v>691.99741631260895</v>
      </c>
      <c r="Z79" s="228">
        <v>573</v>
      </c>
      <c r="AA79" s="229">
        <v>1.2076743740185101</v>
      </c>
      <c r="AB79" s="230">
        <v>162.383201945926</v>
      </c>
      <c r="AC79" s="219">
        <v>0.02</v>
      </c>
      <c r="AD79" s="219">
        <v>0.02</v>
      </c>
      <c r="AE79" s="227">
        <v>0</v>
      </c>
      <c r="AF79" s="227">
        <v>0</v>
      </c>
      <c r="AG79" s="218"/>
      <c r="AH79" s="231">
        <v>205.9</v>
      </c>
      <c r="AI79" s="217">
        <v>84.044060316724696</v>
      </c>
      <c r="AJ79" s="232" t="s">
        <v>53</v>
      </c>
      <c r="AK79" s="229">
        <v>1.3340327034400701</v>
      </c>
      <c r="AL79" s="230">
        <v>37.356305816044198</v>
      </c>
      <c r="AM79" s="219">
        <v>0.02</v>
      </c>
      <c r="AN79" s="219">
        <v>0.02</v>
      </c>
      <c r="AO79" s="227">
        <v>0</v>
      </c>
      <c r="AP79" s="227">
        <v>0</v>
      </c>
      <c r="AQ79" s="218"/>
      <c r="AR79" s="231">
        <v>17.8</v>
      </c>
      <c r="AS79" s="217">
        <v>7.2655865645347202</v>
      </c>
      <c r="AT79" s="232" t="s">
        <v>54</v>
      </c>
      <c r="AU79" s="224">
        <v>0.45409916028342001</v>
      </c>
      <c r="AV79" s="225">
        <v>-25.0047477292586</v>
      </c>
      <c r="AW79" s="219"/>
      <c r="AX79" s="219"/>
      <c r="AY79" s="227">
        <v>22</v>
      </c>
      <c r="AZ79" s="227">
        <v>30</v>
      </c>
      <c r="BA79" s="218"/>
      <c r="BB79" s="235">
        <v>140</v>
      </c>
      <c r="BC79" s="231">
        <v>57.145062867127002</v>
      </c>
      <c r="BD79" s="232" t="s">
        <v>55</v>
      </c>
      <c r="BE79" s="229">
        <v>1.7857832145977199</v>
      </c>
      <c r="BF79" s="230">
        <v>54.390504541482798</v>
      </c>
      <c r="BG79" s="219">
        <v>0.02</v>
      </c>
      <c r="BH79" s="219">
        <v>0.02</v>
      </c>
      <c r="BI79" s="227">
        <v>0</v>
      </c>
      <c r="BJ79" s="227">
        <v>0</v>
      </c>
      <c r="BK79" s="220"/>
      <c r="BL79" s="236">
        <v>0.8</v>
      </c>
      <c r="BM79" s="224">
        <v>0.67</v>
      </c>
      <c r="BN79" s="237"/>
      <c r="BO79" s="238">
        <v>0.95</v>
      </c>
      <c r="BP79" s="229">
        <v>1</v>
      </c>
      <c r="BQ79" s="237">
        <v>2.5000000000000001E-3</v>
      </c>
    </row>
    <row r="80" spans="1:69" s="207" customFormat="1" ht="22.35" customHeight="1" x14ac:dyDescent="0.2">
      <c r="A80" s="216" t="s">
        <v>80</v>
      </c>
      <c r="B80" s="216" t="s">
        <v>118</v>
      </c>
      <c r="C80" s="216" t="s">
        <v>134</v>
      </c>
      <c r="D80" s="217">
        <v>2.67748065066667</v>
      </c>
      <c r="E80" s="218"/>
      <c r="F80" s="219">
        <v>5.5E-2</v>
      </c>
      <c r="G80" s="219">
        <v>4.4999999999999998E-2</v>
      </c>
      <c r="H80" s="220"/>
      <c r="I80" s="221">
        <v>5</v>
      </c>
      <c r="J80" s="221">
        <v>4</v>
      </c>
      <c r="K80" s="218"/>
      <c r="L80" s="222">
        <v>1331.5432599999999</v>
      </c>
      <c r="M80" s="222">
        <v>573.57988</v>
      </c>
      <c r="N80" s="222">
        <v>1905.1231399999999</v>
      </c>
      <c r="O80" s="217">
        <v>711.53572651426703</v>
      </c>
      <c r="P80" s="223">
        <v>236.18299999999999</v>
      </c>
      <c r="Q80" s="229">
        <v>3.0126458149581801</v>
      </c>
      <c r="R80" s="230">
        <v>1214.5691895320799</v>
      </c>
      <c r="S80" s="219">
        <v>0.01</v>
      </c>
      <c r="T80" s="219">
        <v>0.01</v>
      </c>
      <c r="U80" s="226">
        <v>0</v>
      </c>
      <c r="V80" s="227">
        <v>0</v>
      </c>
      <c r="W80" s="218"/>
      <c r="X80" s="226">
        <v>1459.97866</v>
      </c>
      <c r="Y80" s="217">
        <v>545.28075100616695</v>
      </c>
      <c r="Z80" s="228">
        <v>573</v>
      </c>
      <c r="AA80" s="233">
        <v>0.951624347305701</v>
      </c>
      <c r="AB80" s="234">
        <v>-215.363822812546</v>
      </c>
      <c r="AC80" s="219">
        <v>5.0000000000000001E-3</v>
      </c>
      <c r="AD80" s="219"/>
      <c r="AE80" s="227">
        <v>75</v>
      </c>
      <c r="AF80" s="227">
        <v>382</v>
      </c>
      <c r="AG80" s="218"/>
      <c r="AH80" s="231">
        <v>193.55</v>
      </c>
      <c r="AI80" s="217">
        <v>72.288104099578803</v>
      </c>
      <c r="AJ80" s="232" t="s">
        <v>53</v>
      </c>
      <c r="AK80" s="229">
        <v>1.14743022380284</v>
      </c>
      <c r="AL80" s="230">
        <v>9.3500411567357293</v>
      </c>
      <c r="AM80" s="219">
        <v>0.02</v>
      </c>
      <c r="AN80" s="219">
        <v>1.4999999999999999E-2</v>
      </c>
      <c r="AO80" s="227">
        <v>0</v>
      </c>
      <c r="AP80" s="227">
        <v>9</v>
      </c>
      <c r="AQ80" s="218"/>
      <c r="AR80" s="231">
        <v>33.200000000000003</v>
      </c>
      <c r="AS80" s="217">
        <v>12.399716125579999</v>
      </c>
      <c r="AT80" s="232" t="s">
        <v>54</v>
      </c>
      <c r="AU80" s="239">
        <v>0.77498225784875197</v>
      </c>
      <c r="AV80" s="222">
        <v>-13.5809419284481</v>
      </c>
      <c r="AW80" s="219"/>
      <c r="AX80" s="219"/>
      <c r="AY80" s="227">
        <v>10</v>
      </c>
      <c r="AZ80" s="227">
        <v>19</v>
      </c>
      <c r="BA80" s="218"/>
      <c r="BB80" s="235">
        <v>134.6</v>
      </c>
      <c r="BC80" s="231">
        <v>50.271138268164798</v>
      </c>
      <c r="BD80" s="232" t="s">
        <v>55</v>
      </c>
      <c r="BE80" s="229">
        <v>1.5709730708801499</v>
      </c>
      <c r="BF80" s="230">
        <v>41.038116143103899</v>
      </c>
      <c r="BG80" s="219">
        <v>0.02</v>
      </c>
      <c r="BH80" s="219">
        <v>0.02</v>
      </c>
      <c r="BI80" s="227">
        <v>0</v>
      </c>
      <c r="BJ80" s="227">
        <v>0</v>
      </c>
      <c r="BK80" s="220"/>
      <c r="BL80" s="236">
        <v>0.8</v>
      </c>
      <c r="BM80" s="224">
        <v>0.68</v>
      </c>
      <c r="BN80" s="237"/>
      <c r="BO80" s="238">
        <v>0.95</v>
      </c>
      <c r="BP80" s="229">
        <v>1</v>
      </c>
      <c r="BQ80" s="237">
        <v>2.5000000000000001E-3</v>
      </c>
    </row>
    <row r="81" spans="1:69" s="207" customFormat="1" ht="22.35" customHeight="1" x14ac:dyDescent="0.2">
      <c r="A81" s="216" t="s">
        <v>80</v>
      </c>
      <c r="B81" s="216" t="s">
        <v>118</v>
      </c>
      <c r="C81" s="216" t="s">
        <v>135</v>
      </c>
      <c r="D81" s="217">
        <v>5.56134457377778</v>
      </c>
      <c r="E81" s="218"/>
      <c r="F81" s="219">
        <v>0.03</v>
      </c>
      <c r="G81" s="219">
        <v>0.03</v>
      </c>
      <c r="H81" s="220"/>
      <c r="I81" s="221">
        <v>3</v>
      </c>
      <c r="J81" s="221">
        <v>3</v>
      </c>
      <c r="K81" s="218"/>
      <c r="L81" s="222">
        <v>3887.80377</v>
      </c>
      <c r="M81" s="222">
        <v>483.76064000000002</v>
      </c>
      <c r="N81" s="222">
        <v>4371.56441</v>
      </c>
      <c r="O81" s="217">
        <v>786.06249837715598</v>
      </c>
      <c r="P81" s="223">
        <v>255.63</v>
      </c>
      <c r="Q81" s="229">
        <v>3.0750009716275701</v>
      </c>
      <c r="R81" s="230">
        <v>2819.12641737286</v>
      </c>
      <c r="S81" s="219">
        <v>0.01</v>
      </c>
      <c r="T81" s="219">
        <v>0.01</v>
      </c>
      <c r="U81" s="226">
        <v>0</v>
      </c>
      <c r="V81" s="227">
        <v>0</v>
      </c>
      <c r="W81" s="218"/>
      <c r="X81" s="226">
        <v>2342.6053449999999</v>
      </c>
      <c r="Y81" s="217">
        <v>421.23003060187801</v>
      </c>
      <c r="Z81" s="228">
        <v>573</v>
      </c>
      <c r="AA81" s="239">
        <v>0.73513094345877406</v>
      </c>
      <c r="AB81" s="222">
        <v>-1137.21693632594</v>
      </c>
      <c r="AC81" s="219"/>
      <c r="AD81" s="219"/>
      <c r="AE81" s="227">
        <v>845</v>
      </c>
      <c r="AF81" s="227">
        <v>1482</v>
      </c>
      <c r="AG81" s="218"/>
      <c r="AH81" s="231">
        <v>255</v>
      </c>
      <c r="AI81" s="217">
        <v>45.8522209183634</v>
      </c>
      <c r="AJ81" s="232" t="s">
        <v>53</v>
      </c>
      <c r="AK81" s="239">
        <v>0.72781303045021195</v>
      </c>
      <c r="AL81" s="222">
        <v>-127.59826129761601</v>
      </c>
      <c r="AM81" s="219"/>
      <c r="AN81" s="219"/>
      <c r="AO81" s="227">
        <v>96</v>
      </c>
      <c r="AP81" s="227">
        <v>166</v>
      </c>
      <c r="AQ81" s="218"/>
      <c r="AR81" s="231">
        <v>42.8</v>
      </c>
      <c r="AS81" s="217">
        <v>7.6959806090429499</v>
      </c>
      <c r="AT81" s="232" t="s">
        <v>54</v>
      </c>
      <c r="AU81" s="224">
        <v>0.48099878806518398</v>
      </c>
      <c r="AV81" s="225">
        <v>-54.367812393045398</v>
      </c>
      <c r="AW81" s="219"/>
      <c r="AX81" s="219"/>
      <c r="AY81" s="227">
        <v>47</v>
      </c>
      <c r="AZ81" s="227">
        <v>64</v>
      </c>
      <c r="BA81" s="218"/>
      <c r="BB81" s="235">
        <v>219.2</v>
      </c>
      <c r="BC81" s="231">
        <v>39.414928726687201</v>
      </c>
      <c r="BD81" s="232" t="s">
        <v>55</v>
      </c>
      <c r="BE81" s="229">
        <v>1.2317165227089799</v>
      </c>
      <c r="BF81" s="230">
        <v>24.864375213909302</v>
      </c>
      <c r="BG81" s="219">
        <v>0.02</v>
      </c>
      <c r="BH81" s="219">
        <v>0.02</v>
      </c>
      <c r="BI81" s="227">
        <v>0</v>
      </c>
      <c r="BJ81" s="227">
        <v>0</v>
      </c>
      <c r="BK81" s="220"/>
      <c r="BL81" s="236">
        <v>0.8</v>
      </c>
      <c r="BM81" s="224">
        <v>0.62</v>
      </c>
      <c r="BN81" s="237"/>
      <c r="BO81" s="238">
        <v>0.95</v>
      </c>
      <c r="BP81" s="229">
        <v>1</v>
      </c>
      <c r="BQ81" s="237">
        <v>2.5000000000000001E-3</v>
      </c>
    </row>
    <row r="82" spans="1:69" s="207" customFormat="1" ht="22.35" customHeight="1" x14ac:dyDescent="0.2">
      <c r="A82" s="216" t="s">
        <v>80</v>
      </c>
      <c r="B82" s="216" t="s">
        <v>118</v>
      </c>
      <c r="C82" s="216" t="s">
        <v>136</v>
      </c>
      <c r="D82" s="217">
        <v>4.6816910714444404</v>
      </c>
      <c r="E82" s="218"/>
      <c r="F82" s="219">
        <v>0.03</v>
      </c>
      <c r="G82" s="219">
        <v>0.03</v>
      </c>
      <c r="H82" s="220"/>
      <c r="I82" s="221">
        <v>3</v>
      </c>
      <c r="J82" s="221">
        <v>3</v>
      </c>
      <c r="K82" s="218"/>
      <c r="L82" s="222">
        <v>5057.3916200000003</v>
      </c>
      <c r="M82" s="222">
        <v>1785.21137</v>
      </c>
      <c r="N82" s="222">
        <v>6842.6029900000003</v>
      </c>
      <c r="O82" s="217">
        <v>1461.5665334553701</v>
      </c>
      <c r="P82" s="223">
        <v>287.5</v>
      </c>
      <c r="Q82" s="229">
        <v>5.0837096815839002</v>
      </c>
      <c r="R82" s="230">
        <v>5372.7860781200197</v>
      </c>
      <c r="S82" s="219">
        <v>0.01</v>
      </c>
      <c r="T82" s="219">
        <v>0.01</v>
      </c>
      <c r="U82" s="226">
        <v>0</v>
      </c>
      <c r="V82" s="227">
        <v>0</v>
      </c>
      <c r="W82" s="218"/>
      <c r="X82" s="226">
        <v>2291.9000900000001</v>
      </c>
      <c r="Y82" s="217">
        <v>489.54534911097397</v>
      </c>
      <c r="Z82" s="228">
        <v>573</v>
      </c>
      <c r="AA82" s="239">
        <v>0.854354885010426</v>
      </c>
      <c r="AB82" s="222">
        <v>-637.50892045992896</v>
      </c>
      <c r="AC82" s="219"/>
      <c r="AD82" s="219"/>
      <c r="AE82" s="227">
        <v>391</v>
      </c>
      <c r="AF82" s="227">
        <v>928</v>
      </c>
      <c r="AG82" s="218"/>
      <c r="AH82" s="231">
        <v>189.2</v>
      </c>
      <c r="AI82" s="217">
        <v>40.4127476829918</v>
      </c>
      <c r="AJ82" s="232" t="s">
        <v>53</v>
      </c>
      <c r="AK82" s="224">
        <v>0.64147218544431495</v>
      </c>
      <c r="AL82" s="225">
        <v>-132.88161895109201</v>
      </c>
      <c r="AM82" s="219"/>
      <c r="AN82" s="219"/>
      <c r="AO82" s="227">
        <v>106</v>
      </c>
      <c r="AP82" s="227">
        <v>165</v>
      </c>
      <c r="AQ82" s="218"/>
      <c r="AR82" s="231">
        <v>58</v>
      </c>
      <c r="AS82" s="217">
        <v>12.3886858647649</v>
      </c>
      <c r="AT82" s="232" t="s">
        <v>54</v>
      </c>
      <c r="AU82" s="239">
        <v>0.77429286654780805</v>
      </c>
      <c r="AV82" s="222">
        <v>-23.798506400277201</v>
      </c>
      <c r="AW82" s="219"/>
      <c r="AX82" s="219"/>
      <c r="AY82" s="227">
        <v>17</v>
      </c>
      <c r="AZ82" s="227">
        <v>32</v>
      </c>
      <c r="BA82" s="218"/>
      <c r="BB82" s="235">
        <v>209.2</v>
      </c>
      <c r="BC82" s="231">
        <v>44.684708326014203</v>
      </c>
      <c r="BD82" s="232" t="s">
        <v>55</v>
      </c>
      <c r="BE82" s="229">
        <v>1.3963971351879401</v>
      </c>
      <c r="BF82" s="230">
        <v>45.602987199445501</v>
      </c>
      <c r="BG82" s="219">
        <v>0.02</v>
      </c>
      <c r="BH82" s="219">
        <v>0.02</v>
      </c>
      <c r="BI82" s="227">
        <v>0</v>
      </c>
      <c r="BJ82" s="227">
        <v>0</v>
      </c>
      <c r="BK82" s="220"/>
      <c r="BL82" s="236">
        <v>0.8</v>
      </c>
      <c r="BM82" s="224">
        <v>0.65</v>
      </c>
      <c r="BN82" s="237"/>
      <c r="BO82" s="238">
        <v>0.95</v>
      </c>
      <c r="BP82" s="229">
        <v>1</v>
      </c>
      <c r="BQ82" s="237">
        <v>2.5000000000000001E-3</v>
      </c>
    </row>
    <row r="83" spans="1:69" s="207" customFormat="1" ht="22.35" customHeight="1" x14ac:dyDescent="0.2">
      <c r="A83" s="216" t="s">
        <v>80</v>
      </c>
      <c r="B83" s="216" t="s">
        <v>118</v>
      </c>
      <c r="C83" s="216" t="s">
        <v>137</v>
      </c>
      <c r="D83" s="217">
        <v>2.8572871573333298</v>
      </c>
      <c r="E83" s="218"/>
      <c r="F83" s="219">
        <v>0.03</v>
      </c>
      <c r="G83" s="219">
        <v>0.03</v>
      </c>
      <c r="H83" s="220"/>
      <c r="I83" s="221">
        <v>3</v>
      </c>
      <c r="J83" s="221">
        <v>3</v>
      </c>
      <c r="K83" s="218"/>
      <c r="L83" s="222">
        <v>572.47702000000004</v>
      </c>
      <c r="M83" s="222">
        <v>691.70268999999996</v>
      </c>
      <c r="N83" s="222">
        <v>1264.1797099999999</v>
      </c>
      <c r="O83" s="217">
        <v>442.440553010374</v>
      </c>
      <c r="P83" s="223">
        <v>255.63</v>
      </c>
      <c r="Q83" s="229">
        <v>1.73078493529857</v>
      </c>
      <c r="R83" s="230">
        <v>466.57382889620197</v>
      </c>
      <c r="S83" s="219">
        <v>0.01</v>
      </c>
      <c r="T83" s="219">
        <v>0.01</v>
      </c>
      <c r="U83" s="226">
        <v>0</v>
      </c>
      <c r="V83" s="227">
        <v>0</v>
      </c>
      <c r="W83" s="218"/>
      <c r="X83" s="226">
        <v>604.84105</v>
      </c>
      <c r="Y83" s="217">
        <v>211.683676401811</v>
      </c>
      <c r="Z83" s="228">
        <v>573</v>
      </c>
      <c r="AA83" s="224">
        <v>0.36943049982864101</v>
      </c>
      <c r="AB83" s="225">
        <v>-1183.0092409379799</v>
      </c>
      <c r="AC83" s="219"/>
      <c r="AD83" s="219"/>
      <c r="AE83" s="227">
        <v>1033</v>
      </c>
      <c r="AF83" s="227">
        <v>1360</v>
      </c>
      <c r="AG83" s="218"/>
      <c r="AH83" s="231">
        <v>145.1</v>
      </c>
      <c r="AI83" s="217">
        <v>50.782435229723198</v>
      </c>
      <c r="AJ83" s="232" t="s">
        <v>53</v>
      </c>
      <c r="AK83" s="239">
        <v>0.80607040047179701</v>
      </c>
      <c r="AL83" s="222">
        <v>-51.4699272759038</v>
      </c>
      <c r="AM83" s="219"/>
      <c r="AN83" s="219"/>
      <c r="AO83" s="227">
        <v>35</v>
      </c>
      <c r="AP83" s="227">
        <v>71</v>
      </c>
      <c r="AQ83" s="218"/>
      <c r="AR83" s="231">
        <v>15.6</v>
      </c>
      <c r="AS83" s="217">
        <v>5.4597242562624597</v>
      </c>
      <c r="AT83" s="232" t="s">
        <v>54</v>
      </c>
      <c r="AU83" s="224">
        <v>0.34123276601640401</v>
      </c>
      <c r="AV83" s="225">
        <v>-34.322521212927903</v>
      </c>
      <c r="AW83" s="219"/>
      <c r="AX83" s="219"/>
      <c r="AY83" s="227">
        <v>31</v>
      </c>
      <c r="AZ83" s="227">
        <v>40</v>
      </c>
      <c r="BA83" s="218"/>
      <c r="BB83" s="235">
        <v>118.4</v>
      </c>
      <c r="BC83" s="231">
        <v>41.437907175735603</v>
      </c>
      <c r="BD83" s="232" t="s">
        <v>55</v>
      </c>
      <c r="BE83" s="229">
        <v>1.29493459924174</v>
      </c>
      <c r="BF83" s="230">
        <v>18.554957574144101</v>
      </c>
      <c r="BG83" s="219">
        <v>0.02</v>
      </c>
      <c r="BH83" s="219">
        <v>0.02</v>
      </c>
      <c r="BI83" s="227">
        <v>0</v>
      </c>
      <c r="BJ83" s="227">
        <v>0</v>
      </c>
      <c r="BK83" s="220"/>
      <c r="BL83" s="236">
        <v>0.8</v>
      </c>
      <c r="BM83" s="224">
        <v>0.66</v>
      </c>
      <c r="BN83" s="237"/>
      <c r="BO83" s="238">
        <v>0.95</v>
      </c>
      <c r="BP83" s="229">
        <v>1</v>
      </c>
      <c r="BQ83" s="237">
        <v>2.5000000000000001E-3</v>
      </c>
    </row>
    <row r="84" spans="1:69" s="207" customFormat="1" ht="22.35" customHeight="1" x14ac:dyDescent="0.2">
      <c r="A84" s="216" t="s">
        <v>80</v>
      </c>
      <c r="B84" s="216" t="s">
        <v>118</v>
      </c>
      <c r="C84" s="216" t="s">
        <v>138</v>
      </c>
      <c r="D84" s="217">
        <v>3.2583336913333301</v>
      </c>
      <c r="E84" s="218"/>
      <c r="F84" s="219">
        <v>0.01</v>
      </c>
      <c r="G84" s="219">
        <v>0.01</v>
      </c>
      <c r="H84" s="220"/>
      <c r="I84" s="221">
        <v>1</v>
      </c>
      <c r="J84" s="221">
        <v>1</v>
      </c>
      <c r="K84" s="218"/>
      <c r="L84" s="222">
        <v>3569.1160399999999</v>
      </c>
      <c r="M84" s="222">
        <v>1225.3152399999999</v>
      </c>
      <c r="N84" s="222">
        <v>4794.4312799999998</v>
      </c>
      <c r="O84" s="217">
        <v>1471.4365483045699</v>
      </c>
      <c r="P84" s="223">
        <v>287.5</v>
      </c>
      <c r="Q84" s="229">
        <v>5.1180401680158996</v>
      </c>
      <c r="R84" s="230">
        <v>3771.4774176059</v>
      </c>
      <c r="S84" s="219">
        <v>0.01</v>
      </c>
      <c r="T84" s="219">
        <v>0.01</v>
      </c>
      <c r="U84" s="226">
        <v>0</v>
      </c>
      <c r="V84" s="227">
        <v>0</v>
      </c>
      <c r="W84" s="218"/>
      <c r="X84" s="226">
        <v>1271.31799</v>
      </c>
      <c r="Y84" s="217">
        <v>390.17427631230998</v>
      </c>
      <c r="Z84" s="228">
        <v>573</v>
      </c>
      <c r="AA84" s="224">
        <v>0.68093241939321003</v>
      </c>
      <c r="AB84" s="225">
        <v>-767.47353400632596</v>
      </c>
      <c r="AC84" s="219"/>
      <c r="AD84" s="219"/>
      <c r="AE84" s="227">
        <v>596</v>
      </c>
      <c r="AF84" s="227">
        <v>970</v>
      </c>
      <c r="AG84" s="218"/>
      <c r="AH84" s="231">
        <v>63.05</v>
      </c>
      <c r="AI84" s="217">
        <v>19.350381505646101</v>
      </c>
      <c r="AJ84" s="232" t="s">
        <v>53</v>
      </c>
      <c r="AK84" s="224">
        <v>0.30714891278803302</v>
      </c>
      <c r="AL84" s="225">
        <v>-161.11032462896799</v>
      </c>
      <c r="AM84" s="219"/>
      <c r="AN84" s="219"/>
      <c r="AO84" s="227">
        <v>143</v>
      </c>
      <c r="AP84" s="227">
        <v>184</v>
      </c>
      <c r="AQ84" s="218"/>
      <c r="AR84" s="231">
        <v>14.6</v>
      </c>
      <c r="AS84" s="217">
        <v>4.4808179220052704</v>
      </c>
      <c r="AT84" s="232" t="s">
        <v>54</v>
      </c>
      <c r="AU84" s="224">
        <v>0.28005112012532901</v>
      </c>
      <c r="AV84" s="225">
        <v>-42.3296062549759</v>
      </c>
      <c r="AW84" s="219"/>
      <c r="AX84" s="219"/>
      <c r="AY84" s="227">
        <v>38</v>
      </c>
      <c r="AZ84" s="227">
        <v>48</v>
      </c>
      <c r="BA84" s="218"/>
      <c r="BB84" s="235">
        <v>81.2</v>
      </c>
      <c r="BC84" s="231">
        <v>24.9207133744403</v>
      </c>
      <c r="BD84" s="232" t="s">
        <v>55</v>
      </c>
      <c r="BE84" s="239">
        <v>0.77877229295125905</v>
      </c>
      <c r="BF84" s="222">
        <v>-32.6592125099519</v>
      </c>
      <c r="BG84" s="219"/>
      <c r="BH84" s="219"/>
      <c r="BI84" s="227">
        <v>24</v>
      </c>
      <c r="BJ84" s="227">
        <v>44</v>
      </c>
      <c r="BK84" s="220"/>
      <c r="BL84" s="236">
        <v>0.8</v>
      </c>
      <c r="BM84" s="224">
        <v>0.64</v>
      </c>
      <c r="BN84" s="237"/>
      <c r="BO84" s="238">
        <v>0.95</v>
      </c>
      <c r="BP84" s="224">
        <v>0.8</v>
      </c>
      <c r="BQ84" s="237"/>
    </row>
    <row r="85" spans="1:69" s="207" customFormat="1" ht="22.35" customHeight="1" x14ac:dyDescent="0.2">
      <c r="A85" s="216" t="s">
        <v>139</v>
      </c>
      <c r="B85" s="216" t="s">
        <v>140</v>
      </c>
      <c r="C85" s="216" t="s">
        <v>141</v>
      </c>
      <c r="D85" s="217">
        <v>3.7189131554444401</v>
      </c>
      <c r="E85" s="218"/>
      <c r="F85" s="219">
        <v>2.9000000000000001E-2</v>
      </c>
      <c r="G85" s="219">
        <v>1.6E-2</v>
      </c>
      <c r="H85" s="220"/>
      <c r="I85" s="221">
        <v>4</v>
      </c>
      <c r="J85" s="221">
        <v>3</v>
      </c>
      <c r="K85" s="218"/>
      <c r="L85" s="222">
        <v>10981.78997</v>
      </c>
      <c r="M85" s="222">
        <v>2755.01757</v>
      </c>
      <c r="N85" s="222">
        <v>13736.80754</v>
      </c>
      <c r="O85" s="217">
        <v>3693.7693798763398</v>
      </c>
      <c r="P85" s="223">
        <v>287.5</v>
      </c>
      <c r="Q85" s="229">
        <v>12.847893495222101</v>
      </c>
      <c r="R85" s="230">
        <v>12569.2547548482</v>
      </c>
      <c r="S85" s="219">
        <v>0.01</v>
      </c>
      <c r="T85" s="219">
        <v>0.01</v>
      </c>
      <c r="U85" s="226">
        <v>0</v>
      </c>
      <c r="V85" s="227">
        <v>0</v>
      </c>
      <c r="W85" s="218"/>
      <c r="X85" s="226">
        <v>2262.3280650000002</v>
      </c>
      <c r="Y85" s="217">
        <v>608.33043699554503</v>
      </c>
      <c r="Z85" s="228">
        <v>573</v>
      </c>
      <c r="AA85" s="233">
        <v>1.06165870330811</v>
      </c>
      <c r="AB85" s="234">
        <v>-64.655398972072803</v>
      </c>
      <c r="AC85" s="219">
        <v>1.7000000000000001E-2</v>
      </c>
      <c r="AD85" s="219">
        <v>6.0000000000000001E-3</v>
      </c>
      <c r="AE85" s="227">
        <v>0</v>
      </c>
      <c r="AF85" s="227">
        <v>295</v>
      </c>
      <c r="AG85" s="218"/>
      <c r="AH85" s="231">
        <v>161.4</v>
      </c>
      <c r="AI85" s="217">
        <v>43.399776562061497</v>
      </c>
      <c r="AJ85" s="232" t="s">
        <v>53</v>
      </c>
      <c r="AK85" s="224">
        <v>0.68888534225494402</v>
      </c>
      <c r="AL85" s="225">
        <v>-94.446349441955704</v>
      </c>
      <c r="AM85" s="219"/>
      <c r="AN85" s="219"/>
      <c r="AO85" s="227">
        <v>73</v>
      </c>
      <c r="AP85" s="227">
        <v>120</v>
      </c>
      <c r="AQ85" s="218"/>
      <c r="AR85" s="231">
        <v>20.2</v>
      </c>
      <c r="AS85" s="217">
        <v>5.4316944643967897</v>
      </c>
      <c r="AT85" s="232" t="s">
        <v>54</v>
      </c>
      <c r="AU85" s="224">
        <v>0.33948090402479902</v>
      </c>
      <c r="AV85" s="225">
        <v>-44.776850651925301</v>
      </c>
      <c r="AW85" s="219"/>
      <c r="AX85" s="219"/>
      <c r="AY85" s="227">
        <v>40</v>
      </c>
      <c r="AZ85" s="227">
        <v>52</v>
      </c>
      <c r="BA85" s="218"/>
      <c r="BB85" s="235">
        <v>110.4</v>
      </c>
      <c r="BC85" s="231">
        <v>29.686092518287399</v>
      </c>
      <c r="BD85" s="232" t="s">
        <v>55</v>
      </c>
      <c r="BE85" s="233">
        <v>0.927690391196482</v>
      </c>
      <c r="BF85" s="234">
        <v>-19.553701303850499</v>
      </c>
      <c r="BG85" s="219">
        <v>2E-3</v>
      </c>
      <c r="BH85" s="219"/>
      <c r="BI85" s="227">
        <v>9</v>
      </c>
      <c r="BJ85" s="227">
        <v>33</v>
      </c>
      <c r="BK85" s="220"/>
      <c r="BL85" s="236">
        <v>0.8</v>
      </c>
      <c r="BM85" s="239">
        <v>0.73</v>
      </c>
      <c r="BN85" s="237"/>
      <c r="BO85" s="238">
        <v>0.95</v>
      </c>
      <c r="BP85" s="229">
        <v>1</v>
      </c>
      <c r="BQ85" s="237">
        <v>2.5000000000000001E-3</v>
      </c>
    </row>
    <row r="86" spans="1:69" s="207" customFormat="1" ht="22.35" customHeight="1" x14ac:dyDescent="0.2">
      <c r="A86" s="216" t="s">
        <v>139</v>
      </c>
      <c r="B86" s="216" t="s">
        <v>140</v>
      </c>
      <c r="C86" s="216" t="s">
        <v>142</v>
      </c>
      <c r="D86" s="217">
        <v>8.0608712013333292</v>
      </c>
      <c r="E86" s="218"/>
      <c r="F86" s="219">
        <v>0.03</v>
      </c>
      <c r="G86" s="219">
        <v>2.1999999999999999E-2</v>
      </c>
      <c r="H86" s="220"/>
      <c r="I86" s="221">
        <v>3</v>
      </c>
      <c r="J86" s="221">
        <v>3</v>
      </c>
      <c r="K86" s="218"/>
      <c r="L86" s="222">
        <v>3791.7838099999999</v>
      </c>
      <c r="M86" s="222">
        <v>4343.76602</v>
      </c>
      <c r="N86" s="222">
        <v>8135.5498299999999</v>
      </c>
      <c r="O86" s="217">
        <v>1009.26433716672</v>
      </c>
      <c r="P86" s="223">
        <v>287.5</v>
      </c>
      <c r="Q86" s="229">
        <v>3.5104846510146799</v>
      </c>
      <c r="R86" s="230">
        <v>5604.8393163414003</v>
      </c>
      <c r="S86" s="219">
        <v>0.01</v>
      </c>
      <c r="T86" s="219">
        <v>0.01</v>
      </c>
      <c r="U86" s="226">
        <v>0</v>
      </c>
      <c r="V86" s="227">
        <v>0</v>
      </c>
      <c r="W86" s="218"/>
      <c r="X86" s="226">
        <v>2734.83212</v>
      </c>
      <c r="Y86" s="217">
        <v>339.27252423381202</v>
      </c>
      <c r="Z86" s="228">
        <v>573</v>
      </c>
      <c r="AA86" s="224">
        <v>0.592098646132307</v>
      </c>
      <c r="AB86" s="225">
        <v>-2308.9839646134901</v>
      </c>
      <c r="AC86" s="219"/>
      <c r="AD86" s="219"/>
      <c r="AE86" s="227">
        <v>1885</v>
      </c>
      <c r="AF86" s="227">
        <v>2808</v>
      </c>
      <c r="AG86" s="218"/>
      <c r="AH86" s="231">
        <v>293.39999999999998</v>
      </c>
      <c r="AI86" s="217">
        <v>36.398050864709198</v>
      </c>
      <c r="AJ86" s="232" t="s">
        <v>53</v>
      </c>
      <c r="AK86" s="224">
        <v>0.57774683912236802</v>
      </c>
      <c r="AL86" s="225">
        <v>-261.15569516692801</v>
      </c>
      <c r="AM86" s="219"/>
      <c r="AN86" s="219"/>
      <c r="AO86" s="227">
        <v>215</v>
      </c>
      <c r="AP86" s="227">
        <v>317</v>
      </c>
      <c r="AQ86" s="218"/>
      <c r="AR86" s="231">
        <v>52.6</v>
      </c>
      <c r="AS86" s="217">
        <v>6.5253492688606096</v>
      </c>
      <c r="AT86" s="232" t="s">
        <v>54</v>
      </c>
      <c r="AU86" s="224">
        <v>0.40783432930378799</v>
      </c>
      <c r="AV86" s="225">
        <v>-88.239541629695907</v>
      </c>
      <c r="AW86" s="219"/>
      <c r="AX86" s="219"/>
      <c r="AY86" s="227">
        <v>77</v>
      </c>
      <c r="AZ86" s="227">
        <v>103</v>
      </c>
      <c r="BA86" s="218"/>
      <c r="BB86" s="235">
        <v>288.39999999999998</v>
      </c>
      <c r="BC86" s="231">
        <v>35.777770515958203</v>
      </c>
      <c r="BD86" s="232" t="s">
        <v>55</v>
      </c>
      <c r="BE86" s="229">
        <v>1.1180553286236901</v>
      </c>
      <c r="BF86" s="230">
        <v>6.7209167406081702</v>
      </c>
      <c r="BG86" s="219">
        <v>0.02</v>
      </c>
      <c r="BH86" s="219">
        <v>1.2E-2</v>
      </c>
      <c r="BI86" s="227">
        <v>0</v>
      </c>
      <c r="BJ86" s="227">
        <v>22</v>
      </c>
      <c r="BK86" s="220"/>
      <c r="BL86" s="236">
        <v>0.8</v>
      </c>
      <c r="BM86" s="224">
        <v>0.6</v>
      </c>
      <c r="BN86" s="237"/>
      <c r="BO86" s="238">
        <v>0.95</v>
      </c>
      <c r="BP86" s="229">
        <v>1</v>
      </c>
      <c r="BQ86" s="237">
        <v>2.5000000000000001E-3</v>
      </c>
    </row>
    <row r="87" spans="1:69" s="207" customFormat="1" ht="22.35" customHeight="1" x14ac:dyDescent="0.2">
      <c r="A87" s="216" t="s">
        <v>139</v>
      </c>
      <c r="B87" s="216" t="s">
        <v>140</v>
      </c>
      <c r="C87" s="216" t="s">
        <v>143</v>
      </c>
      <c r="D87" s="217">
        <v>6.5973797197777797</v>
      </c>
      <c r="E87" s="218"/>
      <c r="F87" s="219">
        <v>0.03</v>
      </c>
      <c r="G87" s="219">
        <v>2.9000000000000001E-2</v>
      </c>
      <c r="H87" s="220"/>
      <c r="I87" s="221">
        <v>3</v>
      </c>
      <c r="J87" s="221">
        <v>3</v>
      </c>
      <c r="K87" s="218"/>
      <c r="L87" s="222">
        <v>12123.340889999999</v>
      </c>
      <c r="M87" s="222">
        <v>1955.39708</v>
      </c>
      <c r="N87" s="222">
        <v>14078.73797</v>
      </c>
      <c r="O87" s="217">
        <v>2133.9893363716001</v>
      </c>
      <c r="P87" s="223">
        <v>271.31</v>
      </c>
      <c r="Q87" s="229">
        <v>7.8655019585404098</v>
      </c>
      <c r="R87" s="230">
        <v>12124.128849784</v>
      </c>
      <c r="S87" s="219">
        <v>0.01</v>
      </c>
      <c r="T87" s="219">
        <v>0.01</v>
      </c>
      <c r="U87" s="226">
        <v>0</v>
      </c>
      <c r="V87" s="227">
        <v>0</v>
      </c>
      <c r="W87" s="218"/>
      <c r="X87" s="226">
        <v>3078.0458199999998</v>
      </c>
      <c r="Y87" s="217">
        <v>466.55580711423403</v>
      </c>
      <c r="Z87" s="228">
        <v>573</v>
      </c>
      <c r="AA87" s="239">
        <v>0.81423352026916895</v>
      </c>
      <c r="AB87" s="222">
        <v>-1050.04022874047</v>
      </c>
      <c r="AC87" s="219"/>
      <c r="AD87" s="219"/>
      <c r="AE87" s="227">
        <v>703</v>
      </c>
      <c r="AF87" s="227">
        <v>1459</v>
      </c>
      <c r="AG87" s="218"/>
      <c r="AH87" s="231">
        <v>306.8</v>
      </c>
      <c r="AI87" s="217">
        <v>46.503310864504002</v>
      </c>
      <c r="AJ87" s="232" t="s">
        <v>53</v>
      </c>
      <c r="AK87" s="239">
        <v>0.73814779150006304</v>
      </c>
      <c r="AL87" s="222">
        <v>-147.07333520183201</v>
      </c>
      <c r="AM87" s="219"/>
      <c r="AN87" s="219"/>
      <c r="AO87" s="227">
        <v>109</v>
      </c>
      <c r="AP87" s="227">
        <v>192</v>
      </c>
      <c r="AQ87" s="218"/>
      <c r="AR87" s="231">
        <v>49.4</v>
      </c>
      <c r="AS87" s="217">
        <v>7.4878212408947</v>
      </c>
      <c r="AT87" s="232" t="s">
        <v>54</v>
      </c>
      <c r="AU87" s="224">
        <v>0.46798882755591897</v>
      </c>
      <c r="AV87" s="225">
        <v>-65.869418463957402</v>
      </c>
      <c r="AW87" s="219"/>
      <c r="AX87" s="219"/>
      <c r="AY87" s="227">
        <v>57</v>
      </c>
      <c r="AZ87" s="227">
        <v>78</v>
      </c>
      <c r="BA87" s="218"/>
      <c r="BB87" s="235">
        <v>250.4</v>
      </c>
      <c r="BC87" s="231">
        <v>37.954462322267901</v>
      </c>
      <c r="BD87" s="232" t="s">
        <v>55</v>
      </c>
      <c r="BE87" s="229">
        <v>1.1860769475708699</v>
      </c>
      <c r="BF87" s="230">
        <v>19.861163072085201</v>
      </c>
      <c r="BG87" s="219">
        <v>0.02</v>
      </c>
      <c r="BH87" s="219">
        <v>1.9E-2</v>
      </c>
      <c r="BI87" s="227">
        <v>0</v>
      </c>
      <c r="BJ87" s="227">
        <v>3</v>
      </c>
      <c r="BK87" s="220"/>
      <c r="BL87" s="236">
        <v>0.8</v>
      </c>
      <c r="BM87" s="239">
        <v>0.74</v>
      </c>
      <c r="BN87" s="237"/>
      <c r="BO87" s="238">
        <v>0.95</v>
      </c>
      <c r="BP87" s="229">
        <v>1</v>
      </c>
      <c r="BQ87" s="237">
        <v>2.5000000000000001E-3</v>
      </c>
    </row>
    <row r="88" spans="1:69" s="207" customFormat="1" ht="22.35" customHeight="1" x14ac:dyDescent="0.2">
      <c r="A88" s="216" t="s">
        <v>139</v>
      </c>
      <c r="B88" s="216" t="s">
        <v>140</v>
      </c>
      <c r="C88" s="216" t="s">
        <v>144</v>
      </c>
      <c r="D88" s="217">
        <v>1.00891054722222</v>
      </c>
      <c r="E88" s="218"/>
      <c r="F88" s="219">
        <v>0.02</v>
      </c>
      <c r="G88" s="219">
        <v>0.02</v>
      </c>
      <c r="H88" s="220"/>
      <c r="I88" s="221">
        <v>2</v>
      </c>
      <c r="J88" s="221">
        <v>2</v>
      </c>
      <c r="K88" s="218"/>
      <c r="L88" s="222">
        <v>-8790.1266300000007</v>
      </c>
      <c r="M88" s="222">
        <v>-1747.70876</v>
      </c>
      <c r="N88" s="222">
        <v>-10537.83539</v>
      </c>
      <c r="O88" s="217">
        <v>-10444.766802184</v>
      </c>
      <c r="P88" s="223">
        <v>287.5</v>
      </c>
      <c r="Q88" s="224">
        <v>-36.329623659770597</v>
      </c>
      <c r="R88" s="225">
        <v>-10854.5828563004</v>
      </c>
      <c r="S88" s="219"/>
      <c r="T88" s="219"/>
      <c r="U88" s="226">
        <v>10828</v>
      </c>
      <c r="V88" s="227">
        <v>10886</v>
      </c>
      <c r="W88" s="218"/>
      <c r="X88" s="226">
        <v>354.96262000000002</v>
      </c>
      <c r="Y88" s="217">
        <v>351.82764317143801</v>
      </c>
      <c r="Z88" s="228">
        <v>573</v>
      </c>
      <c r="AA88" s="224">
        <v>0.61400984846673201</v>
      </c>
      <c r="AB88" s="225">
        <v>-276.32885196569902</v>
      </c>
      <c r="AC88" s="219"/>
      <c r="AD88" s="219"/>
      <c r="AE88" s="227">
        <v>224</v>
      </c>
      <c r="AF88" s="227">
        <v>339</v>
      </c>
      <c r="AG88" s="218"/>
      <c r="AH88" s="231">
        <v>23.6</v>
      </c>
      <c r="AI88" s="217">
        <v>23.3915683258308</v>
      </c>
      <c r="AJ88" s="232" t="s">
        <v>53</v>
      </c>
      <c r="AK88" s="224">
        <v>0.371294735330648</v>
      </c>
      <c r="AL88" s="225">
        <v>-45.8090100066998</v>
      </c>
      <c r="AM88" s="219"/>
      <c r="AN88" s="219"/>
      <c r="AO88" s="227">
        <v>40</v>
      </c>
      <c r="AP88" s="227">
        <v>53</v>
      </c>
      <c r="AQ88" s="218"/>
      <c r="AR88" s="231"/>
      <c r="AS88" s="217" t="s">
        <v>145</v>
      </c>
      <c r="AT88" s="232" t="s">
        <v>54</v>
      </c>
      <c r="AU88" s="224"/>
      <c r="AV88" s="225"/>
      <c r="AW88" s="219"/>
      <c r="AX88" s="219"/>
      <c r="AY88" s="227">
        <v>17</v>
      </c>
      <c r="AZ88" s="227">
        <v>20</v>
      </c>
      <c r="BA88" s="218"/>
      <c r="BB88" s="235">
        <v>60.4</v>
      </c>
      <c r="BC88" s="231">
        <v>59.866556223736602</v>
      </c>
      <c r="BD88" s="232" t="s">
        <v>55</v>
      </c>
      <c r="BE88" s="229">
        <v>1.8708298819917699</v>
      </c>
      <c r="BF88" s="230">
        <v>25.144629837866699</v>
      </c>
      <c r="BG88" s="219">
        <v>0.02</v>
      </c>
      <c r="BH88" s="219">
        <v>0.02</v>
      </c>
      <c r="BI88" s="227">
        <v>0</v>
      </c>
      <c r="BJ88" s="227">
        <v>0</v>
      </c>
      <c r="BK88" s="220"/>
      <c r="BL88" s="236">
        <v>0.8</v>
      </c>
      <c r="BM88" s="224"/>
      <c r="BN88" s="237"/>
      <c r="BO88" s="238">
        <v>0.95</v>
      </c>
      <c r="BP88" s="229">
        <v>1</v>
      </c>
      <c r="BQ88" s="237">
        <v>2.5000000000000001E-3</v>
      </c>
    </row>
    <row r="89" spans="1:69" s="207" customFormat="1" ht="22.35" customHeight="1" x14ac:dyDescent="0.2">
      <c r="A89" s="216" t="s">
        <v>139</v>
      </c>
      <c r="B89" s="216" t="s">
        <v>140</v>
      </c>
      <c r="C89" s="216" t="s">
        <v>146</v>
      </c>
      <c r="D89" s="217">
        <v>1.63022700111111</v>
      </c>
      <c r="E89" s="218"/>
      <c r="F89" s="219"/>
      <c r="G89" s="219"/>
      <c r="H89" s="220"/>
      <c r="I89" s="221">
        <v>2</v>
      </c>
      <c r="J89" s="221">
        <v>2</v>
      </c>
      <c r="K89" s="218"/>
      <c r="L89" s="222">
        <v>-7930.2476800000004</v>
      </c>
      <c r="M89" s="222">
        <v>-1204.0251499999999</v>
      </c>
      <c r="N89" s="222">
        <v>-9134.2728299999999</v>
      </c>
      <c r="O89" s="217">
        <v>-5603.0680535743604</v>
      </c>
      <c r="P89" s="223">
        <v>264.70999999999998</v>
      </c>
      <c r="Q89" s="224">
        <v>-21.166816718576399</v>
      </c>
      <c r="R89" s="225">
        <v>-9605.5116592948198</v>
      </c>
      <c r="S89" s="219"/>
      <c r="T89" s="219"/>
      <c r="U89" s="226">
        <v>9566</v>
      </c>
      <c r="V89" s="227">
        <v>9653</v>
      </c>
      <c r="W89" s="218"/>
      <c r="X89" s="226">
        <v>368.50261</v>
      </c>
      <c r="Y89" s="217">
        <v>226.04374099364099</v>
      </c>
      <c r="Z89" s="228">
        <v>573</v>
      </c>
      <c r="AA89" s="224">
        <v>0.39449169457877997</v>
      </c>
      <c r="AB89" s="225">
        <v>-651.55650822723896</v>
      </c>
      <c r="AC89" s="219"/>
      <c r="AD89" s="219"/>
      <c r="AE89" s="227">
        <v>566</v>
      </c>
      <c r="AF89" s="227">
        <v>753</v>
      </c>
      <c r="AG89" s="218"/>
      <c r="AH89" s="231">
        <v>65.2</v>
      </c>
      <c r="AI89" s="217">
        <v>39.994430196262101</v>
      </c>
      <c r="AJ89" s="232" t="s">
        <v>53</v>
      </c>
      <c r="AK89" s="224">
        <v>0.63483222533749295</v>
      </c>
      <c r="AL89" s="225">
        <v>-46.953096768439899</v>
      </c>
      <c r="AM89" s="219"/>
      <c r="AN89" s="219"/>
      <c r="AO89" s="227">
        <v>38</v>
      </c>
      <c r="AP89" s="227">
        <v>59</v>
      </c>
      <c r="AQ89" s="218"/>
      <c r="AR89" s="231">
        <v>1.8</v>
      </c>
      <c r="AS89" s="217">
        <v>1.1041407109397501</v>
      </c>
      <c r="AT89" s="232" t="s">
        <v>54</v>
      </c>
      <c r="AU89" s="224">
        <v>6.9008794433734394E-2</v>
      </c>
      <c r="AV89" s="225">
        <v>-26.683326163413302</v>
      </c>
      <c r="AW89" s="219"/>
      <c r="AX89" s="219"/>
      <c r="AY89" s="227">
        <v>25</v>
      </c>
      <c r="AZ89" s="227">
        <v>30</v>
      </c>
      <c r="BA89" s="218"/>
      <c r="BB89" s="235">
        <v>26</v>
      </c>
      <c r="BC89" s="231">
        <v>15.9486991580186</v>
      </c>
      <c r="BD89" s="232" t="s">
        <v>55</v>
      </c>
      <c r="BE89" s="224">
        <v>0.49839684868808198</v>
      </c>
      <c r="BF89" s="225">
        <v>-30.966652326826601</v>
      </c>
      <c r="BG89" s="219"/>
      <c r="BH89" s="219"/>
      <c r="BI89" s="227">
        <v>27</v>
      </c>
      <c r="BJ89" s="227">
        <v>37</v>
      </c>
      <c r="BK89" s="220"/>
      <c r="BL89" s="236">
        <v>0.8</v>
      </c>
      <c r="BM89" s="229">
        <v>1</v>
      </c>
      <c r="BN89" s="237">
        <v>7.4999999999999997E-3</v>
      </c>
      <c r="BO89" s="238">
        <v>0.95</v>
      </c>
      <c r="BP89" s="229">
        <v>1</v>
      </c>
      <c r="BQ89" s="237">
        <v>2.5000000000000001E-3</v>
      </c>
    </row>
    <row r="90" spans="1:69" s="207" customFormat="1" ht="22.35" customHeight="1" x14ac:dyDescent="0.2">
      <c r="A90" s="216" t="s">
        <v>139</v>
      </c>
      <c r="B90" s="216" t="s">
        <v>140</v>
      </c>
      <c r="C90" s="216" t="s">
        <v>147</v>
      </c>
      <c r="D90" s="217">
        <v>4.5991464215555604</v>
      </c>
      <c r="E90" s="218"/>
      <c r="F90" s="219">
        <v>3.1E-2</v>
      </c>
      <c r="G90" s="219">
        <v>2.4E-2</v>
      </c>
      <c r="H90" s="220"/>
      <c r="I90" s="221">
        <v>4</v>
      </c>
      <c r="J90" s="221">
        <v>3</v>
      </c>
      <c r="K90" s="218"/>
      <c r="L90" s="222">
        <v>1382.64159</v>
      </c>
      <c r="M90" s="222">
        <v>3871.95037</v>
      </c>
      <c r="N90" s="222">
        <v>5254.5919599999997</v>
      </c>
      <c r="O90" s="217">
        <v>1142.5146056173501</v>
      </c>
      <c r="P90" s="223">
        <v>265.83499999999998</v>
      </c>
      <c r="Q90" s="229">
        <v>4.29783363972897</v>
      </c>
      <c r="R90" s="230">
        <v>3919.4973748401499</v>
      </c>
      <c r="S90" s="219">
        <v>0.01</v>
      </c>
      <c r="T90" s="219">
        <v>0.01</v>
      </c>
      <c r="U90" s="226">
        <v>0</v>
      </c>
      <c r="V90" s="227">
        <v>0</v>
      </c>
      <c r="W90" s="218"/>
      <c r="X90" s="226">
        <v>2314.3428950000002</v>
      </c>
      <c r="Y90" s="217">
        <v>503.21139682637602</v>
      </c>
      <c r="Z90" s="228">
        <v>573</v>
      </c>
      <c r="AA90" s="239">
        <v>0.87820488102334404</v>
      </c>
      <c r="AB90" s="222">
        <v>-563.416607310058</v>
      </c>
      <c r="AC90" s="219"/>
      <c r="AD90" s="219"/>
      <c r="AE90" s="227">
        <v>321</v>
      </c>
      <c r="AF90" s="227">
        <v>849</v>
      </c>
      <c r="AG90" s="218"/>
      <c r="AH90" s="231">
        <v>264.39999999999998</v>
      </c>
      <c r="AI90" s="217">
        <v>57.488928545695799</v>
      </c>
      <c r="AJ90" s="232" t="s">
        <v>53</v>
      </c>
      <c r="AK90" s="233">
        <v>0.91252267532850495</v>
      </c>
      <c r="AL90" s="234">
        <v>-52.002877217336298</v>
      </c>
      <c r="AM90" s="219">
        <v>1E-3</v>
      </c>
      <c r="AN90" s="219"/>
      <c r="AO90" s="227">
        <v>26</v>
      </c>
      <c r="AP90" s="227">
        <v>84</v>
      </c>
      <c r="AQ90" s="218"/>
      <c r="AR90" s="231">
        <v>57</v>
      </c>
      <c r="AS90" s="217">
        <v>12.393604111590999</v>
      </c>
      <c r="AT90" s="232" t="s">
        <v>54</v>
      </c>
      <c r="AU90" s="239">
        <v>0.77460025697443702</v>
      </c>
      <c r="AV90" s="222">
        <v>-23.3562862774187</v>
      </c>
      <c r="AW90" s="219"/>
      <c r="AX90" s="219"/>
      <c r="AY90" s="227">
        <v>17</v>
      </c>
      <c r="AZ90" s="227">
        <v>32</v>
      </c>
      <c r="BA90" s="218"/>
      <c r="BB90" s="235">
        <v>168.4</v>
      </c>
      <c r="BC90" s="231">
        <v>36.615490041963596</v>
      </c>
      <c r="BD90" s="232" t="s">
        <v>55</v>
      </c>
      <c r="BE90" s="229">
        <v>1.1442340638113599</v>
      </c>
      <c r="BF90" s="230">
        <v>7.68742744516251</v>
      </c>
      <c r="BG90" s="219">
        <v>0.02</v>
      </c>
      <c r="BH90" s="219">
        <v>1.4E-2</v>
      </c>
      <c r="BI90" s="227">
        <v>0</v>
      </c>
      <c r="BJ90" s="227">
        <v>9</v>
      </c>
      <c r="BK90" s="220"/>
      <c r="BL90" s="236">
        <v>0.8</v>
      </c>
      <c r="BM90" s="239">
        <v>0.74</v>
      </c>
      <c r="BN90" s="237"/>
      <c r="BO90" s="238">
        <v>0.95</v>
      </c>
      <c r="BP90" s="229">
        <v>1</v>
      </c>
      <c r="BQ90" s="237">
        <v>2.5000000000000001E-3</v>
      </c>
    </row>
    <row r="91" spans="1:69" s="207" customFormat="1" ht="22.35" customHeight="1" x14ac:dyDescent="0.2">
      <c r="A91" s="216" t="s">
        <v>139</v>
      </c>
      <c r="B91" s="216" t="s">
        <v>140</v>
      </c>
      <c r="C91" s="216" t="s">
        <v>148</v>
      </c>
      <c r="D91" s="217">
        <v>5.8587699798888897</v>
      </c>
      <c r="E91" s="218"/>
      <c r="F91" s="219">
        <v>0.02</v>
      </c>
      <c r="G91" s="219">
        <v>0.02</v>
      </c>
      <c r="H91" s="220"/>
      <c r="I91" s="221">
        <v>2</v>
      </c>
      <c r="J91" s="221">
        <v>2</v>
      </c>
      <c r="K91" s="218"/>
      <c r="L91" s="222">
        <v>-3443.7293399999999</v>
      </c>
      <c r="M91" s="222">
        <v>3350.1190299999998</v>
      </c>
      <c r="N91" s="222">
        <v>-93.610309999999998</v>
      </c>
      <c r="O91" s="217">
        <v>-15.9778093902528</v>
      </c>
      <c r="P91" s="223">
        <v>266.37799999999999</v>
      </c>
      <c r="Q91" s="224">
        <v>-5.9981715420390602E-2</v>
      </c>
      <c r="R91" s="225">
        <v>-1797.8373032355</v>
      </c>
      <c r="S91" s="219"/>
      <c r="T91" s="219"/>
      <c r="U91" s="226">
        <v>1655</v>
      </c>
      <c r="V91" s="227">
        <v>1967</v>
      </c>
      <c r="W91" s="218"/>
      <c r="X91" s="226">
        <v>2473.6033050000001</v>
      </c>
      <c r="Y91" s="217">
        <v>422.20522626609602</v>
      </c>
      <c r="Z91" s="228">
        <v>573</v>
      </c>
      <c r="AA91" s="239">
        <v>0.73683285561273304</v>
      </c>
      <c r="AB91" s="222">
        <v>-1192.32281173616</v>
      </c>
      <c r="AC91" s="219"/>
      <c r="AD91" s="219"/>
      <c r="AE91" s="227">
        <v>884</v>
      </c>
      <c r="AF91" s="227">
        <v>1555</v>
      </c>
      <c r="AG91" s="218"/>
      <c r="AH91" s="231">
        <v>290.7</v>
      </c>
      <c r="AI91" s="217">
        <v>49.617923386286101</v>
      </c>
      <c r="AJ91" s="232" t="s">
        <v>53</v>
      </c>
      <c r="AK91" s="239">
        <v>0.78758608549660503</v>
      </c>
      <c r="AL91" s="222">
        <v>-112.359939536436</v>
      </c>
      <c r="AM91" s="219"/>
      <c r="AN91" s="219"/>
      <c r="AO91" s="227">
        <v>79</v>
      </c>
      <c r="AP91" s="227">
        <v>153</v>
      </c>
      <c r="AQ91" s="218"/>
      <c r="AR91" s="231">
        <v>22.4</v>
      </c>
      <c r="AS91" s="217">
        <v>3.8233281178287202</v>
      </c>
      <c r="AT91" s="232" t="s">
        <v>54</v>
      </c>
      <c r="AU91" s="224">
        <v>0.23895800736429501</v>
      </c>
      <c r="AV91" s="225">
        <v>-79.964429088618701</v>
      </c>
      <c r="AW91" s="219"/>
      <c r="AX91" s="219"/>
      <c r="AY91" s="227">
        <v>72</v>
      </c>
      <c r="AZ91" s="227">
        <v>91</v>
      </c>
      <c r="BA91" s="218"/>
      <c r="BB91" s="235">
        <v>229</v>
      </c>
      <c r="BC91" s="231">
        <v>39.086702633159703</v>
      </c>
      <c r="BD91" s="232" t="s">
        <v>55</v>
      </c>
      <c r="BE91" s="229">
        <v>1.2214594572862401</v>
      </c>
      <c r="BF91" s="230">
        <v>24.271141822762601</v>
      </c>
      <c r="BG91" s="219">
        <v>0.02</v>
      </c>
      <c r="BH91" s="219">
        <v>0.02</v>
      </c>
      <c r="BI91" s="227">
        <v>0</v>
      </c>
      <c r="BJ91" s="227">
        <v>0</v>
      </c>
      <c r="BK91" s="220"/>
      <c r="BL91" s="236">
        <v>0.8</v>
      </c>
      <c r="BM91" s="239">
        <v>0.72</v>
      </c>
      <c r="BN91" s="237"/>
      <c r="BO91" s="238">
        <v>0.95</v>
      </c>
      <c r="BP91" s="229">
        <v>1</v>
      </c>
      <c r="BQ91" s="237">
        <v>2.5000000000000001E-3</v>
      </c>
    </row>
    <row r="92" spans="1:69" s="207" customFormat="1" ht="22.35" customHeight="1" x14ac:dyDescent="0.2">
      <c r="A92" s="216" t="s">
        <v>139</v>
      </c>
      <c r="B92" s="216" t="s">
        <v>140</v>
      </c>
      <c r="C92" s="216" t="s">
        <v>149</v>
      </c>
      <c r="D92" s="217">
        <v>3.2458373859999998</v>
      </c>
      <c r="E92" s="218"/>
      <c r="F92" s="219">
        <v>0.04</v>
      </c>
      <c r="G92" s="219">
        <v>0.03</v>
      </c>
      <c r="H92" s="220"/>
      <c r="I92" s="221">
        <v>5</v>
      </c>
      <c r="J92" s="221">
        <v>3</v>
      </c>
      <c r="K92" s="218"/>
      <c r="L92" s="222">
        <v>1648.2810899999999</v>
      </c>
      <c r="M92" s="222">
        <v>2332.2622299999998</v>
      </c>
      <c r="N92" s="222">
        <v>3980.5433200000002</v>
      </c>
      <c r="O92" s="217">
        <v>1226.35327856193</v>
      </c>
      <c r="P92" s="223">
        <v>247.02500000000001</v>
      </c>
      <c r="Q92" s="229">
        <v>4.9644905518143103</v>
      </c>
      <c r="R92" s="230">
        <v>3104.9744655379</v>
      </c>
      <c r="S92" s="219">
        <v>0.01</v>
      </c>
      <c r="T92" s="219">
        <v>0.01</v>
      </c>
      <c r="U92" s="226">
        <v>0</v>
      </c>
      <c r="V92" s="227">
        <v>0</v>
      </c>
      <c r="W92" s="218"/>
      <c r="X92" s="226">
        <v>1780.5033900000001</v>
      </c>
      <c r="Y92" s="217">
        <v>548.54978184665003</v>
      </c>
      <c r="Z92" s="228">
        <v>573</v>
      </c>
      <c r="AA92" s="233">
        <v>0.95732946221055804</v>
      </c>
      <c r="AB92" s="234">
        <v>-250.46899581837599</v>
      </c>
      <c r="AC92" s="219">
        <v>5.0000000000000001E-3</v>
      </c>
      <c r="AD92" s="219"/>
      <c r="AE92" s="227">
        <v>80</v>
      </c>
      <c r="AF92" s="227">
        <v>452</v>
      </c>
      <c r="AG92" s="218"/>
      <c r="AH92" s="231">
        <v>195.8</v>
      </c>
      <c r="AI92" s="217">
        <v>60.323416337653804</v>
      </c>
      <c r="AJ92" s="232" t="s">
        <v>53</v>
      </c>
      <c r="AK92" s="233">
        <v>0.95751454504212397</v>
      </c>
      <c r="AL92" s="234">
        <v>-27.500628807256</v>
      </c>
      <c r="AM92" s="219">
        <v>5.0000000000000001E-3</v>
      </c>
      <c r="AN92" s="219"/>
      <c r="AO92" s="227">
        <v>9</v>
      </c>
      <c r="AP92" s="227">
        <v>50</v>
      </c>
      <c r="AQ92" s="218"/>
      <c r="AR92" s="231">
        <v>26.6</v>
      </c>
      <c r="AS92" s="217">
        <v>8.1951117190071106</v>
      </c>
      <c r="AT92" s="232" t="s">
        <v>54</v>
      </c>
      <c r="AU92" s="224">
        <v>0.51219448243794397</v>
      </c>
      <c r="AV92" s="225">
        <v>-30.111270808192</v>
      </c>
      <c r="AW92" s="219"/>
      <c r="AX92" s="219"/>
      <c r="AY92" s="227">
        <v>26</v>
      </c>
      <c r="AZ92" s="227">
        <v>36</v>
      </c>
      <c r="BA92" s="218"/>
      <c r="BB92" s="235">
        <v>142.6</v>
      </c>
      <c r="BC92" s="231">
        <v>43.9331928996396</v>
      </c>
      <c r="BD92" s="232" t="s">
        <v>55</v>
      </c>
      <c r="BE92" s="229">
        <v>1.3729122781137399</v>
      </c>
      <c r="BF92" s="230">
        <v>29.177458383615999</v>
      </c>
      <c r="BG92" s="219">
        <v>0.02</v>
      </c>
      <c r="BH92" s="219">
        <v>0.02</v>
      </c>
      <c r="BI92" s="227">
        <v>0</v>
      </c>
      <c r="BJ92" s="227">
        <v>0</v>
      </c>
      <c r="BK92" s="220"/>
      <c r="BL92" s="236">
        <v>0.8</v>
      </c>
      <c r="BM92" s="239">
        <v>0.72</v>
      </c>
      <c r="BN92" s="237"/>
      <c r="BO92" s="238">
        <v>0.95</v>
      </c>
      <c r="BP92" s="229">
        <v>1</v>
      </c>
      <c r="BQ92" s="237">
        <v>2.5000000000000001E-3</v>
      </c>
    </row>
    <row r="93" spans="1:69" s="207" customFormat="1" ht="22.35" customHeight="1" x14ac:dyDescent="0.2">
      <c r="A93" s="216" t="s">
        <v>139</v>
      </c>
      <c r="B93" s="216" t="s">
        <v>140</v>
      </c>
      <c r="C93" s="216" t="s">
        <v>150</v>
      </c>
      <c r="D93" s="217">
        <v>5.9735728475555598</v>
      </c>
      <c r="E93" s="218"/>
      <c r="F93" s="219">
        <v>0.01</v>
      </c>
      <c r="G93" s="219">
        <v>0.01</v>
      </c>
      <c r="H93" s="220"/>
      <c r="I93" s="221">
        <v>2</v>
      </c>
      <c r="J93" s="221">
        <v>2</v>
      </c>
      <c r="K93" s="218"/>
      <c r="L93" s="222">
        <v>3828.3200099999999</v>
      </c>
      <c r="M93" s="222">
        <v>3035.2281499999999</v>
      </c>
      <c r="N93" s="222">
        <v>6863.5481600000003</v>
      </c>
      <c r="O93" s="217">
        <v>1148.9854288474301</v>
      </c>
      <c r="P93" s="223">
        <v>287.5</v>
      </c>
      <c r="Q93" s="229">
        <v>3.9964710568606301</v>
      </c>
      <c r="R93" s="230">
        <v>4988.1449645099301</v>
      </c>
      <c r="S93" s="219">
        <v>0.01</v>
      </c>
      <c r="T93" s="219">
        <v>0.01</v>
      </c>
      <c r="U93" s="226">
        <v>0</v>
      </c>
      <c r="V93" s="227">
        <v>0</v>
      </c>
      <c r="W93" s="218"/>
      <c r="X93" s="226">
        <v>2211.465655</v>
      </c>
      <c r="Y93" s="217">
        <v>370.20820059220603</v>
      </c>
      <c r="Z93" s="228">
        <v>573</v>
      </c>
      <c r="AA93" s="224">
        <v>0.64608761010856097</v>
      </c>
      <c r="AB93" s="225">
        <v>-1526.2944528810699</v>
      </c>
      <c r="AC93" s="219"/>
      <c r="AD93" s="219"/>
      <c r="AE93" s="227">
        <v>1212</v>
      </c>
      <c r="AF93" s="227">
        <v>1896</v>
      </c>
      <c r="AG93" s="218"/>
      <c r="AH93" s="231">
        <v>320.60000000000002</v>
      </c>
      <c r="AI93" s="217">
        <v>53.669722991859501</v>
      </c>
      <c r="AJ93" s="232" t="s">
        <v>53</v>
      </c>
      <c r="AK93" s="239">
        <v>0.85190036495014998</v>
      </c>
      <c r="AL93" s="222">
        <v>-90.357917620432303</v>
      </c>
      <c r="AM93" s="219"/>
      <c r="AN93" s="219"/>
      <c r="AO93" s="227">
        <v>56</v>
      </c>
      <c r="AP93" s="227">
        <v>132</v>
      </c>
      <c r="AQ93" s="218"/>
      <c r="AR93" s="231">
        <v>32.4</v>
      </c>
      <c r="AS93" s="217">
        <v>5.4238896598136197</v>
      </c>
      <c r="AT93" s="232" t="s">
        <v>54</v>
      </c>
      <c r="AU93" s="224">
        <v>0.33899310373835101</v>
      </c>
      <c r="AV93" s="225">
        <v>-71.970264792490795</v>
      </c>
      <c r="AW93" s="219"/>
      <c r="AX93" s="219"/>
      <c r="AY93" s="227">
        <v>64</v>
      </c>
      <c r="AZ93" s="227">
        <v>83</v>
      </c>
      <c r="BA93" s="218"/>
      <c r="BB93" s="235">
        <v>143.19999999999999</v>
      </c>
      <c r="BC93" s="231">
        <v>23.9722530643614</v>
      </c>
      <c r="BD93" s="232" t="s">
        <v>55</v>
      </c>
      <c r="BE93" s="239">
        <v>0.74913290826129497</v>
      </c>
      <c r="BF93" s="222">
        <v>-65.540529584981499</v>
      </c>
      <c r="BG93" s="219"/>
      <c r="BH93" s="219"/>
      <c r="BI93" s="227">
        <v>48</v>
      </c>
      <c r="BJ93" s="227">
        <v>87</v>
      </c>
      <c r="BK93" s="220"/>
      <c r="BL93" s="236">
        <v>0.8</v>
      </c>
      <c r="BM93" s="239">
        <v>0.76</v>
      </c>
      <c r="BN93" s="237"/>
      <c r="BO93" s="238">
        <v>0.95</v>
      </c>
      <c r="BP93" s="229">
        <v>1</v>
      </c>
      <c r="BQ93" s="237">
        <v>2.5000000000000001E-3</v>
      </c>
    </row>
    <row r="94" spans="1:69" s="207" customFormat="1" ht="22.35" customHeight="1" x14ac:dyDescent="0.2">
      <c r="A94" s="216" t="s">
        <v>139</v>
      </c>
      <c r="B94" s="216" t="s">
        <v>140</v>
      </c>
      <c r="C94" s="216" t="s">
        <v>151</v>
      </c>
      <c r="D94" s="217">
        <v>5.3472902687777797</v>
      </c>
      <c r="E94" s="218"/>
      <c r="F94" s="219">
        <v>0.01</v>
      </c>
      <c r="G94" s="219">
        <v>6.0000000000000001E-3</v>
      </c>
      <c r="H94" s="220"/>
      <c r="I94" s="221">
        <v>2</v>
      </c>
      <c r="J94" s="221">
        <v>2</v>
      </c>
      <c r="K94" s="218"/>
      <c r="L94" s="222">
        <v>2720.60277</v>
      </c>
      <c r="M94" s="222">
        <v>-1001.14422</v>
      </c>
      <c r="N94" s="222">
        <v>1719.4585500000001</v>
      </c>
      <c r="O94" s="217">
        <v>321.55698747826</v>
      </c>
      <c r="P94" s="223">
        <v>287.5</v>
      </c>
      <c r="Q94" s="229">
        <v>1.1184590868809099</v>
      </c>
      <c r="R94" s="230">
        <v>40.676770117216201</v>
      </c>
      <c r="S94" s="219">
        <v>0.01</v>
      </c>
      <c r="T94" s="219">
        <v>6.0000000000000001E-3</v>
      </c>
      <c r="U94" s="226">
        <v>0</v>
      </c>
      <c r="V94" s="227">
        <v>126</v>
      </c>
      <c r="W94" s="218"/>
      <c r="X94" s="226">
        <v>2406.7459749999998</v>
      </c>
      <c r="Y94" s="217">
        <v>450.08702614344998</v>
      </c>
      <c r="Z94" s="228">
        <v>573</v>
      </c>
      <c r="AA94" s="239">
        <v>0.78549219222242594</v>
      </c>
      <c r="AB94" s="222">
        <v>-939.13910281855703</v>
      </c>
      <c r="AC94" s="219"/>
      <c r="AD94" s="219"/>
      <c r="AE94" s="227">
        <v>658</v>
      </c>
      <c r="AF94" s="227">
        <v>1271</v>
      </c>
      <c r="AG94" s="218"/>
      <c r="AH94" s="231">
        <v>302.45</v>
      </c>
      <c r="AI94" s="217">
        <v>56.561358145446398</v>
      </c>
      <c r="AJ94" s="232" t="s">
        <v>53</v>
      </c>
      <c r="AK94" s="239">
        <v>0.89779933564200598</v>
      </c>
      <c r="AL94" s="222">
        <v>-65.422181330836196</v>
      </c>
      <c r="AM94" s="219"/>
      <c r="AN94" s="219"/>
      <c r="AO94" s="227">
        <v>35</v>
      </c>
      <c r="AP94" s="227">
        <v>102</v>
      </c>
      <c r="AQ94" s="218"/>
      <c r="AR94" s="231">
        <v>18.100000000000001</v>
      </c>
      <c r="AS94" s="217">
        <v>3.38489199018872</v>
      </c>
      <c r="AT94" s="232" t="s">
        <v>54</v>
      </c>
      <c r="AU94" s="224">
        <v>0.211555749386795</v>
      </c>
      <c r="AV94" s="225">
        <v>-75.327855576085398</v>
      </c>
      <c r="AW94" s="219"/>
      <c r="AX94" s="219"/>
      <c r="AY94" s="227">
        <v>68</v>
      </c>
      <c r="AZ94" s="227">
        <v>85</v>
      </c>
      <c r="BA94" s="218"/>
      <c r="BB94" s="235">
        <v>142</v>
      </c>
      <c r="BC94" s="231">
        <v>26.555506221370099</v>
      </c>
      <c r="BD94" s="232" t="s">
        <v>55</v>
      </c>
      <c r="BE94" s="239">
        <v>0.82985956941781502</v>
      </c>
      <c r="BF94" s="222">
        <v>-44.855711152170798</v>
      </c>
      <c r="BG94" s="219"/>
      <c r="BH94" s="219"/>
      <c r="BI94" s="227">
        <v>30</v>
      </c>
      <c r="BJ94" s="227">
        <v>64</v>
      </c>
      <c r="BK94" s="220"/>
      <c r="BL94" s="236">
        <v>0.8</v>
      </c>
      <c r="BM94" s="239">
        <v>0.7</v>
      </c>
      <c r="BN94" s="237"/>
      <c r="BO94" s="238">
        <v>0.95</v>
      </c>
      <c r="BP94" s="229">
        <v>1</v>
      </c>
      <c r="BQ94" s="237">
        <v>2.5000000000000001E-3</v>
      </c>
    </row>
    <row r="95" spans="1:69" s="207" customFormat="1" ht="22.35" customHeight="1" x14ac:dyDescent="0.2">
      <c r="A95" s="216" t="s">
        <v>139</v>
      </c>
      <c r="B95" s="216" t="s">
        <v>140</v>
      </c>
      <c r="C95" s="216" t="s">
        <v>152</v>
      </c>
      <c r="D95" s="217">
        <v>1.85767322355556</v>
      </c>
      <c r="E95" s="218"/>
      <c r="F95" s="219">
        <v>4.1000000000000002E-2</v>
      </c>
      <c r="G95" s="219">
        <v>3.1E-2</v>
      </c>
      <c r="H95" s="220"/>
      <c r="I95" s="221">
        <v>4</v>
      </c>
      <c r="J95" s="221">
        <v>4</v>
      </c>
      <c r="K95" s="218"/>
      <c r="L95" s="222">
        <v>1523.68885</v>
      </c>
      <c r="M95" s="222">
        <v>740.89972</v>
      </c>
      <c r="N95" s="222">
        <v>2264.5885699999999</v>
      </c>
      <c r="O95" s="217">
        <v>1219.0457079774301</v>
      </c>
      <c r="P95" s="223">
        <v>247.02500000000001</v>
      </c>
      <c r="Q95" s="229">
        <v>4.9349082399653099</v>
      </c>
      <c r="R95" s="230">
        <v>1763.4788029706999</v>
      </c>
      <c r="S95" s="219">
        <v>0.01</v>
      </c>
      <c r="T95" s="219">
        <v>0.01</v>
      </c>
      <c r="U95" s="226">
        <v>0</v>
      </c>
      <c r="V95" s="227">
        <v>0</v>
      </c>
      <c r="W95" s="218"/>
      <c r="X95" s="226">
        <v>1074.056</v>
      </c>
      <c r="Y95" s="217">
        <v>578.17273047854701</v>
      </c>
      <c r="Z95" s="228">
        <v>573</v>
      </c>
      <c r="AA95" s="233">
        <v>1.0090274528421399</v>
      </c>
      <c r="AB95" s="234">
        <v>-88.319858750290706</v>
      </c>
      <c r="AC95" s="219">
        <v>1.0999999999999999E-2</v>
      </c>
      <c r="AD95" s="219">
        <v>1E-3</v>
      </c>
      <c r="AE95" s="227">
        <v>0</v>
      </c>
      <c r="AF95" s="227">
        <v>204</v>
      </c>
      <c r="AG95" s="218"/>
      <c r="AH95" s="231">
        <v>100.7</v>
      </c>
      <c r="AI95" s="217">
        <v>54.207596213968102</v>
      </c>
      <c r="AJ95" s="232" t="s">
        <v>53</v>
      </c>
      <c r="AK95" s="239">
        <v>0.86043803514234996</v>
      </c>
      <c r="AL95" s="222">
        <v>-27.1004870877283</v>
      </c>
      <c r="AM95" s="219"/>
      <c r="AN95" s="219"/>
      <c r="AO95" s="227">
        <v>17</v>
      </c>
      <c r="AP95" s="227">
        <v>40</v>
      </c>
      <c r="AQ95" s="218"/>
      <c r="AR95" s="231">
        <v>25.9</v>
      </c>
      <c r="AS95" s="217">
        <v>13.942172213920299</v>
      </c>
      <c r="AT95" s="232" t="s">
        <v>54</v>
      </c>
      <c r="AU95" s="239">
        <v>0.87138576337001705</v>
      </c>
      <c r="AV95" s="222">
        <v>-6.5572665619627504</v>
      </c>
      <c r="AW95" s="219"/>
      <c r="AX95" s="219"/>
      <c r="AY95" s="227">
        <v>4</v>
      </c>
      <c r="AZ95" s="227">
        <v>10</v>
      </c>
      <c r="BA95" s="218"/>
      <c r="BB95" s="235">
        <v>93</v>
      </c>
      <c r="BC95" s="231">
        <v>50.062626096316102</v>
      </c>
      <c r="BD95" s="232" t="s">
        <v>55</v>
      </c>
      <c r="BE95" s="229">
        <v>1.56445706550988</v>
      </c>
      <c r="BF95" s="230">
        <v>28.085466876074499</v>
      </c>
      <c r="BG95" s="219">
        <v>0.02</v>
      </c>
      <c r="BH95" s="219">
        <v>0.02</v>
      </c>
      <c r="BI95" s="227">
        <v>0</v>
      </c>
      <c r="BJ95" s="227">
        <v>0</v>
      </c>
      <c r="BK95" s="220"/>
      <c r="BL95" s="236">
        <v>0.8</v>
      </c>
      <c r="BM95" s="239">
        <v>0.77</v>
      </c>
      <c r="BN95" s="237"/>
      <c r="BO95" s="238">
        <v>0.95</v>
      </c>
      <c r="BP95" s="229">
        <v>1</v>
      </c>
      <c r="BQ95" s="237">
        <v>2.5000000000000001E-3</v>
      </c>
    </row>
    <row r="96" spans="1:69" s="207" customFormat="1" ht="22.35" customHeight="1" x14ac:dyDescent="0.2">
      <c r="A96" s="216" t="s">
        <v>139</v>
      </c>
      <c r="B96" s="216" t="s">
        <v>140</v>
      </c>
      <c r="C96" s="216" t="s">
        <v>153</v>
      </c>
      <c r="D96" s="217">
        <v>3.3075077187777802</v>
      </c>
      <c r="E96" s="218"/>
      <c r="F96" s="219">
        <v>5.8999999999999997E-2</v>
      </c>
      <c r="G96" s="219">
        <v>3.9E-2</v>
      </c>
      <c r="H96" s="220"/>
      <c r="I96" s="221">
        <v>5</v>
      </c>
      <c r="J96" s="221">
        <v>5</v>
      </c>
      <c r="K96" s="218"/>
      <c r="L96" s="222">
        <v>1446.9458999999999</v>
      </c>
      <c r="M96" s="222">
        <v>1103.84086</v>
      </c>
      <c r="N96" s="222">
        <v>2550.78676</v>
      </c>
      <c r="O96" s="217">
        <v>771.21112840292699</v>
      </c>
      <c r="P96" s="223">
        <v>248.167</v>
      </c>
      <c r="Q96" s="229">
        <v>3.10762965423657</v>
      </c>
      <c r="R96" s="230">
        <v>1654.4575792938499</v>
      </c>
      <c r="S96" s="219">
        <v>0.01</v>
      </c>
      <c r="T96" s="219">
        <v>0.01</v>
      </c>
      <c r="U96" s="226">
        <v>0</v>
      </c>
      <c r="V96" s="227">
        <v>0</v>
      </c>
      <c r="W96" s="218"/>
      <c r="X96" s="226">
        <v>2022.3403000000001</v>
      </c>
      <c r="Y96" s="217">
        <v>611.43932892991495</v>
      </c>
      <c r="Z96" s="228">
        <v>573</v>
      </c>
      <c r="AA96" s="233">
        <v>1.0670843436822299</v>
      </c>
      <c r="AB96" s="234">
        <v>-47.220199762757403</v>
      </c>
      <c r="AC96" s="219">
        <v>1.7000000000000001E-2</v>
      </c>
      <c r="AD96" s="219">
        <v>7.0000000000000001E-3</v>
      </c>
      <c r="AE96" s="227">
        <v>0</v>
      </c>
      <c r="AF96" s="227">
        <v>252</v>
      </c>
      <c r="AG96" s="218"/>
      <c r="AH96" s="231">
        <v>212.75</v>
      </c>
      <c r="AI96" s="217">
        <v>64.323357067966995</v>
      </c>
      <c r="AJ96" s="232" t="s">
        <v>53</v>
      </c>
      <c r="AK96" s="233">
        <v>1.0210056677455099</v>
      </c>
      <c r="AL96" s="234">
        <v>-14.7933010210362</v>
      </c>
      <c r="AM96" s="219">
        <v>1.2E-2</v>
      </c>
      <c r="AN96" s="219">
        <v>2E-3</v>
      </c>
      <c r="AO96" s="227">
        <v>0</v>
      </c>
      <c r="AP96" s="227">
        <v>38</v>
      </c>
      <c r="AQ96" s="218"/>
      <c r="AR96" s="231">
        <v>14.6</v>
      </c>
      <c r="AS96" s="217">
        <v>4.4141998269909202</v>
      </c>
      <c r="AT96" s="232" t="s">
        <v>54</v>
      </c>
      <c r="AU96" s="224">
        <v>0.27588748918693301</v>
      </c>
      <c r="AV96" s="225">
        <v>-43.188774862485403</v>
      </c>
      <c r="AW96" s="219"/>
      <c r="AX96" s="219"/>
      <c r="AY96" s="227">
        <v>39</v>
      </c>
      <c r="AZ96" s="227">
        <v>49</v>
      </c>
      <c r="BA96" s="218"/>
      <c r="BB96" s="235">
        <v>129.6</v>
      </c>
      <c r="BC96" s="231">
        <v>39.183582025892001</v>
      </c>
      <c r="BD96" s="232" t="s">
        <v>55</v>
      </c>
      <c r="BE96" s="229">
        <v>1.2244869383091299</v>
      </c>
      <c r="BF96" s="230">
        <v>14.0224502750292</v>
      </c>
      <c r="BG96" s="219">
        <v>0.02</v>
      </c>
      <c r="BH96" s="219">
        <v>0.02</v>
      </c>
      <c r="BI96" s="227">
        <v>0</v>
      </c>
      <c r="BJ96" s="227">
        <v>0</v>
      </c>
      <c r="BK96" s="220"/>
      <c r="BL96" s="236">
        <v>0.8</v>
      </c>
      <c r="BM96" s="239">
        <v>0.71</v>
      </c>
      <c r="BN96" s="237"/>
      <c r="BO96" s="238">
        <v>0.95</v>
      </c>
      <c r="BP96" s="229">
        <v>1</v>
      </c>
      <c r="BQ96" s="237">
        <v>2.5000000000000001E-3</v>
      </c>
    </row>
    <row r="97" spans="1:69" s="207" customFormat="1" ht="22.35" customHeight="1" x14ac:dyDescent="0.2">
      <c r="A97" s="216" t="s">
        <v>139</v>
      </c>
      <c r="B97" s="216" t="s">
        <v>140</v>
      </c>
      <c r="C97" s="216" t="s">
        <v>154</v>
      </c>
      <c r="D97" s="217">
        <v>3.0547893162222199</v>
      </c>
      <c r="E97" s="218"/>
      <c r="F97" s="219">
        <v>1.2999999999999999E-2</v>
      </c>
      <c r="G97" s="219">
        <v>0.01</v>
      </c>
      <c r="H97" s="220"/>
      <c r="I97" s="221">
        <v>3</v>
      </c>
      <c r="J97" s="221">
        <v>2</v>
      </c>
      <c r="K97" s="218"/>
      <c r="L97" s="222">
        <v>1886.5208700000001</v>
      </c>
      <c r="M97" s="222">
        <v>1447.41742</v>
      </c>
      <c r="N97" s="222">
        <v>3333.9382900000001</v>
      </c>
      <c r="O97" s="217">
        <v>1091.3807614473999</v>
      </c>
      <c r="P97" s="223">
        <v>285.53899999999999</v>
      </c>
      <c r="Q97" s="229">
        <v>3.8221775710057102</v>
      </c>
      <c r="R97" s="230">
        <v>2381.4287466712599</v>
      </c>
      <c r="S97" s="219">
        <v>0.01</v>
      </c>
      <c r="T97" s="219">
        <v>0.01</v>
      </c>
      <c r="U97" s="226">
        <v>0</v>
      </c>
      <c r="V97" s="227">
        <v>0</v>
      </c>
      <c r="W97" s="218"/>
      <c r="X97" s="226">
        <v>1066.3833299999999</v>
      </c>
      <c r="Y97" s="217">
        <v>349.08572068687499</v>
      </c>
      <c r="Z97" s="228">
        <v>573</v>
      </c>
      <c r="AA97" s="224">
        <v>0.60922464343259097</v>
      </c>
      <c r="AB97" s="225">
        <v>-845.04722178930194</v>
      </c>
      <c r="AC97" s="219"/>
      <c r="AD97" s="219"/>
      <c r="AE97" s="227">
        <v>685</v>
      </c>
      <c r="AF97" s="227">
        <v>1035</v>
      </c>
      <c r="AG97" s="218"/>
      <c r="AH97" s="231">
        <v>141.5</v>
      </c>
      <c r="AI97" s="217">
        <v>46.320706717342198</v>
      </c>
      <c r="AJ97" s="232" t="s">
        <v>53</v>
      </c>
      <c r="AK97" s="239">
        <v>0.73524931297368601</v>
      </c>
      <c r="AL97" s="222">
        <v>-68.657285798823906</v>
      </c>
      <c r="AM97" s="219"/>
      <c r="AN97" s="219"/>
      <c r="AO97" s="227">
        <v>51</v>
      </c>
      <c r="AP97" s="227">
        <v>90</v>
      </c>
      <c r="AQ97" s="218"/>
      <c r="AR97" s="231">
        <v>17.399999999999999</v>
      </c>
      <c r="AS97" s="217">
        <v>5.69597382955304</v>
      </c>
      <c r="AT97" s="232" t="s">
        <v>54</v>
      </c>
      <c r="AU97" s="224">
        <v>0.355998364347065</v>
      </c>
      <c r="AV97" s="225">
        <v>-35.973278933034599</v>
      </c>
      <c r="AW97" s="219"/>
      <c r="AX97" s="219"/>
      <c r="AY97" s="227">
        <v>32</v>
      </c>
      <c r="AZ97" s="227">
        <v>42</v>
      </c>
      <c r="BA97" s="218"/>
      <c r="BB97" s="235">
        <v>91.6</v>
      </c>
      <c r="BC97" s="231">
        <v>29.985701309601001</v>
      </c>
      <c r="BD97" s="232" t="s">
        <v>55</v>
      </c>
      <c r="BE97" s="233">
        <v>0.93705316592503296</v>
      </c>
      <c r="BF97" s="234">
        <v>-15.146557866069299</v>
      </c>
      <c r="BG97" s="219">
        <v>3.0000000000000001E-3</v>
      </c>
      <c r="BH97" s="219"/>
      <c r="BI97" s="227">
        <v>7</v>
      </c>
      <c r="BJ97" s="227">
        <v>26</v>
      </c>
      <c r="BK97" s="220"/>
      <c r="BL97" s="236">
        <v>0.8</v>
      </c>
      <c r="BM97" s="239">
        <v>0.78</v>
      </c>
      <c r="BN97" s="237"/>
      <c r="BO97" s="238">
        <v>0.95</v>
      </c>
      <c r="BP97" s="229">
        <v>1</v>
      </c>
      <c r="BQ97" s="237">
        <v>2.5000000000000001E-3</v>
      </c>
    </row>
    <row r="98" spans="1:69" s="207" customFormat="1" ht="22.35" customHeight="1" x14ac:dyDescent="0.2">
      <c r="A98" s="216" t="s">
        <v>139</v>
      </c>
      <c r="B98" s="216" t="s">
        <v>140</v>
      </c>
      <c r="C98" s="216" t="s">
        <v>155</v>
      </c>
      <c r="D98" s="217">
        <v>2.7451908808888899</v>
      </c>
      <c r="E98" s="218"/>
      <c r="F98" s="219">
        <v>3.7999999999999999E-2</v>
      </c>
      <c r="G98" s="219">
        <v>2.9000000000000001E-2</v>
      </c>
      <c r="H98" s="220"/>
      <c r="I98" s="221">
        <v>4</v>
      </c>
      <c r="J98" s="221">
        <v>3</v>
      </c>
      <c r="K98" s="218"/>
      <c r="L98" s="222">
        <v>413.00596999999999</v>
      </c>
      <c r="M98" s="222">
        <v>619.86054000000001</v>
      </c>
      <c r="N98" s="222">
        <v>1032.8665100000001</v>
      </c>
      <c r="O98" s="217">
        <v>376.245789387716</v>
      </c>
      <c r="P98" s="223">
        <v>287.5</v>
      </c>
      <c r="Q98" s="229">
        <v>1.30868100656597</v>
      </c>
      <c r="R98" s="230">
        <v>171.013832944933</v>
      </c>
      <c r="S98" s="219">
        <v>0.01</v>
      </c>
      <c r="T98" s="219">
        <v>0.01</v>
      </c>
      <c r="U98" s="226">
        <v>0</v>
      </c>
      <c r="V98" s="227">
        <v>0</v>
      </c>
      <c r="W98" s="218"/>
      <c r="X98" s="226">
        <v>699.65944000000002</v>
      </c>
      <c r="Y98" s="217">
        <v>254.867319016247</v>
      </c>
      <c r="Z98" s="228">
        <v>573</v>
      </c>
      <c r="AA98" s="224">
        <v>0.444794623065003</v>
      </c>
      <c r="AB98" s="225">
        <v>-1018.05041722627</v>
      </c>
      <c r="AC98" s="219"/>
      <c r="AD98" s="219"/>
      <c r="AE98" s="227">
        <v>874</v>
      </c>
      <c r="AF98" s="227">
        <v>1188</v>
      </c>
      <c r="AG98" s="218"/>
      <c r="AH98" s="231">
        <v>169.4</v>
      </c>
      <c r="AI98" s="217">
        <v>61.7079129831396</v>
      </c>
      <c r="AJ98" s="232" t="s">
        <v>53</v>
      </c>
      <c r="AK98" s="233">
        <v>0.97949068227205804</v>
      </c>
      <c r="AL98" s="234">
        <v>-19.458151841632102</v>
      </c>
      <c r="AM98" s="219">
        <v>8.0000000000000002E-3</v>
      </c>
      <c r="AN98" s="219"/>
      <c r="AO98" s="227">
        <v>4</v>
      </c>
      <c r="AP98" s="227">
        <v>39</v>
      </c>
      <c r="AQ98" s="218"/>
      <c r="AR98" s="231">
        <v>23.6</v>
      </c>
      <c r="AS98" s="217">
        <v>8.5968521039084695</v>
      </c>
      <c r="AT98" s="232" t="s">
        <v>54</v>
      </c>
      <c r="AU98" s="224">
        <v>0.53730325649427901</v>
      </c>
      <c r="AV98" s="225">
        <v>-24.363975070890699</v>
      </c>
      <c r="AW98" s="219"/>
      <c r="AX98" s="219"/>
      <c r="AY98" s="227">
        <v>21</v>
      </c>
      <c r="AZ98" s="227">
        <v>30</v>
      </c>
      <c r="BA98" s="218"/>
      <c r="BB98" s="235">
        <v>104.4</v>
      </c>
      <c r="BC98" s="231">
        <v>38.030142357968003</v>
      </c>
      <c r="BD98" s="232" t="s">
        <v>55</v>
      </c>
      <c r="BE98" s="229">
        <v>1.1884419486865001</v>
      </c>
      <c r="BF98" s="230">
        <v>8.4720498582186092</v>
      </c>
      <c r="BG98" s="219">
        <v>0.02</v>
      </c>
      <c r="BH98" s="219">
        <v>1.9E-2</v>
      </c>
      <c r="BI98" s="227">
        <v>0</v>
      </c>
      <c r="BJ98" s="227">
        <v>2</v>
      </c>
      <c r="BK98" s="220"/>
      <c r="BL98" s="236">
        <v>0.8</v>
      </c>
      <c r="BM98" s="239">
        <v>0.7</v>
      </c>
      <c r="BN98" s="237"/>
      <c r="BO98" s="238">
        <v>0.95</v>
      </c>
      <c r="BP98" s="229">
        <v>1</v>
      </c>
      <c r="BQ98" s="237">
        <v>2.5000000000000001E-3</v>
      </c>
    </row>
    <row r="99" spans="1:69" s="207" customFormat="1" ht="22.35" customHeight="1" x14ac:dyDescent="0.2">
      <c r="A99" s="216" t="s">
        <v>139</v>
      </c>
      <c r="B99" s="216" t="s">
        <v>140</v>
      </c>
      <c r="C99" s="216" t="s">
        <v>156</v>
      </c>
      <c r="D99" s="217">
        <v>3.756503602</v>
      </c>
      <c r="E99" s="218"/>
      <c r="F99" s="219">
        <v>4.2999999999999997E-2</v>
      </c>
      <c r="G99" s="219">
        <v>3.2000000000000001E-2</v>
      </c>
      <c r="H99" s="220"/>
      <c r="I99" s="221">
        <v>5</v>
      </c>
      <c r="J99" s="221">
        <v>4</v>
      </c>
      <c r="K99" s="218"/>
      <c r="L99" s="222">
        <v>1727.7213099999999</v>
      </c>
      <c r="M99" s="222">
        <v>29.659949999999998</v>
      </c>
      <c r="N99" s="222">
        <v>1757.3812600000001</v>
      </c>
      <c r="O99" s="217">
        <v>467.82365896424301</v>
      </c>
      <c r="P99" s="223">
        <v>261.89100000000002</v>
      </c>
      <c r="Q99" s="229">
        <v>1.7863296522761101</v>
      </c>
      <c r="R99" s="230">
        <v>683.07768256413101</v>
      </c>
      <c r="S99" s="219">
        <v>0.01</v>
      </c>
      <c r="T99" s="219">
        <v>0.01</v>
      </c>
      <c r="U99" s="226">
        <v>0</v>
      </c>
      <c r="V99" s="227">
        <v>0</v>
      </c>
      <c r="W99" s="218"/>
      <c r="X99" s="226">
        <v>2194.4523450000002</v>
      </c>
      <c r="Y99" s="217">
        <v>584.1741623332</v>
      </c>
      <c r="Z99" s="228">
        <v>573</v>
      </c>
      <c r="AA99" s="233">
        <v>1.0195011559043601</v>
      </c>
      <c r="AB99" s="234">
        <v>-156.052062829032</v>
      </c>
      <c r="AC99" s="219">
        <v>1.2E-2</v>
      </c>
      <c r="AD99" s="219">
        <v>2E-3</v>
      </c>
      <c r="AE99" s="227">
        <v>0</v>
      </c>
      <c r="AF99" s="227">
        <v>389</v>
      </c>
      <c r="AG99" s="218"/>
      <c r="AH99" s="231">
        <v>217.85</v>
      </c>
      <c r="AI99" s="217">
        <v>57.992756850815901</v>
      </c>
      <c r="AJ99" s="232" t="s">
        <v>53</v>
      </c>
      <c r="AK99" s="233">
        <v>0.92051995001294995</v>
      </c>
      <c r="AL99" s="234">
        <v>-40.582421803191998</v>
      </c>
      <c r="AM99" s="219">
        <v>1E-3</v>
      </c>
      <c r="AN99" s="219"/>
      <c r="AO99" s="227">
        <v>19</v>
      </c>
      <c r="AP99" s="227">
        <v>67</v>
      </c>
      <c r="AQ99" s="218"/>
      <c r="AR99" s="231">
        <v>24</v>
      </c>
      <c r="AS99" s="217">
        <v>6.3889197356877698</v>
      </c>
      <c r="AT99" s="232" t="s">
        <v>54</v>
      </c>
      <c r="AU99" s="224">
        <v>0.399307483480486</v>
      </c>
      <c r="AV99" s="225">
        <v>-41.633630934144001</v>
      </c>
      <c r="AW99" s="219"/>
      <c r="AX99" s="219"/>
      <c r="AY99" s="227">
        <v>37</v>
      </c>
      <c r="AZ99" s="227">
        <v>49</v>
      </c>
      <c r="BA99" s="218"/>
      <c r="BB99" s="235">
        <v>154</v>
      </c>
      <c r="BC99" s="231">
        <v>40.9955683039965</v>
      </c>
      <c r="BD99" s="232" t="s">
        <v>55</v>
      </c>
      <c r="BE99" s="229">
        <v>1.2811115094998899</v>
      </c>
      <c r="BF99" s="230">
        <v>22.732738131712001</v>
      </c>
      <c r="BG99" s="219">
        <v>0.02</v>
      </c>
      <c r="BH99" s="219">
        <v>0.02</v>
      </c>
      <c r="BI99" s="227">
        <v>0</v>
      </c>
      <c r="BJ99" s="227">
        <v>0</v>
      </c>
      <c r="BK99" s="220"/>
      <c r="BL99" s="236">
        <v>0.8</v>
      </c>
      <c r="BM99" s="239">
        <v>0.71</v>
      </c>
      <c r="BN99" s="237"/>
      <c r="BO99" s="238">
        <v>0.95</v>
      </c>
      <c r="BP99" s="229">
        <v>1</v>
      </c>
      <c r="BQ99" s="237">
        <v>2.5000000000000001E-3</v>
      </c>
    </row>
    <row r="100" spans="1:69" s="207" customFormat="1" ht="22.35" customHeight="1" x14ac:dyDescent="0.2">
      <c r="A100" s="216" t="s">
        <v>139</v>
      </c>
      <c r="B100" s="216" t="s">
        <v>140</v>
      </c>
      <c r="C100" s="216" t="s">
        <v>157</v>
      </c>
      <c r="D100" s="217">
        <v>2.8448773448888902</v>
      </c>
      <c r="E100" s="218"/>
      <c r="F100" s="219">
        <v>0.01</v>
      </c>
      <c r="G100" s="219">
        <v>0.01</v>
      </c>
      <c r="H100" s="220"/>
      <c r="I100" s="221">
        <v>2</v>
      </c>
      <c r="J100" s="221">
        <v>2</v>
      </c>
      <c r="K100" s="218"/>
      <c r="L100" s="222">
        <v>1494.0301099999999</v>
      </c>
      <c r="M100" s="222">
        <v>-154.24280999999999</v>
      </c>
      <c r="N100" s="222">
        <v>1339.7873</v>
      </c>
      <c r="O100" s="217">
        <v>470.94729845104399</v>
      </c>
      <c r="P100" s="223">
        <v>228.56200000000001</v>
      </c>
      <c r="Q100" s="229">
        <v>2.0604794254996199</v>
      </c>
      <c r="R100" s="230">
        <v>629.735205572876</v>
      </c>
      <c r="S100" s="219">
        <v>0.01</v>
      </c>
      <c r="T100" s="219">
        <v>0.01</v>
      </c>
      <c r="U100" s="226">
        <v>0</v>
      </c>
      <c r="V100" s="227">
        <v>0</v>
      </c>
      <c r="W100" s="218"/>
      <c r="X100" s="226">
        <v>952.90559499999995</v>
      </c>
      <c r="Y100" s="217">
        <v>334.95489593320798</v>
      </c>
      <c r="Z100" s="228">
        <v>573</v>
      </c>
      <c r="AA100" s="224">
        <v>0.58456351820804298</v>
      </c>
      <c r="AB100" s="225">
        <v>-827.17967773449698</v>
      </c>
      <c r="AC100" s="219"/>
      <c r="AD100" s="219"/>
      <c r="AE100" s="227">
        <v>678</v>
      </c>
      <c r="AF100" s="227">
        <v>1004</v>
      </c>
      <c r="AG100" s="218"/>
      <c r="AH100" s="231">
        <v>106.3</v>
      </c>
      <c r="AI100" s="217">
        <v>37.3654070503176</v>
      </c>
      <c r="AJ100" s="232" t="s">
        <v>53</v>
      </c>
      <c r="AK100" s="224">
        <v>0.59310169921139</v>
      </c>
      <c r="AL100" s="225">
        <v>-89.416181818976099</v>
      </c>
      <c r="AM100" s="219"/>
      <c r="AN100" s="219"/>
      <c r="AO100" s="227">
        <v>73</v>
      </c>
      <c r="AP100" s="227">
        <v>109</v>
      </c>
      <c r="AQ100" s="218"/>
      <c r="AR100" s="231">
        <v>1</v>
      </c>
      <c r="AS100" s="217">
        <v>0.35150900329555601</v>
      </c>
      <c r="AT100" s="232" t="s">
        <v>54</v>
      </c>
      <c r="AU100" s="224">
        <v>2.1969312705972199E-2</v>
      </c>
      <c r="AV100" s="225">
        <v>-48.705696969898703</v>
      </c>
      <c r="AW100" s="219"/>
      <c r="AX100" s="219"/>
      <c r="AY100" s="227">
        <v>45</v>
      </c>
      <c r="AZ100" s="227">
        <v>54</v>
      </c>
      <c r="BA100" s="218"/>
      <c r="BB100" s="235">
        <v>49.4</v>
      </c>
      <c r="BC100" s="231">
        <v>17.364544762800399</v>
      </c>
      <c r="BD100" s="232" t="s">
        <v>55</v>
      </c>
      <c r="BE100" s="224">
        <v>0.54264202383751403</v>
      </c>
      <c r="BF100" s="225">
        <v>-50.011393939797401</v>
      </c>
      <c r="BG100" s="219"/>
      <c r="BH100" s="219"/>
      <c r="BI100" s="227">
        <v>42</v>
      </c>
      <c r="BJ100" s="227">
        <v>60</v>
      </c>
      <c r="BK100" s="220"/>
      <c r="BL100" s="236">
        <v>0.8</v>
      </c>
      <c r="BM100" s="239">
        <v>0.75</v>
      </c>
      <c r="BN100" s="237"/>
      <c r="BO100" s="238">
        <v>0.95</v>
      </c>
      <c r="BP100" s="229">
        <v>1</v>
      </c>
      <c r="BQ100" s="237">
        <v>2.5000000000000001E-3</v>
      </c>
    </row>
    <row r="101" spans="1:69" s="207" customFormat="1" ht="22.35" customHeight="1" x14ac:dyDescent="0.2">
      <c r="A101" s="216" t="s">
        <v>139</v>
      </c>
      <c r="B101" s="216" t="s">
        <v>140</v>
      </c>
      <c r="C101" s="216" t="s">
        <v>158</v>
      </c>
      <c r="D101" s="217">
        <v>2.4566604814444402</v>
      </c>
      <c r="E101" s="218"/>
      <c r="F101" s="219">
        <v>0.01</v>
      </c>
      <c r="G101" s="219">
        <v>0.01</v>
      </c>
      <c r="H101" s="220"/>
      <c r="I101" s="221">
        <v>2</v>
      </c>
      <c r="J101" s="221">
        <v>2</v>
      </c>
      <c r="K101" s="218"/>
      <c r="L101" s="222">
        <v>1398.3889799999999</v>
      </c>
      <c r="M101" s="222">
        <v>353.37722000000002</v>
      </c>
      <c r="N101" s="222">
        <v>1751.7662</v>
      </c>
      <c r="O101" s="217">
        <v>713.06809110635095</v>
      </c>
      <c r="P101" s="223">
        <v>287.5</v>
      </c>
      <c r="Q101" s="229">
        <v>2.4802368386307898</v>
      </c>
      <c r="R101" s="230">
        <v>980.49764185051799</v>
      </c>
      <c r="S101" s="219">
        <v>0.01</v>
      </c>
      <c r="T101" s="219">
        <v>0.01</v>
      </c>
      <c r="U101" s="226">
        <v>0</v>
      </c>
      <c r="V101" s="227">
        <v>0</v>
      </c>
      <c r="W101" s="218"/>
      <c r="X101" s="226">
        <v>740.01513499999999</v>
      </c>
      <c r="Y101" s="217">
        <v>301.22808609063202</v>
      </c>
      <c r="Z101" s="228">
        <v>573</v>
      </c>
      <c r="AA101" s="224">
        <v>0.525703466126757</v>
      </c>
      <c r="AB101" s="225">
        <v>-797.15663480748901</v>
      </c>
      <c r="AC101" s="219"/>
      <c r="AD101" s="219"/>
      <c r="AE101" s="227">
        <v>668</v>
      </c>
      <c r="AF101" s="227">
        <v>950</v>
      </c>
      <c r="AG101" s="218"/>
      <c r="AH101" s="231">
        <v>87.3</v>
      </c>
      <c r="AI101" s="217">
        <v>35.536046050885403</v>
      </c>
      <c r="AJ101" s="232" t="s">
        <v>53</v>
      </c>
      <c r="AK101" s="224">
        <v>0.56406422302992598</v>
      </c>
      <c r="AL101" s="225">
        <v>-81.708414481451697</v>
      </c>
      <c r="AM101" s="219"/>
      <c r="AN101" s="219"/>
      <c r="AO101" s="227">
        <v>68</v>
      </c>
      <c r="AP101" s="227">
        <v>99</v>
      </c>
      <c r="AQ101" s="218"/>
      <c r="AR101" s="231">
        <v>1.5</v>
      </c>
      <c r="AS101" s="217">
        <v>0.61058498369218805</v>
      </c>
      <c r="AT101" s="232" t="s">
        <v>54</v>
      </c>
      <c r="AU101" s="224">
        <v>3.8161561480761802E-2</v>
      </c>
      <c r="AV101" s="225">
        <v>-41.4227719317973</v>
      </c>
      <c r="AW101" s="219"/>
      <c r="AX101" s="219"/>
      <c r="AY101" s="227">
        <v>38</v>
      </c>
      <c r="AZ101" s="227">
        <v>46</v>
      </c>
      <c r="BA101" s="218"/>
      <c r="BB101" s="235">
        <v>68.400000000000006</v>
      </c>
      <c r="BC101" s="231">
        <v>27.842675256363801</v>
      </c>
      <c r="BD101" s="232" t="s">
        <v>55</v>
      </c>
      <c r="BE101" s="239">
        <v>0.87008360176136901</v>
      </c>
      <c r="BF101" s="222">
        <v>-17.445543863594501</v>
      </c>
      <c r="BG101" s="219"/>
      <c r="BH101" s="219"/>
      <c r="BI101" s="227">
        <v>11</v>
      </c>
      <c r="BJ101" s="227">
        <v>26</v>
      </c>
      <c r="BK101" s="220"/>
      <c r="BL101" s="236">
        <v>0.8</v>
      </c>
      <c r="BM101" s="239">
        <v>0.77</v>
      </c>
      <c r="BN101" s="237"/>
      <c r="BO101" s="238">
        <v>0.95</v>
      </c>
      <c r="BP101" s="229">
        <v>1</v>
      </c>
      <c r="BQ101" s="237">
        <v>2.5000000000000001E-3</v>
      </c>
    </row>
    <row r="102" spans="1:69" s="207" customFormat="1" ht="22.35" customHeight="1" x14ac:dyDescent="0.2">
      <c r="A102" s="216" t="s">
        <v>139</v>
      </c>
      <c r="B102" s="216" t="s">
        <v>159</v>
      </c>
      <c r="C102" s="216" t="s">
        <v>160</v>
      </c>
      <c r="D102" s="217">
        <v>3.9968760643333301</v>
      </c>
      <c r="E102" s="218"/>
      <c r="F102" s="219">
        <v>0.01</v>
      </c>
      <c r="G102" s="219">
        <v>0.01</v>
      </c>
      <c r="H102" s="220"/>
      <c r="I102" s="221">
        <v>2</v>
      </c>
      <c r="J102" s="221">
        <v>2</v>
      </c>
      <c r="K102" s="218"/>
      <c r="L102" s="222">
        <v>6038.06945</v>
      </c>
      <c r="M102" s="222">
        <v>-242.11984000000001</v>
      </c>
      <c r="N102" s="222">
        <v>5795.9496099999997</v>
      </c>
      <c r="O102" s="217">
        <v>1450.1199228369701</v>
      </c>
      <c r="P102" s="223">
        <v>274.60399999999998</v>
      </c>
      <c r="Q102" s="229">
        <v>5.2807676612029297</v>
      </c>
      <c r="R102" s="230">
        <v>4597.4161049909499</v>
      </c>
      <c r="S102" s="219">
        <v>0.01</v>
      </c>
      <c r="T102" s="219">
        <v>0.01</v>
      </c>
      <c r="U102" s="226">
        <v>0</v>
      </c>
      <c r="V102" s="227">
        <v>0</v>
      </c>
      <c r="W102" s="218"/>
      <c r="X102" s="226">
        <v>1696.637375</v>
      </c>
      <c r="Y102" s="217">
        <v>424.49086428778099</v>
      </c>
      <c r="Z102" s="228">
        <v>573</v>
      </c>
      <c r="AA102" s="239">
        <v>0.74082175268373596</v>
      </c>
      <c r="AB102" s="222">
        <v>-804.27192847039396</v>
      </c>
      <c r="AC102" s="219"/>
      <c r="AD102" s="219"/>
      <c r="AE102" s="227">
        <v>594</v>
      </c>
      <c r="AF102" s="227">
        <v>1052</v>
      </c>
      <c r="AG102" s="218"/>
      <c r="AH102" s="231">
        <v>128.30000000000001</v>
      </c>
      <c r="AI102" s="217">
        <v>32.100069638111201</v>
      </c>
      <c r="AJ102" s="232" t="s">
        <v>53</v>
      </c>
      <c r="AK102" s="224">
        <v>0.50952491489065499</v>
      </c>
      <c r="AL102" s="225">
        <v>-146.669085721876</v>
      </c>
      <c r="AM102" s="219"/>
      <c r="AN102" s="219"/>
      <c r="AO102" s="227">
        <v>124</v>
      </c>
      <c r="AP102" s="227">
        <v>174</v>
      </c>
      <c r="AQ102" s="218"/>
      <c r="AR102" s="231">
        <v>8</v>
      </c>
      <c r="AS102" s="217">
        <v>2.0015631886585301</v>
      </c>
      <c r="AT102" s="232" t="s">
        <v>54</v>
      </c>
      <c r="AU102" s="224">
        <v>0.12509769929115799</v>
      </c>
      <c r="AV102" s="225">
        <v>-61.833418596031997</v>
      </c>
      <c r="AW102" s="219"/>
      <c r="AX102" s="219"/>
      <c r="AY102" s="227">
        <v>56</v>
      </c>
      <c r="AZ102" s="227">
        <v>69</v>
      </c>
      <c r="BA102" s="218"/>
      <c r="BB102" s="235">
        <v>97.2</v>
      </c>
      <c r="BC102" s="231">
        <v>24.3189927422012</v>
      </c>
      <c r="BD102" s="232" t="s">
        <v>55</v>
      </c>
      <c r="BE102" s="239">
        <v>0.75996852319378705</v>
      </c>
      <c r="BF102" s="222">
        <v>-42.466837192063899</v>
      </c>
      <c r="BG102" s="219"/>
      <c r="BH102" s="219"/>
      <c r="BI102" s="227">
        <v>31</v>
      </c>
      <c r="BJ102" s="227">
        <v>57</v>
      </c>
      <c r="BK102" s="220"/>
      <c r="BL102" s="236">
        <v>0.8</v>
      </c>
      <c r="BM102" s="239">
        <v>0.71</v>
      </c>
      <c r="BN102" s="237"/>
      <c r="BO102" s="238">
        <v>0.95</v>
      </c>
      <c r="BP102" s="229">
        <v>1</v>
      </c>
      <c r="BQ102" s="237">
        <v>2.5000000000000001E-3</v>
      </c>
    </row>
    <row r="103" spans="1:69" s="207" customFormat="1" ht="22.35" customHeight="1" x14ac:dyDescent="0.2">
      <c r="A103" s="216" t="s">
        <v>139</v>
      </c>
      <c r="B103" s="216" t="s">
        <v>159</v>
      </c>
      <c r="C103" s="216" t="s">
        <v>161</v>
      </c>
      <c r="D103" s="217">
        <v>3.1170158208888901</v>
      </c>
      <c r="E103" s="218"/>
      <c r="F103" s="219">
        <v>2.1000000000000001E-2</v>
      </c>
      <c r="G103" s="219">
        <v>1.0999999999999999E-2</v>
      </c>
      <c r="H103" s="220"/>
      <c r="I103" s="221">
        <v>3</v>
      </c>
      <c r="J103" s="221">
        <v>3</v>
      </c>
      <c r="K103" s="218"/>
      <c r="L103" s="222">
        <v>3009.7157299999999</v>
      </c>
      <c r="M103" s="222">
        <v>1623.58644</v>
      </c>
      <c r="N103" s="222">
        <v>4633.3021699999999</v>
      </c>
      <c r="O103" s="217">
        <v>1486.4544924506399</v>
      </c>
      <c r="P103" s="223">
        <v>254.25200000000001</v>
      </c>
      <c r="Q103" s="229">
        <v>5.8463826929606801</v>
      </c>
      <c r="R103" s="230">
        <v>3767.88397291003</v>
      </c>
      <c r="S103" s="219">
        <v>0.01</v>
      </c>
      <c r="T103" s="219">
        <v>0.01</v>
      </c>
      <c r="U103" s="226">
        <v>0</v>
      </c>
      <c r="V103" s="227">
        <v>0</v>
      </c>
      <c r="W103" s="218"/>
      <c r="X103" s="226">
        <v>1388.4493050000001</v>
      </c>
      <c r="Y103" s="217">
        <v>445.44185361370802</v>
      </c>
      <c r="Z103" s="228">
        <v>573</v>
      </c>
      <c r="AA103" s="239">
        <v>0.77738543388081704</v>
      </c>
      <c r="AB103" s="222">
        <v>-561.91736638331304</v>
      </c>
      <c r="AC103" s="219"/>
      <c r="AD103" s="219"/>
      <c r="AE103" s="227">
        <v>398</v>
      </c>
      <c r="AF103" s="227">
        <v>755</v>
      </c>
      <c r="AG103" s="218"/>
      <c r="AH103" s="231">
        <v>99.8</v>
      </c>
      <c r="AI103" s="217">
        <v>32.017803480875401</v>
      </c>
      <c r="AJ103" s="232" t="s">
        <v>53</v>
      </c>
      <c r="AK103" s="224">
        <v>0.508219102871038</v>
      </c>
      <c r="AL103" s="225">
        <v>-114.63822041387201</v>
      </c>
      <c r="AM103" s="219"/>
      <c r="AN103" s="219"/>
      <c r="AO103" s="227">
        <v>97</v>
      </c>
      <c r="AP103" s="227">
        <v>136</v>
      </c>
      <c r="AQ103" s="218"/>
      <c r="AR103" s="231">
        <v>32.4</v>
      </c>
      <c r="AS103" s="217">
        <v>10.394557442689001</v>
      </c>
      <c r="AT103" s="232" t="s">
        <v>54</v>
      </c>
      <c r="AU103" s="224">
        <v>0.649659840168063</v>
      </c>
      <c r="AV103" s="225">
        <v>-22.060500422570701</v>
      </c>
      <c r="AW103" s="219"/>
      <c r="AX103" s="219"/>
      <c r="AY103" s="227">
        <v>18</v>
      </c>
      <c r="AZ103" s="227">
        <v>28</v>
      </c>
      <c r="BA103" s="218"/>
      <c r="BB103" s="235">
        <v>100.8</v>
      </c>
      <c r="BC103" s="231">
        <v>32.338623155032501</v>
      </c>
      <c r="BD103" s="232" t="s">
        <v>55</v>
      </c>
      <c r="BE103" s="233">
        <v>1.0105819735947701</v>
      </c>
      <c r="BF103" s="234">
        <v>-8.1210008451413795</v>
      </c>
      <c r="BG103" s="219">
        <v>1.0999999999999999E-2</v>
      </c>
      <c r="BH103" s="219">
        <v>1E-3</v>
      </c>
      <c r="BI103" s="227">
        <v>0</v>
      </c>
      <c r="BJ103" s="227">
        <v>19</v>
      </c>
      <c r="BK103" s="220"/>
      <c r="BL103" s="236">
        <v>0.8</v>
      </c>
      <c r="BM103" s="239">
        <v>0.74</v>
      </c>
      <c r="BN103" s="237"/>
      <c r="BO103" s="238">
        <v>0.95</v>
      </c>
      <c r="BP103" s="229">
        <v>1</v>
      </c>
      <c r="BQ103" s="237">
        <v>2.5000000000000001E-3</v>
      </c>
    </row>
    <row r="104" spans="1:69" s="207" customFormat="1" ht="22.35" customHeight="1" x14ac:dyDescent="0.2">
      <c r="A104" s="216" t="s">
        <v>139</v>
      </c>
      <c r="B104" s="216" t="s">
        <v>159</v>
      </c>
      <c r="C104" s="216" t="s">
        <v>162</v>
      </c>
      <c r="D104" s="217">
        <v>3.5189073529999999</v>
      </c>
      <c r="E104" s="218"/>
      <c r="F104" s="219">
        <v>0.05</v>
      </c>
      <c r="G104" s="219">
        <v>3.4000000000000002E-2</v>
      </c>
      <c r="H104" s="220"/>
      <c r="I104" s="221">
        <v>5</v>
      </c>
      <c r="J104" s="221">
        <v>4</v>
      </c>
      <c r="K104" s="218"/>
      <c r="L104" s="222">
        <v>1311.7811899999999</v>
      </c>
      <c r="M104" s="222">
        <v>1365.7141999999999</v>
      </c>
      <c r="N104" s="222">
        <v>2677.49539</v>
      </c>
      <c r="O104" s="217">
        <v>760.88828758658099</v>
      </c>
      <c r="P104" s="223">
        <v>274.60399999999998</v>
      </c>
      <c r="Q104" s="229">
        <v>2.7708565337233999</v>
      </c>
      <c r="R104" s="230">
        <v>1622.28920003857</v>
      </c>
      <c r="S104" s="219">
        <v>0.01</v>
      </c>
      <c r="T104" s="219">
        <v>0.01</v>
      </c>
      <c r="U104" s="226">
        <v>0</v>
      </c>
      <c r="V104" s="227">
        <v>0</v>
      </c>
      <c r="W104" s="218"/>
      <c r="X104" s="226">
        <v>2348.4531550000002</v>
      </c>
      <c r="Y104" s="217">
        <v>667.38135432802903</v>
      </c>
      <c r="Z104" s="228">
        <v>573</v>
      </c>
      <c r="AA104" s="229">
        <v>1.1647144054590399</v>
      </c>
      <c r="AB104" s="230">
        <v>146.61652171025199</v>
      </c>
      <c r="AC104" s="219">
        <v>0.02</v>
      </c>
      <c r="AD104" s="219">
        <v>1.6E-2</v>
      </c>
      <c r="AE104" s="227">
        <v>0</v>
      </c>
      <c r="AF104" s="227">
        <v>72</v>
      </c>
      <c r="AG104" s="218"/>
      <c r="AH104" s="231">
        <v>205.4</v>
      </c>
      <c r="AI104" s="217">
        <v>58.370391543525201</v>
      </c>
      <c r="AJ104" s="232" t="s">
        <v>53</v>
      </c>
      <c r="AK104" s="233">
        <v>0.92651415148452698</v>
      </c>
      <c r="AL104" s="234">
        <v>-36.686750256987999</v>
      </c>
      <c r="AM104" s="219">
        <v>2E-3</v>
      </c>
      <c r="AN104" s="219"/>
      <c r="AO104" s="227">
        <v>17</v>
      </c>
      <c r="AP104" s="227">
        <v>61</v>
      </c>
      <c r="AQ104" s="218"/>
      <c r="AR104" s="231">
        <v>23.5</v>
      </c>
      <c r="AS104" s="217">
        <v>6.6782093538113099</v>
      </c>
      <c r="AT104" s="232" t="s">
        <v>54</v>
      </c>
      <c r="AU104" s="224">
        <v>0.41738808461320698</v>
      </c>
      <c r="AV104" s="225">
        <v>-37.982349271616002</v>
      </c>
      <c r="AW104" s="219"/>
      <c r="AX104" s="219"/>
      <c r="AY104" s="227">
        <v>33</v>
      </c>
      <c r="AZ104" s="227">
        <v>45</v>
      </c>
      <c r="BA104" s="218"/>
      <c r="BB104" s="235">
        <v>121.4</v>
      </c>
      <c r="BC104" s="231">
        <v>34.499345342667802</v>
      </c>
      <c r="BD104" s="232" t="s">
        <v>55</v>
      </c>
      <c r="BE104" s="233">
        <v>1.0781045419583699</v>
      </c>
      <c r="BF104" s="234">
        <v>-1.56469854323201</v>
      </c>
      <c r="BG104" s="219">
        <v>1.7999999999999999E-2</v>
      </c>
      <c r="BH104" s="219">
        <v>8.0000000000000002E-3</v>
      </c>
      <c r="BI104" s="227">
        <v>0</v>
      </c>
      <c r="BJ104" s="227">
        <v>14</v>
      </c>
      <c r="BK104" s="220"/>
      <c r="BL104" s="236">
        <v>0.8</v>
      </c>
      <c r="BM104" s="224">
        <v>0.68</v>
      </c>
      <c r="BN104" s="237"/>
      <c r="BO104" s="238">
        <v>0.95</v>
      </c>
      <c r="BP104" s="229">
        <v>1</v>
      </c>
      <c r="BQ104" s="237">
        <v>2.5000000000000001E-3</v>
      </c>
    </row>
    <row r="105" spans="1:69" s="207" customFormat="1" ht="22.35" customHeight="1" x14ac:dyDescent="0.2">
      <c r="A105" s="216" t="s">
        <v>139</v>
      </c>
      <c r="B105" s="216" t="s">
        <v>159</v>
      </c>
      <c r="C105" s="216" t="s">
        <v>163</v>
      </c>
      <c r="D105" s="217">
        <v>3.27682426844444</v>
      </c>
      <c r="E105" s="218"/>
      <c r="F105" s="219">
        <v>3.3000000000000002E-2</v>
      </c>
      <c r="G105" s="219">
        <v>1.4999999999999999E-2</v>
      </c>
      <c r="H105" s="220"/>
      <c r="I105" s="221">
        <v>4</v>
      </c>
      <c r="J105" s="221">
        <v>3</v>
      </c>
      <c r="K105" s="218"/>
      <c r="L105" s="222">
        <v>2728.6725000000001</v>
      </c>
      <c r="M105" s="222">
        <v>2489.6818199999998</v>
      </c>
      <c r="N105" s="222">
        <v>5218.3543200000004</v>
      </c>
      <c r="O105" s="217">
        <v>1592.5035621386</v>
      </c>
      <c r="P105" s="223">
        <v>246.58500000000001</v>
      </c>
      <c r="Q105" s="229">
        <v>6.4582337211857999</v>
      </c>
      <c r="R105" s="230">
        <v>4336.0011622400698</v>
      </c>
      <c r="S105" s="219">
        <v>0.01</v>
      </c>
      <c r="T105" s="219">
        <v>0.01</v>
      </c>
      <c r="U105" s="226">
        <v>0</v>
      </c>
      <c r="V105" s="227">
        <v>0</v>
      </c>
      <c r="W105" s="218"/>
      <c r="X105" s="226">
        <v>1847.4322500000001</v>
      </c>
      <c r="Y105" s="217">
        <v>563.78740471090396</v>
      </c>
      <c r="Z105" s="228">
        <v>573</v>
      </c>
      <c r="AA105" s="233">
        <v>0.98392217227033896</v>
      </c>
      <c r="AB105" s="234">
        <v>-202.92912395398099</v>
      </c>
      <c r="AC105" s="219">
        <v>8.0000000000000002E-3</v>
      </c>
      <c r="AD105" s="219"/>
      <c r="AE105" s="227">
        <v>31</v>
      </c>
      <c r="AF105" s="227">
        <v>406</v>
      </c>
      <c r="AG105" s="218"/>
      <c r="AH105" s="231">
        <v>126.8</v>
      </c>
      <c r="AI105" s="217">
        <v>38.6960024744305</v>
      </c>
      <c r="AJ105" s="232" t="s">
        <v>53</v>
      </c>
      <c r="AK105" s="224">
        <v>0.61422226149889603</v>
      </c>
      <c r="AL105" s="225">
        <v>-98.632402371903694</v>
      </c>
      <c r="AM105" s="219"/>
      <c r="AN105" s="219"/>
      <c r="AO105" s="227">
        <v>80</v>
      </c>
      <c r="AP105" s="227">
        <v>121</v>
      </c>
      <c r="AQ105" s="218"/>
      <c r="AR105" s="231">
        <v>12.8</v>
      </c>
      <c r="AS105" s="217">
        <v>3.9062210699740501</v>
      </c>
      <c r="AT105" s="232" t="s">
        <v>54</v>
      </c>
      <c r="AU105" s="224">
        <v>0.24413881687337799</v>
      </c>
      <c r="AV105" s="225">
        <v>-44.452673618261301</v>
      </c>
      <c r="AW105" s="219"/>
      <c r="AX105" s="219"/>
      <c r="AY105" s="227">
        <v>40</v>
      </c>
      <c r="AZ105" s="227">
        <v>51</v>
      </c>
      <c r="BA105" s="218"/>
      <c r="BB105" s="235">
        <v>110</v>
      </c>
      <c r="BC105" s="231">
        <v>33.569087320089501</v>
      </c>
      <c r="BD105" s="232" t="s">
        <v>55</v>
      </c>
      <c r="BE105" s="233">
        <v>1.0490339787528</v>
      </c>
      <c r="BF105" s="234">
        <v>-4.5053472365225202</v>
      </c>
      <c r="BG105" s="219">
        <v>1.4999999999999999E-2</v>
      </c>
      <c r="BH105" s="219">
        <v>5.0000000000000001E-3</v>
      </c>
      <c r="BI105" s="227">
        <v>0</v>
      </c>
      <c r="BJ105" s="227">
        <v>16</v>
      </c>
      <c r="BK105" s="220"/>
      <c r="BL105" s="236">
        <v>0.8</v>
      </c>
      <c r="BM105" s="239">
        <v>0.75</v>
      </c>
      <c r="BN105" s="237"/>
      <c r="BO105" s="238">
        <v>0.95</v>
      </c>
      <c r="BP105" s="229">
        <v>1</v>
      </c>
      <c r="BQ105" s="237">
        <v>2.5000000000000001E-3</v>
      </c>
    </row>
    <row r="106" spans="1:69" s="207" customFormat="1" ht="22.35" customHeight="1" x14ac:dyDescent="0.2">
      <c r="A106" s="216" t="s">
        <v>139</v>
      </c>
      <c r="B106" s="216" t="s">
        <v>159</v>
      </c>
      <c r="C106" s="216" t="s">
        <v>164</v>
      </c>
      <c r="D106" s="217">
        <v>2.5224867724444402</v>
      </c>
      <c r="E106" s="218"/>
      <c r="F106" s="219">
        <v>0.01</v>
      </c>
      <c r="G106" s="219">
        <v>0.01</v>
      </c>
      <c r="H106" s="220"/>
      <c r="I106" s="221">
        <v>2</v>
      </c>
      <c r="J106" s="221">
        <v>2</v>
      </c>
      <c r="K106" s="218"/>
      <c r="L106" s="222">
        <v>1082.65724</v>
      </c>
      <c r="M106" s="222">
        <v>351.87522000000001</v>
      </c>
      <c r="N106" s="222">
        <v>1434.5324599999999</v>
      </c>
      <c r="O106" s="217">
        <v>568.69771357010904</v>
      </c>
      <c r="P106" s="223">
        <v>260.82400000000001</v>
      </c>
      <c r="Q106" s="229">
        <v>2.1803887432525699</v>
      </c>
      <c r="R106" s="230">
        <v>716.07826178983498</v>
      </c>
      <c r="S106" s="219">
        <v>0.01</v>
      </c>
      <c r="T106" s="219">
        <v>0.01</v>
      </c>
      <c r="U106" s="226">
        <v>0</v>
      </c>
      <c r="V106" s="227">
        <v>0</v>
      </c>
      <c r="W106" s="218"/>
      <c r="X106" s="226">
        <v>1236.1225099999999</v>
      </c>
      <c r="Y106" s="217">
        <v>490.04122578693301</v>
      </c>
      <c r="Z106" s="228">
        <v>573</v>
      </c>
      <c r="AA106" s="239">
        <v>0.85522028933147098</v>
      </c>
      <c r="AB106" s="222">
        <v>-342.23782330684497</v>
      </c>
      <c r="AC106" s="219"/>
      <c r="AD106" s="219"/>
      <c r="AE106" s="227">
        <v>210</v>
      </c>
      <c r="AF106" s="227">
        <v>499</v>
      </c>
      <c r="AG106" s="218"/>
      <c r="AH106" s="231">
        <v>109.7</v>
      </c>
      <c r="AI106" s="217">
        <v>43.488830624746498</v>
      </c>
      <c r="AJ106" s="232" t="s">
        <v>53</v>
      </c>
      <c r="AK106" s="224">
        <v>0.69029889880549999</v>
      </c>
      <c r="AL106" s="225">
        <v>-63.836999997087702</v>
      </c>
      <c r="AM106" s="219"/>
      <c r="AN106" s="219"/>
      <c r="AO106" s="227">
        <v>50</v>
      </c>
      <c r="AP106" s="227">
        <v>81</v>
      </c>
      <c r="AQ106" s="218"/>
      <c r="AR106" s="231">
        <v>5</v>
      </c>
      <c r="AS106" s="217">
        <v>1.9821709491680299</v>
      </c>
      <c r="AT106" s="232" t="s">
        <v>54</v>
      </c>
      <c r="AU106" s="224">
        <v>0.123885684323002</v>
      </c>
      <c r="AV106" s="225">
        <v>-39.072888888149301</v>
      </c>
      <c r="AW106" s="219"/>
      <c r="AX106" s="219"/>
      <c r="AY106" s="227">
        <v>36</v>
      </c>
      <c r="AZ106" s="227">
        <v>44</v>
      </c>
      <c r="BA106" s="218"/>
      <c r="BB106" s="235">
        <v>36.6</v>
      </c>
      <c r="BC106" s="231">
        <v>14.50949134791</v>
      </c>
      <c r="BD106" s="232" t="s">
        <v>55</v>
      </c>
      <c r="BE106" s="224">
        <v>0.453421604622186</v>
      </c>
      <c r="BF106" s="225">
        <v>-51.5457777762985</v>
      </c>
      <c r="BG106" s="219"/>
      <c r="BH106" s="219"/>
      <c r="BI106" s="227">
        <v>45</v>
      </c>
      <c r="BJ106" s="227">
        <v>61</v>
      </c>
      <c r="BK106" s="220"/>
      <c r="BL106" s="236">
        <v>0.8</v>
      </c>
      <c r="BM106" s="239">
        <v>0.77</v>
      </c>
      <c r="BN106" s="237"/>
      <c r="BO106" s="238">
        <v>0.95</v>
      </c>
      <c r="BP106" s="229">
        <v>1</v>
      </c>
      <c r="BQ106" s="237">
        <v>2.5000000000000001E-3</v>
      </c>
    </row>
    <row r="107" spans="1:69" s="207" customFormat="1" ht="22.35" customHeight="1" x14ac:dyDescent="0.2">
      <c r="A107" s="216" t="s">
        <v>139</v>
      </c>
      <c r="B107" s="216" t="s">
        <v>159</v>
      </c>
      <c r="C107" s="216" t="s">
        <v>165</v>
      </c>
      <c r="D107" s="217">
        <v>5.5385385716666704</v>
      </c>
      <c r="E107" s="218"/>
      <c r="F107" s="219">
        <v>2.4E-2</v>
      </c>
      <c r="G107" s="219">
        <v>1.4E-2</v>
      </c>
      <c r="H107" s="220"/>
      <c r="I107" s="221">
        <v>3</v>
      </c>
      <c r="J107" s="221">
        <v>3</v>
      </c>
      <c r="K107" s="218"/>
      <c r="L107" s="222">
        <v>4064.3967200000002</v>
      </c>
      <c r="M107" s="222">
        <v>-1735.76657</v>
      </c>
      <c r="N107" s="222">
        <v>2328.63015</v>
      </c>
      <c r="O107" s="217">
        <v>420.44126259452298</v>
      </c>
      <c r="P107" s="223">
        <v>236.32499999999999</v>
      </c>
      <c r="Q107" s="229">
        <v>1.77908076841013</v>
      </c>
      <c r="R107" s="230">
        <v>899.31667027955405</v>
      </c>
      <c r="S107" s="219">
        <v>0.01</v>
      </c>
      <c r="T107" s="219">
        <v>0.01</v>
      </c>
      <c r="U107" s="226">
        <v>0</v>
      </c>
      <c r="V107" s="227">
        <v>0</v>
      </c>
      <c r="W107" s="218"/>
      <c r="X107" s="226">
        <v>2088.0927799999999</v>
      </c>
      <c r="Y107" s="217">
        <v>377.01150817690302</v>
      </c>
      <c r="Z107" s="228">
        <v>573</v>
      </c>
      <c r="AA107" s="224">
        <v>0.65796074725463005</v>
      </c>
      <c r="AB107" s="225">
        <v>-1377.4594209089801</v>
      </c>
      <c r="AC107" s="219"/>
      <c r="AD107" s="219"/>
      <c r="AE107" s="227">
        <v>1086</v>
      </c>
      <c r="AF107" s="227">
        <v>1721</v>
      </c>
      <c r="AG107" s="218"/>
      <c r="AH107" s="231">
        <v>201.5</v>
      </c>
      <c r="AI107" s="217">
        <v>36.381438423270602</v>
      </c>
      <c r="AJ107" s="232" t="s">
        <v>53</v>
      </c>
      <c r="AK107" s="224">
        <v>0.577483149575724</v>
      </c>
      <c r="AL107" s="225">
        <v>-179.52929957638</v>
      </c>
      <c r="AM107" s="219"/>
      <c r="AN107" s="219"/>
      <c r="AO107" s="227">
        <v>148</v>
      </c>
      <c r="AP107" s="227">
        <v>218</v>
      </c>
      <c r="AQ107" s="218"/>
      <c r="AR107" s="231">
        <v>37.6</v>
      </c>
      <c r="AS107" s="217">
        <v>6.7887944650867196</v>
      </c>
      <c r="AT107" s="232" t="s">
        <v>54</v>
      </c>
      <c r="AU107" s="224">
        <v>0.42429965406791997</v>
      </c>
      <c r="AV107" s="225">
        <v>-59.169345924160098</v>
      </c>
      <c r="AW107" s="219"/>
      <c r="AX107" s="219"/>
      <c r="AY107" s="227">
        <v>52</v>
      </c>
      <c r="AZ107" s="227">
        <v>69</v>
      </c>
      <c r="BA107" s="218"/>
      <c r="BB107" s="235">
        <v>184.6</v>
      </c>
      <c r="BC107" s="231">
        <v>33.330091974867301</v>
      </c>
      <c r="BD107" s="232" t="s">
        <v>55</v>
      </c>
      <c r="BE107" s="233">
        <v>1.0415653742146</v>
      </c>
      <c r="BF107" s="234">
        <v>-8.9386918483201292</v>
      </c>
      <c r="BG107" s="219">
        <v>1.4E-2</v>
      </c>
      <c r="BH107" s="219">
        <v>4.0000000000000001E-3</v>
      </c>
      <c r="BI107" s="227">
        <v>0</v>
      </c>
      <c r="BJ107" s="227">
        <v>29</v>
      </c>
      <c r="BK107" s="220"/>
      <c r="BL107" s="236">
        <v>0.8</v>
      </c>
      <c r="BM107" s="239">
        <v>0.71</v>
      </c>
      <c r="BN107" s="237"/>
      <c r="BO107" s="238">
        <v>0.95</v>
      </c>
      <c r="BP107" s="229">
        <v>1</v>
      </c>
      <c r="BQ107" s="237">
        <v>2.5000000000000001E-3</v>
      </c>
    </row>
    <row r="108" spans="1:69" s="207" customFormat="1" ht="22.35" customHeight="1" x14ac:dyDescent="0.2">
      <c r="A108" s="216" t="s">
        <v>139</v>
      </c>
      <c r="B108" s="216" t="s">
        <v>159</v>
      </c>
      <c r="C108" s="216" t="s">
        <v>166</v>
      </c>
      <c r="D108" s="217">
        <v>4.7470153233333301</v>
      </c>
      <c r="E108" s="218"/>
      <c r="F108" s="219">
        <v>0.02</v>
      </c>
      <c r="G108" s="219">
        <v>1.7000000000000001E-2</v>
      </c>
      <c r="H108" s="220"/>
      <c r="I108" s="221">
        <v>2</v>
      </c>
      <c r="J108" s="221">
        <v>2</v>
      </c>
      <c r="K108" s="218"/>
      <c r="L108" s="222">
        <v>2972.81342</v>
      </c>
      <c r="M108" s="222">
        <v>-2522.2708299999999</v>
      </c>
      <c r="N108" s="222">
        <v>450.54259000000002</v>
      </c>
      <c r="O108" s="217">
        <v>94.910709006018294</v>
      </c>
      <c r="P108" s="223">
        <v>287.5</v>
      </c>
      <c r="Q108" s="224">
        <v>0.33012420523832497</v>
      </c>
      <c r="R108" s="225">
        <v>-1039.7828707604999</v>
      </c>
      <c r="S108" s="219"/>
      <c r="T108" s="219"/>
      <c r="U108" s="226">
        <v>915</v>
      </c>
      <c r="V108" s="227">
        <v>1188</v>
      </c>
      <c r="W108" s="218"/>
      <c r="X108" s="226">
        <v>1974.17869</v>
      </c>
      <c r="Y108" s="217">
        <v>415.87788442480502</v>
      </c>
      <c r="Z108" s="228">
        <v>573</v>
      </c>
      <c r="AA108" s="239">
        <v>0.72579037421432002</v>
      </c>
      <c r="AB108" s="222">
        <v>-996.10475005483795</v>
      </c>
      <c r="AC108" s="219"/>
      <c r="AD108" s="219"/>
      <c r="AE108" s="227">
        <v>746</v>
      </c>
      <c r="AF108" s="227">
        <v>1290</v>
      </c>
      <c r="AG108" s="218"/>
      <c r="AH108" s="231">
        <v>205.3</v>
      </c>
      <c r="AI108" s="217">
        <v>43.248227784493302</v>
      </c>
      <c r="AJ108" s="232" t="s">
        <v>53</v>
      </c>
      <c r="AK108" s="224">
        <v>0.68647980610306802</v>
      </c>
      <c r="AL108" s="225">
        <v>-121.27566618404001</v>
      </c>
      <c r="AM108" s="219"/>
      <c r="AN108" s="219"/>
      <c r="AO108" s="227">
        <v>94</v>
      </c>
      <c r="AP108" s="227">
        <v>154</v>
      </c>
      <c r="AQ108" s="218"/>
      <c r="AR108" s="231">
        <v>39.700000000000003</v>
      </c>
      <c r="AS108" s="217">
        <v>8.3631497469283094</v>
      </c>
      <c r="AT108" s="232" t="s">
        <v>54</v>
      </c>
      <c r="AU108" s="224">
        <v>0.522696859183019</v>
      </c>
      <c r="AV108" s="225">
        <v>-43.239851729279998</v>
      </c>
      <c r="AW108" s="219"/>
      <c r="AX108" s="219"/>
      <c r="AY108" s="227">
        <v>37</v>
      </c>
      <c r="AZ108" s="227">
        <v>52</v>
      </c>
      <c r="BA108" s="218"/>
      <c r="BB108" s="235">
        <v>177.8</v>
      </c>
      <c r="BC108" s="231">
        <v>37.455113979945999</v>
      </c>
      <c r="BD108" s="232" t="s">
        <v>55</v>
      </c>
      <c r="BE108" s="229">
        <v>1.17047231187331</v>
      </c>
      <c r="BF108" s="230">
        <v>11.9202965414401</v>
      </c>
      <c r="BG108" s="219">
        <v>0.02</v>
      </c>
      <c r="BH108" s="219">
        <v>1.7000000000000001E-2</v>
      </c>
      <c r="BI108" s="227">
        <v>0</v>
      </c>
      <c r="BJ108" s="227">
        <v>5</v>
      </c>
      <c r="BK108" s="220"/>
      <c r="BL108" s="236">
        <v>0.8</v>
      </c>
      <c r="BM108" s="224">
        <v>0.64</v>
      </c>
      <c r="BN108" s="237"/>
      <c r="BO108" s="238">
        <v>0.95</v>
      </c>
      <c r="BP108" s="229">
        <v>1</v>
      </c>
      <c r="BQ108" s="237">
        <v>2.5000000000000001E-3</v>
      </c>
    </row>
    <row r="109" spans="1:69" s="207" customFormat="1" ht="22.35" customHeight="1" x14ac:dyDescent="0.2">
      <c r="A109" s="216" t="s">
        <v>139</v>
      </c>
      <c r="B109" s="216" t="s">
        <v>159</v>
      </c>
      <c r="C109" s="216" t="s">
        <v>167</v>
      </c>
      <c r="D109" s="217">
        <v>5.8254724778888898</v>
      </c>
      <c r="E109" s="218"/>
      <c r="F109" s="219">
        <v>1E-3</v>
      </c>
      <c r="G109" s="219"/>
      <c r="H109" s="220"/>
      <c r="I109" s="221">
        <v>2</v>
      </c>
      <c r="J109" s="221">
        <v>1</v>
      </c>
      <c r="K109" s="218"/>
      <c r="L109" s="222">
        <v>1640.1132500000001</v>
      </c>
      <c r="M109" s="222">
        <v>-687.83163000000002</v>
      </c>
      <c r="N109" s="222">
        <v>952.28161999999998</v>
      </c>
      <c r="O109" s="217">
        <v>163.468563900091</v>
      </c>
      <c r="P109" s="223">
        <v>236.41900000000001</v>
      </c>
      <c r="Q109" s="224">
        <v>0.69143581480376204</v>
      </c>
      <c r="R109" s="225">
        <v>-551.67797650301395</v>
      </c>
      <c r="S109" s="219"/>
      <c r="T109" s="219"/>
      <c r="U109" s="226">
        <v>425</v>
      </c>
      <c r="V109" s="227">
        <v>701</v>
      </c>
      <c r="W109" s="218"/>
      <c r="X109" s="226">
        <v>2752.7860599999999</v>
      </c>
      <c r="Y109" s="217">
        <v>472.54296890912298</v>
      </c>
      <c r="Z109" s="228">
        <v>573</v>
      </c>
      <c r="AA109" s="239">
        <v>0.82468231921312896</v>
      </c>
      <c r="AB109" s="222">
        <v>-892.30527697472405</v>
      </c>
      <c r="AC109" s="219"/>
      <c r="AD109" s="219"/>
      <c r="AE109" s="227">
        <v>586</v>
      </c>
      <c r="AF109" s="227">
        <v>1253</v>
      </c>
      <c r="AG109" s="218"/>
      <c r="AH109" s="231">
        <v>268</v>
      </c>
      <c r="AI109" s="217">
        <v>46.004852141558999</v>
      </c>
      <c r="AJ109" s="232" t="s">
        <v>53</v>
      </c>
      <c r="AK109" s="239">
        <v>0.73023574827871496</v>
      </c>
      <c r="AL109" s="222">
        <v>-132.76920458884399</v>
      </c>
      <c r="AM109" s="219"/>
      <c r="AN109" s="219"/>
      <c r="AO109" s="227">
        <v>100</v>
      </c>
      <c r="AP109" s="227">
        <v>173</v>
      </c>
      <c r="AQ109" s="218"/>
      <c r="AR109" s="231">
        <v>19.399999999999999</v>
      </c>
      <c r="AS109" s="217">
        <v>3.3302019833815102</v>
      </c>
      <c r="AT109" s="232" t="s">
        <v>54</v>
      </c>
      <c r="AU109" s="224">
        <v>0.208137623961344</v>
      </c>
      <c r="AV109" s="225">
        <v>-82.382655133674703</v>
      </c>
      <c r="AW109" s="219"/>
      <c r="AX109" s="219"/>
      <c r="AY109" s="227">
        <v>74</v>
      </c>
      <c r="AZ109" s="227">
        <v>93</v>
      </c>
      <c r="BA109" s="218"/>
      <c r="BB109" s="235">
        <v>171.4</v>
      </c>
      <c r="BC109" s="231">
        <v>29.4225061830717</v>
      </c>
      <c r="BD109" s="232" t="s">
        <v>55</v>
      </c>
      <c r="BE109" s="233">
        <v>0.91945331822099097</v>
      </c>
      <c r="BF109" s="234">
        <v>-32.165310267349398</v>
      </c>
      <c r="BG109" s="219">
        <v>1E-3</v>
      </c>
      <c r="BH109" s="219"/>
      <c r="BI109" s="227">
        <v>16</v>
      </c>
      <c r="BJ109" s="227">
        <v>53</v>
      </c>
      <c r="BK109" s="220"/>
      <c r="BL109" s="236">
        <v>0.8</v>
      </c>
      <c r="BM109" s="224">
        <v>0.63</v>
      </c>
      <c r="BN109" s="237"/>
      <c r="BO109" s="238">
        <v>0.95</v>
      </c>
      <c r="BP109" s="229">
        <v>1</v>
      </c>
      <c r="BQ109" s="237">
        <v>2.5000000000000001E-3</v>
      </c>
    </row>
    <row r="110" spans="1:69" s="207" customFormat="1" ht="22.35" customHeight="1" x14ac:dyDescent="0.2">
      <c r="A110" s="216" t="s">
        <v>139</v>
      </c>
      <c r="B110" s="216" t="s">
        <v>159</v>
      </c>
      <c r="C110" s="216" t="s">
        <v>168</v>
      </c>
      <c r="D110" s="217">
        <v>2.9978898042222202</v>
      </c>
      <c r="E110" s="218"/>
      <c r="F110" s="219">
        <v>4.2999999999999997E-2</v>
      </c>
      <c r="G110" s="219">
        <v>2.1000000000000001E-2</v>
      </c>
      <c r="H110" s="220"/>
      <c r="I110" s="221">
        <v>4</v>
      </c>
      <c r="J110" s="221">
        <v>4</v>
      </c>
      <c r="K110" s="218"/>
      <c r="L110" s="222">
        <v>1634.88858</v>
      </c>
      <c r="M110" s="222">
        <v>-587.90138000000002</v>
      </c>
      <c r="N110" s="222">
        <v>1046.9872</v>
      </c>
      <c r="O110" s="217">
        <v>349.24138923499601</v>
      </c>
      <c r="P110" s="223">
        <v>244.03100000000001</v>
      </c>
      <c r="Q110" s="229">
        <v>1.43113534442344</v>
      </c>
      <c r="R110" s="230">
        <v>248.103972878945</v>
      </c>
      <c r="S110" s="219">
        <v>0.01</v>
      </c>
      <c r="T110" s="219">
        <v>0.01</v>
      </c>
      <c r="U110" s="226">
        <v>0</v>
      </c>
      <c r="V110" s="227">
        <v>0</v>
      </c>
      <c r="W110" s="218"/>
      <c r="X110" s="226">
        <v>1843.8243199999999</v>
      </c>
      <c r="Y110" s="217">
        <v>615.04072544733299</v>
      </c>
      <c r="Z110" s="228">
        <v>573</v>
      </c>
      <c r="AA110" s="233">
        <v>1.07336950339849</v>
      </c>
      <c r="AB110" s="234">
        <v>-32.003296738710297</v>
      </c>
      <c r="AC110" s="219">
        <v>1.7999999999999999E-2</v>
      </c>
      <c r="AD110" s="219">
        <v>7.0000000000000001E-3</v>
      </c>
      <c r="AE110" s="227">
        <v>0</v>
      </c>
      <c r="AF110" s="227">
        <v>218</v>
      </c>
      <c r="AG110" s="218"/>
      <c r="AH110" s="231">
        <v>124.85</v>
      </c>
      <c r="AI110" s="217">
        <v>41.6459603765827</v>
      </c>
      <c r="AJ110" s="232" t="s">
        <v>53</v>
      </c>
      <c r="AK110" s="224">
        <v>0.66104699010448797</v>
      </c>
      <c r="AL110" s="225">
        <v>-81.392826971271802</v>
      </c>
      <c r="AM110" s="219"/>
      <c r="AN110" s="219"/>
      <c r="AO110" s="227">
        <v>65</v>
      </c>
      <c r="AP110" s="227">
        <v>102</v>
      </c>
      <c r="AQ110" s="218"/>
      <c r="AR110" s="231">
        <v>6.8</v>
      </c>
      <c r="AS110" s="217">
        <v>2.2682621590769898</v>
      </c>
      <c r="AT110" s="232" t="s">
        <v>54</v>
      </c>
      <c r="AU110" s="224">
        <v>0.141766384942312</v>
      </c>
      <c r="AV110" s="225">
        <v>-45.579130659370598</v>
      </c>
      <c r="AW110" s="219"/>
      <c r="AX110" s="219"/>
      <c r="AY110" s="227">
        <v>42</v>
      </c>
      <c r="AZ110" s="227">
        <v>51</v>
      </c>
      <c r="BA110" s="218"/>
      <c r="BB110" s="235">
        <v>100.2</v>
      </c>
      <c r="BC110" s="231">
        <v>33.423510049928602</v>
      </c>
      <c r="BD110" s="232" t="s">
        <v>55</v>
      </c>
      <c r="BE110" s="233">
        <v>1.0444846890602699</v>
      </c>
      <c r="BF110" s="234">
        <v>-4.5582613187412404</v>
      </c>
      <c r="BG110" s="219">
        <v>1.4999999999999999E-2</v>
      </c>
      <c r="BH110" s="219">
        <v>4.0000000000000001E-3</v>
      </c>
      <c r="BI110" s="227">
        <v>0</v>
      </c>
      <c r="BJ110" s="227">
        <v>15</v>
      </c>
      <c r="BK110" s="220"/>
      <c r="BL110" s="236">
        <v>0.8</v>
      </c>
      <c r="BM110" s="239">
        <v>0.72</v>
      </c>
      <c r="BN110" s="237"/>
      <c r="BO110" s="238">
        <v>0.95</v>
      </c>
      <c r="BP110" s="229">
        <v>1</v>
      </c>
      <c r="BQ110" s="237">
        <v>2.5000000000000001E-3</v>
      </c>
    </row>
    <row r="111" spans="1:69" s="207" customFormat="1" ht="22.35" customHeight="1" x14ac:dyDescent="0.2">
      <c r="A111" s="216" t="s">
        <v>139</v>
      </c>
      <c r="B111" s="216" t="s">
        <v>159</v>
      </c>
      <c r="C111" s="216" t="s">
        <v>169</v>
      </c>
      <c r="D111" s="217">
        <v>3.5180638414444401</v>
      </c>
      <c r="E111" s="218"/>
      <c r="F111" s="219">
        <v>2.7E-2</v>
      </c>
      <c r="G111" s="219">
        <v>1.7000000000000001E-2</v>
      </c>
      <c r="H111" s="220"/>
      <c r="I111" s="221">
        <v>3</v>
      </c>
      <c r="J111" s="221">
        <v>3</v>
      </c>
      <c r="K111" s="218"/>
      <c r="L111" s="222">
        <v>3068.3685300000002</v>
      </c>
      <c r="M111" s="222">
        <v>765.98181999999997</v>
      </c>
      <c r="N111" s="222">
        <v>3834.3503500000002</v>
      </c>
      <c r="O111" s="217">
        <v>1089.90357276339</v>
      </c>
      <c r="P111" s="223">
        <v>287.5</v>
      </c>
      <c r="Q111" s="229">
        <v>3.79096894874223</v>
      </c>
      <c r="R111" s="230">
        <v>2729.8542069785199</v>
      </c>
      <c r="S111" s="219">
        <v>0.01</v>
      </c>
      <c r="T111" s="219">
        <v>0.01</v>
      </c>
      <c r="U111" s="226">
        <v>0</v>
      </c>
      <c r="V111" s="227">
        <v>0</v>
      </c>
      <c r="W111" s="218"/>
      <c r="X111" s="226">
        <v>1643.4824900000001</v>
      </c>
      <c r="Y111" s="217">
        <v>467.15539116687</v>
      </c>
      <c r="Z111" s="228">
        <v>573</v>
      </c>
      <c r="AA111" s="239">
        <v>0.81527991477638695</v>
      </c>
      <c r="AB111" s="222">
        <v>-557.82634461324903</v>
      </c>
      <c r="AC111" s="219"/>
      <c r="AD111" s="219"/>
      <c r="AE111" s="227">
        <v>373</v>
      </c>
      <c r="AF111" s="227">
        <v>776</v>
      </c>
      <c r="AG111" s="218"/>
      <c r="AH111" s="231">
        <v>162</v>
      </c>
      <c r="AI111" s="217">
        <v>46.0480557776024</v>
      </c>
      <c r="AJ111" s="232" t="s">
        <v>53</v>
      </c>
      <c r="AK111" s="239">
        <v>0.73092152027940305</v>
      </c>
      <c r="AL111" s="222">
        <v>-80.028720036011705</v>
      </c>
      <c r="AM111" s="219"/>
      <c r="AN111" s="219"/>
      <c r="AO111" s="227">
        <v>60</v>
      </c>
      <c r="AP111" s="227">
        <v>104</v>
      </c>
      <c r="AQ111" s="218"/>
      <c r="AR111" s="231">
        <v>39.700000000000003</v>
      </c>
      <c r="AS111" s="217">
        <v>11.284616138091399</v>
      </c>
      <c r="AT111" s="232" t="s">
        <v>54</v>
      </c>
      <c r="AU111" s="224">
        <v>0.70528850863071602</v>
      </c>
      <c r="AV111" s="225">
        <v>-21.7676114377172</v>
      </c>
      <c r="AW111" s="219"/>
      <c r="AX111" s="219"/>
      <c r="AY111" s="227">
        <v>17</v>
      </c>
      <c r="AZ111" s="227">
        <v>28</v>
      </c>
      <c r="BA111" s="218"/>
      <c r="BB111" s="235">
        <v>120</v>
      </c>
      <c r="BC111" s="231">
        <v>34.109670946372198</v>
      </c>
      <c r="BD111" s="232" t="s">
        <v>55</v>
      </c>
      <c r="BE111" s="233">
        <v>1.0659272170741301</v>
      </c>
      <c r="BF111" s="234">
        <v>-2.9352228754345</v>
      </c>
      <c r="BG111" s="219">
        <v>1.7000000000000001E-2</v>
      </c>
      <c r="BH111" s="219">
        <v>7.0000000000000001E-3</v>
      </c>
      <c r="BI111" s="227">
        <v>0</v>
      </c>
      <c r="BJ111" s="227">
        <v>16</v>
      </c>
      <c r="BK111" s="220"/>
      <c r="BL111" s="236">
        <v>0.8</v>
      </c>
      <c r="BM111" s="239">
        <v>0.76</v>
      </c>
      <c r="BN111" s="237"/>
      <c r="BO111" s="238">
        <v>0.95</v>
      </c>
      <c r="BP111" s="229">
        <v>1</v>
      </c>
      <c r="BQ111" s="237">
        <v>2.5000000000000001E-3</v>
      </c>
    </row>
    <row r="112" spans="1:69" s="207" customFormat="1" ht="22.35" customHeight="1" x14ac:dyDescent="0.2">
      <c r="A112" s="216" t="s">
        <v>139</v>
      </c>
      <c r="B112" s="216" t="s">
        <v>159</v>
      </c>
      <c r="C112" s="216" t="s">
        <v>170</v>
      </c>
      <c r="D112" s="217">
        <v>3.33057645111111</v>
      </c>
      <c r="E112" s="218"/>
      <c r="F112" s="219">
        <v>1.2999999999999999E-2</v>
      </c>
      <c r="G112" s="219">
        <v>0.01</v>
      </c>
      <c r="H112" s="220"/>
      <c r="I112" s="221">
        <v>3</v>
      </c>
      <c r="J112" s="221">
        <v>2</v>
      </c>
      <c r="K112" s="218"/>
      <c r="L112" s="222">
        <v>1574.85041</v>
      </c>
      <c r="M112" s="222">
        <v>1246.9985300000001</v>
      </c>
      <c r="N112" s="222">
        <v>2821.8489399999999</v>
      </c>
      <c r="O112" s="217">
        <v>847.25541701905797</v>
      </c>
      <c r="P112" s="223">
        <v>287.5</v>
      </c>
      <c r="Q112" s="229">
        <v>2.9469753635445501</v>
      </c>
      <c r="R112" s="230">
        <v>1776.2144631736701</v>
      </c>
      <c r="S112" s="219">
        <v>0.01</v>
      </c>
      <c r="T112" s="219">
        <v>0.01</v>
      </c>
      <c r="U112" s="226">
        <v>0</v>
      </c>
      <c r="V112" s="227">
        <v>0</v>
      </c>
      <c r="W112" s="218"/>
      <c r="X112" s="226">
        <v>1670.8596250000001</v>
      </c>
      <c r="Y112" s="217">
        <v>501.672803349878</v>
      </c>
      <c r="Z112" s="228">
        <v>573</v>
      </c>
      <c r="AA112" s="239">
        <v>0.87551972661409805</v>
      </c>
      <c r="AB112" s="222">
        <v>-413.13534968343902</v>
      </c>
      <c r="AC112" s="219"/>
      <c r="AD112" s="219"/>
      <c r="AE112" s="227">
        <v>238</v>
      </c>
      <c r="AF112" s="227">
        <v>620</v>
      </c>
      <c r="AG112" s="218"/>
      <c r="AH112" s="231">
        <v>85.5</v>
      </c>
      <c r="AI112" s="217">
        <v>25.671231768745699</v>
      </c>
      <c r="AJ112" s="232" t="s">
        <v>53</v>
      </c>
      <c r="AK112" s="224">
        <v>0.40747986934517</v>
      </c>
      <c r="AL112" s="225">
        <v>-143.63033753063999</v>
      </c>
      <c r="AM112" s="219"/>
      <c r="AN112" s="219"/>
      <c r="AO112" s="227">
        <v>125</v>
      </c>
      <c r="AP112" s="227">
        <v>167</v>
      </c>
      <c r="AQ112" s="218"/>
      <c r="AR112" s="231">
        <v>14.6</v>
      </c>
      <c r="AS112" s="217">
        <v>4.3836255417975201</v>
      </c>
      <c r="AT112" s="232" t="s">
        <v>54</v>
      </c>
      <c r="AU112" s="224">
        <v>0.273976596362345</v>
      </c>
      <c r="AV112" s="225">
        <v>-43.591831753813302</v>
      </c>
      <c r="AW112" s="219"/>
      <c r="AX112" s="219"/>
      <c r="AY112" s="227">
        <v>39</v>
      </c>
      <c r="AZ112" s="227">
        <v>50</v>
      </c>
      <c r="BA112" s="218"/>
      <c r="BB112" s="235">
        <v>99.8</v>
      </c>
      <c r="BC112" s="231">
        <v>29.9647828131091</v>
      </c>
      <c r="BD112" s="232" t="s">
        <v>55</v>
      </c>
      <c r="BE112" s="233">
        <v>0.93639946290965803</v>
      </c>
      <c r="BF112" s="234">
        <v>-16.5836635076266</v>
      </c>
      <c r="BG112" s="219">
        <v>3.0000000000000001E-3</v>
      </c>
      <c r="BH112" s="219"/>
      <c r="BI112" s="227">
        <v>7</v>
      </c>
      <c r="BJ112" s="227">
        <v>29</v>
      </c>
      <c r="BK112" s="220"/>
      <c r="BL112" s="236">
        <v>0.8</v>
      </c>
      <c r="BM112" s="239">
        <v>0.74</v>
      </c>
      <c r="BN112" s="237"/>
      <c r="BO112" s="238">
        <v>0.95</v>
      </c>
      <c r="BP112" s="229">
        <v>1</v>
      </c>
      <c r="BQ112" s="237">
        <v>2.5000000000000001E-3</v>
      </c>
    </row>
    <row r="113" spans="1:69" s="207" customFormat="1" ht="22.35" customHeight="1" x14ac:dyDescent="0.2">
      <c r="A113" s="216" t="s">
        <v>139</v>
      </c>
      <c r="B113" s="216" t="s">
        <v>159</v>
      </c>
      <c r="C113" s="216" t="s">
        <v>171</v>
      </c>
      <c r="D113" s="217">
        <v>7.6444229506666703</v>
      </c>
      <c r="E113" s="218"/>
      <c r="F113" s="219">
        <v>0.01</v>
      </c>
      <c r="G113" s="219">
        <v>0.01</v>
      </c>
      <c r="H113" s="220"/>
      <c r="I113" s="221">
        <v>2</v>
      </c>
      <c r="J113" s="221">
        <v>2</v>
      </c>
      <c r="K113" s="218"/>
      <c r="L113" s="222">
        <v>5615.4095900000002</v>
      </c>
      <c r="M113" s="222">
        <v>84.16704</v>
      </c>
      <c r="N113" s="222">
        <v>5699.5766299999996</v>
      </c>
      <c r="O113" s="217">
        <v>745.58624853468405</v>
      </c>
      <c r="P113" s="223">
        <v>287.5</v>
      </c>
      <c r="Q113" s="229">
        <v>2.5933434731641198</v>
      </c>
      <c r="R113" s="230">
        <v>3299.6100446382002</v>
      </c>
      <c r="S113" s="219">
        <v>0.01</v>
      </c>
      <c r="T113" s="219">
        <v>0.01</v>
      </c>
      <c r="U113" s="226">
        <v>0</v>
      </c>
      <c r="V113" s="227">
        <v>0</v>
      </c>
      <c r="W113" s="218"/>
      <c r="X113" s="226">
        <v>3969.4122000000002</v>
      </c>
      <c r="Y113" s="217">
        <v>519.25596289172199</v>
      </c>
      <c r="Z113" s="228">
        <v>573</v>
      </c>
      <c r="AA113" s="239">
        <v>0.90620586892098098</v>
      </c>
      <c r="AB113" s="222">
        <v>-813.82555099934598</v>
      </c>
      <c r="AC113" s="219">
        <v>0</v>
      </c>
      <c r="AD113" s="219"/>
      <c r="AE113" s="227">
        <v>411</v>
      </c>
      <c r="AF113" s="227">
        <v>1287</v>
      </c>
      <c r="AG113" s="218"/>
      <c r="AH113" s="231">
        <v>341.05</v>
      </c>
      <c r="AI113" s="217">
        <v>44.614224278401203</v>
      </c>
      <c r="AJ113" s="232" t="s">
        <v>53</v>
      </c>
      <c r="AK113" s="224">
        <v>0.70816229013335197</v>
      </c>
      <c r="AL113" s="225">
        <v>-184.855721314064</v>
      </c>
      <c r="AM113" s="219"/>
      <c r="AN113" s="219"/>
      <c r="AO113" s="227">
        <v>141</v>
      </c>
      <c r="AP113" s="227">
        <v>237</v>
      </c>
      <c r="AQ113" s="218"/>
      <c r="AR113" s="231">
        <v>30.8</v>
      </c>
      <c r="AS113" s="217">
        <v>4.0290810959529599</v>
      </c>
      <c r="AT113" s="232" t="s">
        <v>54</v>
      </c>
      <c r="AU113" s="224">
        <v>0.25181756849706</v>
      </c>
      <c r="AV113" s="225">
        <v>-102.76335779404801</v>
      </c>
      <c r="AW113" s="219"/>
      <c r="AX113" s="219"/>
      <c r="AY113" s="227">
        <v>92</v>
      </c>
      <c r="AZ113" s="227">
        <v>116</v>
      </c>
      <c r="BA113" s="218"/>
      <c r="BB113" s="235">
        <v>205.4</v>
      </c>
      <c r="BC113" s="231">
        <v>26.8692615944395</v>
      </c>
      <c r="BD113" s="232" t="s">
        <v>55</v>
      </c>
      <c r="BE113" s="239">
        <v>0.83966442482623505</v>
      </c>
      <c r="BF113" s="222">
        <v>-61.726715588096098</v>
      </c>
      <c r="BG113" s="219"/>
      <c r="BH113" s="219"/>
      <c r="BI113" s="227">
        <v>40</v>
      </c>
      <c r="BJ113" s="227">
        <v>89</v>
      </c>
      <c r="BK113" s="220"/>
      <c r="BL113" s="236">
        <v>0.8</v>
      </c>
      <c r="BM113" s="239">
        <v>0.7</v>
      </c>
      <c r="BN113" s="237"/>
      <c r="BO113" s="238">
        <v>0.95</v>
      </c>
      <c r="BP113" s="229">
        <v>1</v>
      </c>
      <c r="BQ113" s="237">
        <v>2.5000000000000001E-3</v>
      </c>
    </row>
    <row r="114" spans="1:69" s="207" customFormat="1" ht="22.35" customHeight="1" x14ac:dyDescent="0.2">
      <c r="A114" s="216" t="s">
        <v>139</v>
      </c>
      <c r="B114" s="216" t="s">
        <v>159</v>
      </c>
      <c r="C114" s="216" t="s">
        <v>172</v>
      </c>
      <c r="D114" s="217">
        <v>6.0447914316666704</v>
      </c>
      <c r="E114" s="218"/>
      <c r="F114" s="219">
        <v>0.04</v>
      </c>
      <c r="G114" s="219">
        <v>2.4E-2</v>
      </c>
      <c r="H114" s="220"/>
      <c r="I114" s="221">
        <v>4</v>
      </c>
      <c r="J114" s="221">
        <v>4</v>
      </c>
      <c r="K114" s="218"/>
      <c r="L114" s="222">
        <v>4315.5343599999997</v>
      </c>
      <c r="M114" s="222">
        <v>-448.75927000000001</v>
      </c>
      <c r="N114" s="222">
        <v>3866.7750900000001</v>
      </c>
      <c r="O114" s="217">
        <v>639.68709817566901</v>
      </c>
      <c r="P114" s="223">
        <v>260.82400000000001</v>
      </c>
      <c r="Q114" s="229">
        <v>2.4525622572143302</v>
      </c>
      <c r="R114" s="230">
        <v>2145.0987550326499</v>
      </c>
      <c r="S114" s="219">
        <v>0.01</v>
      </c>
      <c r="T114" s="219">
        <v>0.01</v>
      </c>
      <c r="U114" s="226">
        <v>0</v>
      </c>
      <c r="V114" s="227">
        <v>0</v>
      </c>
      <c r="W114" s="218"/>
      <c r="X114" s="226">
        <v>3925.9583050000001</v>
      </c>
      <c r="Y114" s="217">
        <v>649.47787684339301</v>
      </c>
      <c r="Z114" s="228">
        <v>573</v>
      </c>
      <c r="AA114" s="229">
        <v>1.13346924405479</v>
      </c>
      <c r="AB114" s="230">
        <v>143.63558954325799</v>
      </c>
      <c r="AC114" s="219">
        <v>0.02</v>
      </c>
      <c r="AD114" s="219">
        <v>1.2999999999999999E-2</v>
      </c>
      <c r="AE114" s="227">
        <v>0</v>
      </c>
      <c r="AF114" s="227">
        <v>231</v>
      </c>
      <c r="AG114" s="218"/>
      <c r="AH114" s="231">
        <v>229.6</v>
      </c>
      <c r="AI114" s="217">
        <v>37.983113660001798</v>
      </c>
      <c r="AJ114" s="232" t="s">
        <v>53</v>
      </c>
      <c r="AK114" s="224">
        <v>0.60290656603177395</v>
      </c>
      <c r="AL114" s="225">
        <v>-186.25747133294001</v>
      </c>
      <c r="AM114" s="219"/>
      <c r="AN114" s="219"/>
      <c r="AO114" s="227">
        <v>152</v>
      </c>
      <c r="AP114" s="227">
        <v>228</v>
      </c>
      <c r="AQ114" s="218"/>
      <c r="AR114" s="231">
        <v>35.799999999999997</v>
      </c>
      <c r="AS114" s="217">
        <v>5.9224541333974896</v>
      </c>
      <c r="AT114" s="232" t="s">
        <v>54</v>
      </c>
      <c r="AU114" s="224">
        <v>0.37015338333734299</v>
      </c>
      <c r="AV114" s="225">
        <v>-69.81459589408</v>
      </c>
      <c r="AW114" s="219"/>
      <c r="AX114" s="219"/>
      <c r="AY114" s="227">
        <v>61</v>
      </c>
      <c r="AZ114" s="227">
        <v>81</v>
      </c>
      <c r="BA114" s="218"/>
      <c r="BB114" s="235">
        <v>194.2</v>
      </c>
      <c r="BC114" s="231">
        <v>32.126832198485801</v>
      </c>
      <c r="BD114" s="232" t="s">
        <v>55</v>
      </c>
      <c r="BE114" s="233">
        <v>1.0039635062026799</v>
      </c>
      <c r="BF114" s="234">
        <v>-17.029191788160102</v>
      </c>
      <c r="BG114" s="219">
        <v>0.01</v>
      </c>
      <c r="BH114" s="219">
        <v>1E-3</v>
      </c>
      <c r="BI114" s="227">
        <v>0</v>
      </c>
      <c r="BJ114" s="227">
        <v>38</v>
      </c>
      <c r="BK114" s="220"/>
      <c r="BL114" s="236">
        <v>0.8</v>
      </c>
      <c r="BM114" s="239">
        <v>0.72</v>
      </c>
      <c r="BN114" s="237"/>
      <c r="BO114" s="238">
        <v>0.95</v>
      </c>
      <c r="BP114" s="229">
        <v>1</v>
      </c>
      <c r="BQ114" s="237">
        <v>2.5000000000000001E-3</v>
      </c>
    </row>
    <row r="115" spans="1:69" s="207" customFormat="1" ht="22.35" customHeight="1" x14ac:dyDescent="0.2">
      <c r="A115" s="216" t="s">
        <v>139</v>
      </c>
      <c r="B115" s="216" t="s">
        <v>159</v>
      </c>
      <c r="C115" s="216" t="s">
        <v>173</v>
      </c>
      <c r="D115" s="217">
        <v>4.01034421888889</v>
      </c>
      <c r="E115" s="218"/>
      <c r="F115" s="219">
        <v>4.8000000000000001E-2</v>
      </c>
      <c r="G115" s="219">
        <v>0.03</v>
      </c>
      <c r="H115" s="220"/>
      <c r="I115" s="221">
        <v>5</v>
      </c>
      <c r="J115" s="221">
        <v>3</v>
      </c>
      <c r="K115" s="218"/>
      <c r="L115" s="222">
        <v>2431.8145300000001</v>
      </c>
      <c r="M115" s="222">
        <v>380.24502999999999</v>
      </c>
      <c r="N115" s="222">
        <v>2812.0595600000001</v>
      </c>
      <c r="O115" s="217">
        <v>701.20154443478498</v>
      </c>
      <c r="P115" s="223">
        <v>234.23500000000001</v>
      </c>
      <c r="Q115" s="229">
        <v>2.99358142222462</v>
      </c>
      <c r="R115" s="230">
        <v>1786.2751879023101</v>
      </c>
      <c r="S115" s="219">
        <v>0.01</v>
      </c>
      <c r="T115" s="219">
        <v>0.01</v>
      </c>
      <c r="U115" s="226">
        <v>0</v>
      </c>
      <c r="V115" s="227">
        <v>0</v>
      </c>
      <c r="W115" s="218"/>
      <c r="X115" s="226">
        <v>3343.492405</v>
      </c>
      <c r="Y115" s="217">
        <v>833.71706330145196</v>
      </c>
      <c r="Z115" s="228">
        <v>573</v>
      </c>
      <c r="AA115" s="229">
        <v>1.4550036008751299</v>
      </c>
      <c r="AB115" s="230">
        <v>834.15586173371901</v>
      </c>
      <c r="AC115" s="219">
        <v>0.02</v>
      </c>
      <c r="AD115" s="219">
        <v>0.02</v>
      </c>
      <c r="AE115" s="227">
        <v>0</v>
      </c>
      <c r="AF115" s="227">
        <v>0</v>
      </c>
      <c r="AG115" s="218"/>
      <c r="AH115" s="231">
        <v>251.55</v>
      </c>
      <c r="AI115" s="217">
        <v>62.725288970255697</v>
      </c>
      <c r="AJ115" s="232" t="s">
        <v>53</v>
      </c>
      <c r="AK115" s="233">
        <v>0.99563950746437602</v>
      </c>
      <c r="AL115" s="234">
        <v>-24.345640882680101</v>
      </c>
      <c r="AM115" s="219">
        <v>8.9999999999999993E-3</v>
      </c>
      <c r="AN115" s="219">
        <v>0</v>
      </c>
      <c r="AO115" s="227">
        <v>2</v>
      </c>
      <c r="AP115" s="227">
        <v>52</v>
      </c>
      <c r="AQ115" s="218"/>
      <c r="AR115" s="231">
        <v>28.8</v>
      </c>
      <c r="AS115" s="217">
        <v>7.1814284330883096</v>
      </c>
      <c r="AT115" s="232" t="s">
        <v>54</v>
      </c>
      <c r="AU115" s="224">
        <v>0.44883927706801902</v>
      </c>
      <c r="AV115" s="225">
        <v>-41.268734192426699</v>
      </c>
      <c r="AW115" s="219"/>
      <c r="AX115" s="219"/>
      <c r="AY115" s="227">
        <v>36</v>
      </c>
      <c r="AZ115" s="227">
        <v>49</v>
      </c>
      <c r="BA115" s="218"/>
      <c r="BB115" s="235">
        <v>127.4</v>
      </c>
      <c r="BC115" s="231">
        <v>31.767846610258701</v>
      </c>
      <c r="BD115" s="232" t="s">
        <v>55</v>
      </c>
      <c r="BE115" s="233">
        <v>0.99274520657058396</v>
      </c>
      <c r="BF115" s="234">
        <v>-12.7374683848534</v>
      </c>
      <c r="BG115" s="219">
        <v>8.9999999999999993E-3</v>
      </c>
      <c r="BH115" s="219"/>
      <c r="BI115" s="227">
        <v>1</v>
      </c>
      <c r="BJ115" s="227">
        <v>27</v>
      </c>
      <c r="BK115" s="220"/>
      <c r="BL115" s="236">
        <v>0.8</v>
      </c>
      <c r="BM115" s="239">
        <v>0.74</v>
      </c>
      <c r="BN115" s="237"/>
      <c r="BO115" s="238">
        <v>0.95</v>
      </c>
      <c r="BP115" s="229">
        <v>1</v>
      </c>
      <c r="BQ115" s="237">
        <v>2.5000000000000001E-3</v>
      </c>
    </row>
    <row r="116" spans="1:69" s="207" customFormat="1" ht="22.35" customHeight="1" x14ac:dyDescent="0.2">
      <c r="A116" s="216" t="s">
        <v>139</v>
      </c>
      <c r="B116" s="216" t="s">
        <v>159</v>
      </c>
      <c r="C116" s="216" t="s">
        <v>174</v>
      </c>
      <c r="D116" s="217">
        <v>2.3561526822222199</v>
      </c>
      <c r="E116" s="218"/>
      <c r="F116" s="219">
        <v>2.5000000000000001E-2</v>
      </c>
      <c r="G116" s="219">
        <v>1.4999999999999999E-2</v>
      </c>
      <c r="H116" s="220"/>
      <c r="I116" s="221">
        <v>3</v>
      </c>
      <c r="J116" s="221">
        <v>3</v>
      </c>
      <c r="K116" s="218"/>
      <c r="L116" s="222">
        <v>1914.6487999999999</v>
      </c>
      <c r="M116" s="222">
        <v>970.41903000000002</v>
      </c>
      <c r="N116" s="222">
        <v>2885.06783</v>
      </c>
      <c r="O116" s="217">
        <v>1224.48254383877</v>
      </c>
      <c r="P116" s="223">
        <v>258.77999999999997</v>
      </c>
      <c r="Q116" s="229">
        <v>4.73175107751283</v>
      </c>
      <c r="R116" s="230">
        <v>2219.2479213128299</v>
      </c>
      <c r="S116" s="219">
        <v>0.01</v>
      </c>
      <c r="T116" s="219">
        <v>0.01</v>
      </c>
      <c r="U116" s="226">
        <v>0</v>
      </c>
      <c r="V116" s="227">
        <v>0</v>
      </c>
      <c r="W116" s="218"/>
      <c r="X116" s="226">
        <v>1413.122245</v>
      </c>
      <c r="Y116" s="217">
        <v>599.75834998401001</v>
      </c>
      <c r="Z116" s="228">
        <v>573</v>
      </c>
      <c r="AA116" s="233">
        <v>1.0466986910715701</v>
      </c>
      <c r="AB116" s="234">
        <v>-61.160186709358399</v>
      </c>
      <c r="AC116" s="219">
        <v>1.4999999999999999E-2</v>
      </c>
      <c r="AD116" s="219">
        <v>5.0000000000000001E-3</v>
      </c>
      <c r="AE116" s="227">
        <v>0</v>
      </c>
      <c r="AF116" s="227">
        <v>207</v>
      </c>
      <c r="AG116" s="218"/>
      <c r="AH116" s="231">
        <v>130</v>
      </c>
      <c r="AI116" s="217">
        <v>55.174692616859403</v>
      </c>
      <c r="AJ116" s="232" t="s">
        <v>53</v>
      </c>
      <c r="AK116" s="239">
        <v>0.87578877169618097</v>
      </c>
      <c r="AL116" s="222">
        <v>-32.093879926159801</v>
      </c>
      <c r="AM116" s="219"/>
      <c r="AN116" s="219"/>
      <c r="AO116" s="227">
        <v>19</v>
      </c>
      <c r="AP116" s="227">
        <v>49</v>
      </c>
      <c r="AQ116" s="218"/>
      <c r="AR116" s="231">
        <v>8</v>
      </c>
      <c r="AS116" s="217">
        <v>3.39536569949904</v>
      </c>
      <c r="AT116" s="232" t="s">
        <v>54</v>
      </c>
      <c r="AU116" s="224">
        <v>0.21221035621869</v>
      </c>
      <c r="AV116" s="225">
        <v>-33.166699663786602</v>
      </c>
      <c r="AW116" s="219"/>
      <c r="AX116" s="219"/>
      <c r="AY116" s="227">
        <v>30</v>
      </c>
      <c r="AZ116" s="227">
        <v>38</v>
      </c>
      <c r="BA116" s="218"/>
      <c r="BB116" s="235">
        <v>62.2</v>
      </c>
      <c r="BC116" s="231">
        <v>26.398968313605</v>
      </c>
      <c r="BD116" s="232" t="s">
        <v>55</v>
      </c>
      <c r="BE116" s="239">
        <v>0.82496775980015802</v>
      </c>
      <c r="BF116" s="222">
        <v>-20.133399327573301</v>
      </c>
      <c r="BG116" s="219"/>
      <c r="BH116" s="219"/>
      <c r="BI116" s="227">
        <v>14</v>
      </c>
      <c r="BJ116" s="227">
        <v>29</v>
      </c>
      <c r="BK116" s="220"/>
      <c r="BL116" s="236">
        <v>0.8</v>
      </c>
      <c r="BM116" s="239">
        <v>0.72</v>
      </c>
      <c r="BN116" s="237"/>
      <c r="BO116" s="238">
        <v>0.95</v>
      </c>
      <c r="BP116" s="229">
        <v>1</v>
      </c>
      <c r="BQ116" s="237">
        <v>2.5000000000000001E-3</v>
      </c>
    </row>
    <row r="117" spans="1:69" s="207" customFormat="1" ht="22.35" customHeight="1" x14ac:dyDescent="0.2">
      <c r="A117" s="216" t="s">
        <v>175</v>
      </c>
      <c r="B117" s="216" t="s">
        <v>176</v>
      </c>
      <c r="C117" s="216" t="s">
        <v>177</v>
      </c>
      <c r="D117" s="217">
        <v>5.36114939544444</v>
      </c>
      <c r="E117" s="218"/>
      <c r="F117" s="219">
        <v>3.9E-2</v>
      </c>
      <c r="G117" s="219">
        <v>0.03</v>
      </c>
      <c r="H117" s="220"/>
      <c r="I117" s="221">
        <v>5</v>
      </c>
      <c r="J117" s="221">
        <v>4</v>
      </c>
      <c r="K117" s="218"/>
      <c r="L117" s="222">
        <v>2577.70093</v>
      </c>
      <c r="M117" s="222">
        <v>2905.7128299999999</v>
      </c>
      <c r="N117" s="222">
        <v>5483.4137600000004</v>
      </c>
      <c r="O117" s="217">
        <v>1022.8056253495701</v>
      </c>
      <c r="P117" s="223">
        <v>227.6</v>
      </c>
      <c r="Q117" s="229">
        <v>4.4938735735921398</v>
      </c>
      <c r="R117" s="230">
        <v>4150.9579781757602</v>
      </c>
      <c r="S117" s="219">
        <v>0.01</v>
      </c>
      <c r="T117" s="219">
        <v>0.01</v>
      </c>
      <c r="U117" s="226">
        <v>0</v>
      </c>
      <c r="V117" s="227">
        <v>0</v>
      </c>
      <c r="W117" s="218"/>
      <c r="X117" s="226">
        <v>2763.1614100000002</v>
      </c>
      <c r="Y117" s="217">
        <v>515.40466534059897</v>
      </c>
      <c r="Z117" s="228">
        <v>573</v>
      </c>
      <c r="AA117" s="239">
        <v>0.89948458174624701</v>
      </c>
      <c r="AB117" s="222">
        <v>-591.39554511991298</v>
      </c>
      <c r="AC117" s="219"/>
      <c r="AD117" s="219"/>
      <c r="AE117" s="227">
        <v>309</v>
      </c>
      <c r="AF117" s="227">
        <v>924</v>
      </c>
      <c r="AG117" s="218"/>
      <c r="AH117" s="231">
        <v>335.85</v>
      </c>
      <c r="AI117" s="217">
        <v>62.645148498451398</v>
      </c>
      <c r="AJ117" s="232" t="s">
        <v>53</v>
      </c>
      <c r="AK117" s="233">
        <v>0.99436743648335502</v>
      </c>
      <c r="AL117" s="234">
        <v>-32.975633808995703</v>
      </c>
      <c r="AM117" s="219">
        <v>8.9999999999999993E-3</v>
      </c>
      <c r="AN117" s="219"/>
      <c r="AO117" s="227">
        <v>2</v>
      </c>
      <c r="AP117" s="227">
        <v>70</v>
      </c>
      <c r="AQ117" s="218"/>
      <c r="AR117" s="231">
        <v>48.6</v>
      </c>
      <c r="AS117" s="217">
        <v>9.0652202382752307</v>
      </c>
      <c r="AT117" s="232" t="s">
        <v>54</v>
      </c>
      <c r="AU117" s="224">
        <v>0.56657626489220203</v>
      </c>
      <c r="AV117" s="225">
        <v>-45.070002237205301</v>
      </c>
      <c r="AW117" s="219"/>
      <c r="AX117" s="219"/>
      <c r="AY117" s="227">
        <v>38</v>
      </c>
      <c r="AZ117" s="227">
        <v>55</v>
      </c>
      <c r="BA117" s="218"/>
      <c r="BB117" s="235">
        <v>211.4</v>
      </c>
      <c r="BC117" s="231">
        <v>39.431842764843303</v>
      </c>
      <c r="BD117" s="232" t="s">
        <v>55</v>
      </c>
      <c r="BE117" s="229">
        <v>1.2322450864013501</v>
      </c>
      <c r="BF117" s="230">
        <v>24.0599955255895</v>
      </c>
      <c r="BG117" s="219">
        <v>0.02</v>
      </c>
      <c r="BH117" s="219">
        <v>0.02</v>
      </c>
      <c r="BI117" s="227">
        <v>0</v>
      </c>
      <c r="BJ117" s="227">
        <v>0</v>
      </c>
      <c r="BK117" s="220"/>
      <c r="BL117" s="236">
        <v>0.8</v>
      </c>
      <c r="BM117" s="233">
        <v>0.83</v>
      </c>
      <c r="BN117" s="237">
        <v>1.1249999999999999E-3</v>
      </c>
      <c r="BO117" s="238">
        <v>0.95</v>
      </c>
      <c r="BP117" s="229">
        <v>1</v>
      </c>
      <c r="BQ117" s="237">
        <v>2.5000000000000001E-3</v>
      </c>
    </row>
    <row r="118" spans="1:69" s="207" customFormat="1" ht="22.35" customHeight="1" x14ac:dyDescent="0.2">
      <c r="A118" s="216" t="s">
        <v>175</v>
      </c>
      <c r="B118" s="216" t="s">
        <v>176</v>
      </c>
      <c r="C118" s="216" t="s">
        <v>178</v>
      </c>
      <c r="D118" s="217">
        <v>9.7145609433333302</v>
      </c>
      <c r="E118" s="218"/>
      <c r="F118" s="219">
        <v>7.9000000000000001E-2</v>
      </c>
      <c r="G118" s="219">
        <v>7.2999999999999995E-2</v>
      </c>
      <c r="H118" s="220"/>
      <c r="I118" s="221">
        <v>6</v>
      </c>
      <c r="J118" s="221">
        <v>6</v>
      </c>
      <c r="K118" s="218"/>
      <c r="L118" s="222">
        <v>5903.4721</v>
      </c>
      <c r="M118" s="222">
        <v>2353.8956199999998</v>
      </c>
      <c r="N118" s="222">
        <v>8257.3677200000002</v>
      </c>
      <c r="O118" s="217">
        <v>849.99906513187898</v>
      </c>
      <c r="P118" s="223">
        <v>242.374</v>
      </c>
      <c r="Q118" s="229">
        <v>3.5069729638157501</v>
      </c>
      <c r="R118" s="230">
        <v>5686.1914824652204</v>
      </c>
      <c r="S118" s="219">
        <v>0.01</v>
      </c>
      <c r="T118" s="219">
        <v>0.01</v>
      </c>
      <c r="U118" s="226">
        <v>0</v>
      </c>
      <c r="V118" s="227">
        <v>0</v>
      </c>
      <c r="W118" s="218"/>
      <c r="X118" s="226">
        <v>6627.3678849999997</v>
      </c>
      <c r="Y118" s="217">
        <v>682.20971834533202</v>
      </c>
      <c r="Z118" s="228">
        <v>573</v>
      </c>
      <c r="AA118" s="229">
        <v>1.19059287669342</v>
      </c>
      <c r="AB118" s="230">
        <v>548.81166978124304</v>
      </c>
      <c r="AC118" s="219">
        <v>0.02</v>
      </c>
      <c r="AD118" s="219">
        <v>1.9E-2</v>
      </c>
      <c r="AE118" s="227">
        <v>0</v>
      </c>
      <c r="AF118" s="227">
        <v>53</v>
      </c>
      <c r="AG118" s="218"/>
      <c r="AH118" s="231">
        <v>760</v>
      </c>
      <c r="AI118" s="217">
        <v>78.233077586646203</v>
      </c>
      <c r="AJ118" s="232" t="s">
        <v>53</v>
      </c>
      <c r="AK118" s="229">
        <v>1.2417948823277201</v>
      </c>
      <c r="AL118" s="230">
        <v>91.677065342440301</v>
      </c>
      <c r="AM118" s="219">
        <v>0.02</v>
      </c>
      <c r="AN118" s="219">
        <v>0.02</v>
      </c>
      <c r="AO118" s="227">
        <v>0</v>
      </c>
      <c r="AP118" s="227">
        <v>0</v>
      </c>
      <c r="AQ118" s="218"/>
      <c r="AR118" s="231">
        <v>167.1</v>
      </c>
      <c r="AS118" s="217">
        <v>17.200983243063899</v>
      </c>
      <c r="AT118" s="232" t="s">
        <v>54</v>
      </c>
      <c r="AU118" s="233">
        <v>1.0750614526915001</v>
      </c>
      <c r="AV118" s="234">
        <v>-2.63280880191994</v>
      </c>
      <c r="AW118" s="219">
        <v>8.9999999999999993E-3</v>
      </c>
      <c r="AX118" s="219">
        <v>4.0000000000000001E-3</v>
      </c>
      <c r="AY118" s="227">
        <v>0</v>
      </c>
      <c r="AZ118" s="227">
        <v>20</v>
      </c>
      <c r="BA118" s="218"/>
      <c r="BB118" s="235">
        <v>475.2</v>
      </c>
      <c r="BC118" s="231">
        <v>48.916261143650402</v>
      </c>
      <c r="BD118" s="232" t="s">
        <v>55</v>
      </c>
      <c r="BE118" s="229">
        <v>1.52863316073907</v>
      </c>
      <c r="BF118" s="230">
        <v>135.73438239615999</v>
      </c>
      <c r="BG118" s="219">
        <v>0.02</v>
      </c>
      <c r="BH118" s="219">
        <v>0.02</v>
      </c>
      <c r="BI118" s="227">
        <v>0</v>
      </c>
      <c r="BJ118" s="227">
        <v>0</v>
      </c>
      <c r="BK118" s="220"/>
      <c r="BL118" s="236">
        <v>0.8</v>
      </c>
      <c r="BM118" s="239">
        <v>0.76</v>
      </c>
      <c r="BN118" s="237"/>
      <c r="BO118" s="238">
        <v>0.95</v>
      </c>
      <c r="BP118" s="229">
        <v>1</v>
      </c>
      <c r="BQ118" s="237">
        <v>2.5000000000000001E-3</v>
      </c>
    </row>
    <row r="119" spans="1:69" s="207" customFormat="1" ht="22.35" customHeight="1" x14ac:dyDescent="0.2">
      <c r="A119" s="216" t="s">
        <v>175</v>
      </c>
      <c r="B119" s="216" t="s">
        <v>176</v>
      </c>
      <c r="C119" s="216" t="s">
        <v>179</v>
      </c>
      <c r="D119" s="217">
        <v>2.7303992304444402</v>
      </c>
      <c r="E119" s="218"/>
      <c r="F119" s="219">
        <v>0.08</v>
      </c>
      <c r="G119" s="219">
        <v>0.08</v>
      </c>
      <c r="H119" s="220"/>
      <c r="I119" s="221">
        <v>7</v>
      </c>
      <c r="J119" s="221">
        <v>7</v>
      </c>
      <c r="K119" s="218"/>
      <c r="L119" s="222">
        <v>579.12189999999998</v>
      </c>
      <c r="M119" s="222">
        <v>3064.8989200000001</v>
      </c>
      <c r="N119" s="222">
        <v>3644.0208200000002</v>
      </c>
      <c r="O119" s="217">
        <v>1334.61098998583</v>
      </c>
      <c r="P119" s="223">
        <v>212.5</v>
      </c>
      <c r="Q119" s="229">
        <v>6.2805223058156701</v>
      </c>
      <c r="R119" s="230">
        <v>3010.4316785753699</v>
      </c>
      <c r="S119" s="219">
        <v>0.01</v>
      </c>
      <c r="T119" s="219">
        <v>0.01</v>
      </c>
      <c r="U119" s="226">
        <v>0</v>
      </c>
      <c r="V119" s="227">
        <v>0</v>
      </c>
      <c r="W119" s="218"/>
      <c r="X119" s="226">
        <v>1931.3181300000001</v>
      </c>
      <c r="Y119" s="217">
        <v>707.339098423942</v>
      </c>
      <c r="Z119" s="228">
        <v>573</v>
      </c>
      <c r="AA119" s="229">
        <v>1.2344486883489401</v>
      </c>
      <c r="AB119" s="230">
        <v>222.863645123227</v>
      </c>
      <c r="AC119" s="219">
        <v>0.02</v>
      </c>
      <c r="AD119" s="219">
        <v>0.02</v>
      </c>
      <c r="AE119" s="227">
        <v>0</v>
      </c>
      <c r="AF119" s="227">
        <v>0</v>
      </c>
      <c r="AG119" s="218"/>
      <c r="AH119" s="231">
        <v>220.05</v>
      </c>
      <c r="AI119" s="217">
        <v>80.592609881515799</v>
      </c>
      <c r="AJ119" s="232" t="s">
        <v>53</v>
      </c>
      <c r="AK119" s="229">
        <v>1.2792477758970799</v>
      </c>
      <c r="AL119" s="230">
        <v>32.209454542344297</v>
      </c>
      <c r="AM119" s="219">
        <v>0.02</v>
      </c>
      <c r="AN119" s="219">
        <v>0.02</v>
      </c>
      <c r="AO119" s="227">
        <v>0</v>
      </c>
      <c r="AP119" s="227">
        <v>0</v>
      </c>
      <c r="AQ119" s="218"/>
      <c r="AR119" s="231">
        <v>59.6</v>
      </c>
      <c r="AS119" s="217">
        <v>21.828309697515699</v>
      </c>
      <c r="AT119" s="232" t="s">
        <v>54</v>
      </c>
      <c r="AU119" s="229">
        <v>1.3642693560947301</v>
      </c>
      <c r="AV119" s="230">
        <v>11.894464645674701</v>
      </c>
      <c r="AW119" s="219">
        <v>0.01</v>
      </c>
      <c r="AX119" s="219">
        <v>0.01</v>
      </c>
      <c r="AY119" s="227">
        <v>0</v>
      </c>
      <c r="AZ119" s="227">
        <v>0</v>
      </c>
      <c r="BA119" s="218"/>
      <c r="BB119" s="235">
        <v>156</v>
      </c>
      <c r="BC119" s="231">
        <v>57.1345018928264</v>
      </c>
      <c r="BD119" s="232" t="s">
        <v>55</v>
      </c>
      <c r="BE119" s="229">
        <v>1.7854531841508301</v>
      </c>
      <c r="BF119" s="230">
        <v>60.588929291349501</v>
      </c>
      <c r="BG119" s="219">
        <v>0.02</v>
      </c>
      <c r="BH119" s="219">
        <v>0.02</v>
      </c>
      <c r="BI119" s="227">
        <v>0</v>
      </c>
      <c r="BJ119" s="227">
        <v>0</v>
      </c>
      <c r="BK119" s="220"/>
      <c r="BL119" s="236">
        <v>0.8</v>
      </c>
      <c r="BM119" s="233">
        <v>0.87</v>
      </c>
      <c r="BN119" s="237">
        <v>2.6250000000000002E-3</v>
      </c>
      <c r="BO119" s="238">
        <v>0.95</v>
      </c>
      <c r="BP119" s="229">
        <v>1</v>
      </c>
      <c r="BQ119" s="237">
        <v>2.5000000000000001E-3</v>
      </c>
    </row>
    <row r="120" spans="1:69" s="207" customFormat="1" ht="22.35" customHeight="1" x14ac:dyDescent="0.2">
      <c r="A120" s="216" t="s">
        <v>175</v>
      </c>
      <c r="B120" s="216" t="s">
        <v>176</v>
      </c>
      <c r="C120" s="216" t="s">
        <v>180</v>
      </c>
      <c r="D120" s="217">
        <v>3.1380264342222199</v>
      </c>
      <c r="E120" s="218"/>
      <c r="F120" s="219">
        <v>0.03</v>
      </c>
      <c r="G120" s="219">
        <v>1.4999999999999999E-2</v>
      </c>
      <c r="H120" s="220"/>
      <c r="I120" s="221">
        <v>5</v>
      </c>
      <c r="J120" s="221">
        <v>5</v>
      </c>
      <c r="K120" s="218"/>
      <c r="L120" s="222">
        <v>1320.2013999999999</v>
      </c>
      <c r="M120" s="222">
        <v>1251.0593200000001</v>
      </c>
      <c r="N120" s="222">
        <v>2571.2607200000002</v>
      </c>
      <c r="O120" s="217">
        <v>819.38784579974401</v>
      </c>
      <c r="P120" s="223">
        <v>212.5</v>
      </c>
      <c r="Q120" s="229">
        <v>3.8559428037635</v>
      </c>
      <c r="R120" s="230">
        <v>1843.0816859387301</v>
      </c>
      <c r="S120" s="219">
        <v>0.01</v>
      </c>
      <c r="T120" s="219">
        <v>0.01</v>
      </c>
      <c r="U120" s="226">
        <v>0</v>
      </c>
      <c r="V120" s="227">
        <v>0</v>
      </c>
      <c r="W120" s="218"/>
      <c r="X120" s="226">
        <v>1593.3157650000001</v>
      </c>
      <c r="Y120" s="217">
        <v>507.74453255837898</v>
      </c>
      <c r="Z120" s="228">
        <v>573</v>
      </c>
      <c r="AA120" s="239">
        <v>0.88611611266732904</v>
      </c>
      <c r="AB120" s="222">
        <v>-370.19758331579101</v>
      </c>
      <c r="AC120" s="219"/>
      <c r="AD120" s="219"/>
      <c r="AE120" s="227">
        <v>205</v>
      </c>
      <c r="AF120" s="227">
        <v>565</v>
      </c>
      <c r="AG120" s="218"/>
      <c r="AH120" s="231">
        <v>175.2</v>
      </c>
      <c r="AI120" s="217">
        <v>55.831269644299297</v>
      </c>
      <c r="AJ120" s="232" t="s">
        <v>53</v>
      </c>
      <c r="AK120" s="239">
        <v>0.88621062927459204</v>
      </c>
      <c r="AL120" s="222">
        <v>-40.683666568751804</v>
      </c>
      <c r="AM120" s="219"/>
      <c r="AN120" s="219"/>
      <c r="AO120" s="227">
        <v>23</v>
      </c>
      <c r="AP120" s="227">
        <v>63</v>
      </c>
      <c r="AQ120" s="218"/>
      <c r="AR120" s="231">
        <v>53.1</v>
      </c>
      <c r="AS120" s="217">
        <v>16.921463573700301</v>
      </c>
      <c r="AT120" s="232" t="s">
        <v>54</v>
      </c>
      <c r="AU120" s="233">
        <v>1.0575914733562699</v>
      </c>
      <c r="AV120" s="234">
        <v>-1.72759785873063</v>
      </c>
      <c r="AW120" s="219">
        <v>8.0000000000000002E-3</v>
      </c>
      <c r="AX120" s="219">
        <v>3.0000000000000001E-3</v>
      </c>
      <c r="AY120" s="227">
        <v>0</v>
      </c>
      <c r="AZ120" s="227">
        <v>8</v>
      </c>
      <c r="BA120" s="218"/>
      <c r="BB120" s="235">
        <v>102.2</v>
      </c>
      <c r="BC120" s="231">
        <v>32.568240625841298</v>
      </c>
      <c r="BD120" s="232" t="s">
        <v>55</v>
      </c>
      <c r="BE120" s="233">
        <v>1.0177575195575399</v>
      </c>
      <c r="BF120" s="234">
        <v>-7.45519571746126</v>
      </c>
      <c r="BG120" s="219">
        <v>1.2E-2</v>
      </c>
      <c r="BH120" s="219">
        <v>2E-3</v>
      </c>
      <c r="BI120" s="227">
        <v>0</v>
      </c>
      <c r="BJ120" s="227">
        <v>19</v>
      </c>
      <c r="BK120" s="220"/>
      <c r="BL120" s="236">
        <v>0.8</v>
      </c>
      <c r="BM120" s="233">
        <v>0.86</v>
      </c>
      <c r="BN120" s="237">
        <v>2.2499999999999998E-3</v>
      </c>
      <c r="BO120" s="238">
        <v>0.95</v>
      </c>
      <c r="BP120" s="229">
        <v>1</v>
      </c>
      <c r="BQ120" s="237">
        <v>2.5000000000000001E-3</v>
      </c>
    </row>
    <row r="121" spans="1:69" s="207" customFormat="1" ht="22.35" customHeight="1" x14ac:dyDescent="0.2">
      <c r="A121" s="216" t="s">
        <v>175</v>
      </c>
      <c r="B121" s="216" t="s">
        <v>176</v>
      </c>
      <c r="C121" s="216" t="s">
        <v>181</v>
      </c>
      <c r="D121" s="217">
        <v>2.9645688838888899</v>
      </c>
      <c r="E121" s="218"/>
      <c r="F121" s="219">
        <v>0.08</v>
      </c>
      <c r="G121" s="219">
        <v>0.08</v>
      </c>
      <c r="H121" s="220"/>
      <c r="I121" s="221">
        <v>7</v>
      </c>
      <c r="J121" s="221">
        <v>7</v>
      </c>
      <c r="K121" s="218"/>
      <c r="L121" s="222">
        <v>789.22523000000001</v>
      </c>
      <c r="M121" s="222">
        <v>-2.3836400000000002</v>
      </c>
      <c r="N121" s="222">
        <v>786.84159</v>
      </c>
      <c r="O121" s="217">
        <v>265.41518204421999</v>
      </c>
      <c r="P121" s="223">
        <v>221.85</v>
      </c>
      <c r="Q121" s="229">
        <v>1.1963722427055199</v>
      </c>
      <c r="R121" s="230">
        <v>68.644539275300801</v>
      </c>
      <c r="S121" s="219">
        <v>0.01</v>
      </c>
      <c r="T121" s="219">
        <v>0.01</v>
      </c>
      <c r="U121" s="226">
        <v>0</v>
      </c>
      <c r="V121" s="227">
        <v>3</v>
      </c>
      <c r="W121" s="218"/>
      <c r="X121" s="226">
        <v>2267.54358</v>
      </c>
      <c r="Y121" s="217">
        <v>764.88139382528402</v>
      </c>
      <c r="Z121" s="228">
        <v>573</v>
      </c>
      <c r="AA121" s="229">
        <v>1.3348715424524999</v>
      </c>
      <c r="AB121" s="230">
        <v>412.56539624857902</v>
      </c>
      <c r="AC121" s="219">
        <v>0.02</v>
      </c>
      <c r="AD121" s="219">
        <v>0.02</v>
      </c>
      <c r="AE121" s="227">
        <v>0</v>
      </c>
      <c r="AF121" s="227">
        <v>0</v>
      </c>
      <c r="AG121" s="218"/>
      <c r="AH121" s="231">
        <v>264.39999999999998</v>
      </c>
      <c r="AI121" s="217">
        <v>89.186660980251204</v>
      </c>
      <c r="AJ121" s="232" t="s">
        <v>53</v>
      </c>
      <c r="AK121" s="229">
        <v>1.4156612854008099</v>
      </c>
      <c r="AL121" s="230">
        <v>60.449519063979899</v>
      </c>
      <c r="AM121" s="219">
        <v>0.02</v>
      </c>
      <c r="AN121" s="219">
        <v>0.02</v>
      </c>
      <c r="AO121" s="227">
        <v>0</v>
      </c>
      <c r="AP121" s="227">
        <v>0</v>
      </c>
      <c r="AQ121" s="218"/>
      <c r="AR121" s="231">
        <v>69.5</v>
      </c>
      <c r="AS121" s="217">
        <v>23.4435436389087</v>
      </c>
      <c r="AT121" s="232" t="s">
        <v>54</v>
      </c>
      <c r="AU121" s="229">
        <v>1.46522147743179</v>
      </c>
      <c r="AV121" s="230">
        <v>17.7030524606933</v>
      </c>
      <c r="AW121" s="219">
        <v>0.01</v>
      </c>
      <c r="AX121" s="219">
        <v>0.01</v>
      </c>
      <c r="AY121" s="227">
        <v>0</v>
      </c>
      <c r="AZ121" s="227">
        <v>0</v>
      </c>
      <c r="BA121" s="218"/>
      <c r="BB121" s="235">
        <v>189</v>
      </c>
      <c r="BC121" s="231">
        <v>63.7529460108452</v>
      </c>
      <c r="BD121" s="232" t="s">
        <v>55</v>
      </c>
      <c r="BE121" s="229">
        <v>1.9922795628389101</v>
      </c>
      <c r="BF121" s="230">
        <v>85.4061049213866</v>
      </c>
      <c r="BG121" s="219">
        <v>0.02</v>
      </c>
      <c r="BH121" s="219">
        <v>0.02</v>
      </c>
      <c r="BI121" s="227">
        <v>0</v>
      </c>
      <c r="BJ121" s="227">
        <v>0</v>
      </c>
      <c r="BK121" s="220"/>
      <c r="BL121" s="236">
        <v>0.8</v>
      </c>
      <c r="BM121" s="233">
        <v>0.86</v>
      </c>
      <c r="BN121" s="237">
        <v>2.2499999999999998E-3</v>
      </c>
      <c r="BO121" s="238">
        <v>0.95</v>
      </c>
      <c r="BP121" s="229">
        <v>1</v>
      </c>
      <c r="BQ121" s="237">
        <v>2.5000000000000001E-3</v>
      </c>
    </row>
    <row r="122" spans="1:69" s="207" customFormat="1" ht="22.35" customHeight="1" x14ac:dyDescent="0.2">
      <c r="A122" s="216" t="s">
        <v>175</v>
      </c>
      <c r="B122" s="216" t="s">
        <v>176</v>
      </c>
      <c r="C122" s="216" t="s">
        <v>182</v>
      </c>
      <c r="D122" s="217">
        <v>3.25939735288889</v>
      </c>
      <c r="E122" s="218"/>
      <c r="F122" s="219">
        <v>0.03</v>
      </c>
      <c r="G122" s="219">
        <v>2.8000000000000001E-2</v>
      </c>
      <c r="H122" s="220"/>
      <c r="I122" s="221">
        <v>3</v>
      </c>
      <c r="J122" s="221">
        <v>3</v>
      </c>
      <c r="K122" s="218"/>
      <c r="L122" s="222">
        <v>790.63486999999998</v>
      </c>
      <c r="M122" s="222">
        <v>519.15446999999995</v>
      </c>
      <c r="N122" s="222">
        <v>1309.78934</v>
      </c>
      <c r="O122" s="217">
        <v>401.850157618585</v>
      </c>
      <c r="P122" s="223">
        <v>225.95400000000001</v>
      </c>
      <c r="Q122" s="229">
        <v>1.7784600299998501</v>
      </c>
      <c r="R122" s="230">
        <v>505.55987453367499</v>
      </c>
      <c r="S122" s="219">
        <v>0.01</v>
      </c>
      <c r="T122" s="219">
        <v>0.01</v>
      </c>
      <c r="U122" s="226">
        <v>0</v>
      </c>
      <c r="V122" s="227">
        <v>0</v>
      </c>
      <c r="W122" s="218"/>
      <c r="X122" s="226">
        <v>1684.8502100000001</v>
      </c>
      <c r="Y122" s="217">
        <v>516.92077632285998</v>
      </c>
      <c r="Z122" s="228">
        <v>573</v>
      </c>
      <c r="AA122" s="239">
        <v>0.90213049969085501</v>
      </c>
      <c r="AB122" s="222">
        <v>-354.60686406022501</v>
      </c>
      <c r="AC122" s="219"/>
      <c r="AD122" s="219"/>
      <c r="AE122" s="227">
        <v>183</v>
      </c>
      <c r="AF122" s="227">
        <v>557</v>
      </c>
      <c r="AG122" s="218"/>
      <c r="AH122" s="231">
        <v>171.75</v>
      </c>
      <c r="AI122" s="217">
        <v>52.693790110547098</v>
      </c>
      <c r="AJ122" s="232" t="s">
        <v>53</v>
      </c>
      <c r="AK122" s="239">
        <v>0.83640936683408096</v>
      </c>
      <c r="AL122" s="222">
        <v>-52.4835002893441</v>
      </c>
      <c r="AM122" s="219"/>
      <c r="AN122" s="219"/>
      <c r="AO122" s="227">
        <v>34</v>
      </c>
      <c r="AP122" s="227">
        <v>75</v>
      </c>
      <c r="AQ122" s="218"/>
      <c r="AR122" s="231">
        <v>29.1</v>
      </c>
      <c r="AS122" s="217">
        <v>8.9280308134900803</v>
      </c>
      <c r="AT122" s="232" t="s">
        <v>54</v>
      </c>
      <c r="AU122" s="224">
        <v>0.55800192584313002</v>
      </c>
      <c r="AV122" s="225">
        <v>-27.848190549674701</v>
      </c>
      <c r="AW122" s="219"/>
      <c r="AX122" s="219"/>
      <c r="AY122" s="227">
        <v>24</v>
      </c>
      <c r="AZ122" s="227">
        <v>34</v>
      </c>
      <c r="BA122" s="218"/>
      <c r="BB122" s="235">
        <v>123</v>
      </c>
      <c r="BC122" s="231">
        <v>37.737037459081797</v>
      </c>
      <c r="BD122" s="232" t="s">
        <v>55</v>
      </c>
      <c r="BE122" s="229">
        <v>1.1792824205963099</v>
      </c>
      <c r="BF122" s="230">
        <v>9.1036189006506198</v>
      </c>
      <c r="BG122" s="219">
        <v>0.02</v>
      </c>
      <c r="BH122" s="219">
        <v>1.7999999999999999E-2</v>
      </c>
      <c r="BI122" s="227">
        <v>0</v>
      </c>
      <c r="BJ122" s="227">
        <v>3</v>
      </c>
      <c r="BK122" s="220"/>
      <c r="BL122" s="236">
        <v>0.8</v>
      </c>
      <c r="BM122" s="239">
        <v>0.78</v>
      </c>
      <c r="BN122" s="237"/>
      <c r="BO122" s="238">
        <v>0.95</v>
      </c>
      <c r="BP122" s="229">
        <v>1</v>
      </c>
      <c r="BQ122" s="237">
        <v>2.5000000000000001E-3</v>
      </c>
    </row>
    <row r="123" spans="1:69" s="207" customFormat="1" ht="22.35" customHeight="1" x14ac:dyDescent="0.2">
      <c r="A123" s="216" t="s">
        <v>175</v>
      </c>
      <c r="B123" s="216" t="s">
        <v>176</v>
      </c>
      <c r="C123" s="216" t="s">
        <v>183</v>
      </c>
      <c r="D123" s="217">
        <v>2.4762819977777801</v>
      </c>
      <c r="E123" s="218"/>
      <c r="F123" s="219">
        <v>0.02</v>
      </c>
      <c r="G123" s="219">
        <v>0.01</v>
      </c>
      <c r="H123" s="220"/>
      <c r="I123" s="221">
        <v>5</v>
      </c>
      <c r="J123" s="221">
        <v>3</v>
      </c>
      <c r="K123" s="218"/>
      <c r="L123" s="222">
        <v>208.34438</v>
      </c>
      <c r="M123" s="222">
        <v>1798.81573</v>
      </c>
      <c r="N123" s="222">
        <v>2007.16011</v>
      </c>
      <c r="O123" s="217">
        <v>810.553931984011</v>
      </c>
      <c r="P123" s="223">
        <v>224.404</v>
      </c>
      <c r="Q123" s="229">
        <v>3.6120297854940699</v>
      </c>
      <c r="R123" s="230">
        <v>1400.34926671118</v>
      </c>
      <c r="S123" s="219">
        <v>0.01</v>
      </c>
      <c r="T123" s="219">
        <v>0.01</v>
      </c>
      <c r="U123" s="226">
        <v>0</v>
      </c>
      <c r="V123" s="227">
        <v>0</v>
      </c>
      <c r="W123" s="218"/>
      <c r="X123" s="226">
        <v>1037.87886</v>
      </c>
      <c r="Y123" s="217">
        <v>419.12789453357698</v>
      </c>
      <c r="Z123" s="228">
        <v>573</v>
      </c>
      <c r="AA123" s="239">
        <v>0.73146229412491603</v>
      </c>
      <c r="AB123" s="222">
        <v>-511.57040652152102</v>
      </c>
      <c r="AC123" s="219"/>
      <c r="AD123" s="219"/>
      <c r="AE123" s="227">
        <v>382</v>
      </c>
      <c r="AF123" s="227">
        <v>665</v>
      </c>
      <c r="AG123" s="218"/>
      <c r="AH123" s="231">
        <v>144.25</v>
      </c>
      <c r="AI123" s="217">
        <v>58.252654636850899</v>
      </c>
      <c r="AJ123" s="232" t="s">
        <v>53</v>
      </c>
      <c r="AK123" s="233">
        <v>0.92464531169604502</v>
      </c>
      <c r="AL123" s="234">
        <v>-26.1082963191202</v>
      </c>
      <c r="AM123" s="219">
        <v>2E-3</v>
      </c>
      <c r="AN123" s="219"/>
      <c r="AO123" s="227">
        <v>12</v>
      </c>
      <c r="AP123" s="227">
        <v>43</v>
      </c>
      <c r="AQ123" s="218"/>
      <c r="AR123" s="231">
        <v>27.9</v>
      </c>
      <c r="AS123" s="217">
        <v>11.2668912607843</v>
      </c>
      <c r="AT123" s="232" t="s">
        <v>54</v>
      </c>
      <c r="AU123" s="224">
        <v>0.70418070379901998</v>
      </c>
      <c r="AV123" s="225">
        <v>-15.3655990651734</v>
      </c>
      <c r="AW123" s="219"/>
      <c r="AX123" s="219"/>
      <c r="AY123" s="227">
        <v>12</v>
      </c>
      <c r="AZ123" s="227">
        <v>20</v>
      </c>
      <c r="BA123" s="218"/>
      <c r="BB123" s="235">
        <v>78.2</v>
      </c>
      <c r="BC123" s="231">
        <v>31.579602028434898</v>
      </c>
      <c r="BD123" s="232" t="s">
        <v>55</v>
      </c>
      <c r="BE123" s="233">
        <v>0.98686256338859102</v>
      </c>
      <c r="BF123" s="234">
        <v>-8.3311981303467508</v>
      </c>
      <c r="BG123" s="219">
        <v>8.0000000000000002E-3</v>
      </c>
      <c r="BH123" s="219"/>
      <c r="BI123" s="227">
        <v>2</v>
      </c>
      <c r="BJ123" s="227">
        <v>17</v>
      </c>
      <c r="BK123" s="220"/>
      <c r="BL123" s="236">
        <v>0.8</v>
      </c>
      <c r="BM123" s="233">
        <v>0.84</v>
      </c>
      <c r="BN123" s="237">
        <v>1.5E-3</v>
      </c>
      <c r="BO123" s="238">
        <v>0.95</v>
      </c>
      <c r="BP123" s="229">
        <v>1</v>
      </c>
      <c r="BQ123" s="237">
        <v>2.5000000000000001E-3</v>
      </c>
    </row>
    <row r="124" spans="1:69" s="207" customFormat="1" ht="22.35" customHeight="1" x14ac:dyDescent="0.2">
      <c r="A124" s="216" t="s">
        <v>175</v>
      </c>
      <c r="B124" s="216" t="s">
        <v>176</v>
      </c>
      <c r="C124" s="216" t="s">
        <v>184</v>
      </c>
      <c r="D124" s="217">
        <v>6.49187964211111</v>
      </c>
      <c r="E124" s="218"/>
      <c r="F124" s="219">
        <v>1.6E-2</v>
      </c>
      <c r="G124" s="219"/>
      <c r="H124" s="220"/>
      <c r="I124" s="221">
        <v>3</v>
      </c>
      <c r="J124" s="221">
        <v>1</v>
      </c>
      <c r="K124" s="218"/>
      <c r="L124" s="222">
        <v>1658.9607800000001</v>
      </c>
      <c r="M124" s="222">
        <v>-1437.8832399999999</v>
      </c>
      <c r="N124" s="222">
        <v>221.07754</v>
      </c>
      <c r="O124" s="217">
        <v>34.054473001305901</v>
      </c>
      <c r="P124" s="223">
        <v>272.23099999999999</v>
      </c>
      <c r="Q124" s="224">
        <v>0.12509403044218301</v>
      </c>
      <c r="R124" s="225">
        <v>-1708.8041084418901</v>
      </c>
      <c r="S124" s="219"/>
      <c r="T124" s="219"/>
      <c r="U124" s="226">
        <v>1547</v>
      </c>
      <c r="V124" s="227">
        <v>1900</v>
      </c>
      <c r="W124" s="218"/>
      <c r="X124" s="226">
        <v>3625.1861549999999</v>
      </c>
      <c r="Y124" s="217">
        <v>558.41857133092401</v>
      </c>
      <c r="Z124" s="228">
        <v>573</v>
      </c>
      <c r="AA124" s="233">
        <v>0.97455248050772203</v>
      </c>
      <c r="AB124" s="234">
        <v>-436.88680714319599</v>
      </c>
      <c r="AC124" s="219">
        <v>7.0000000000000001E-3</v>
      </c>
      <c r="AD124" s="219"/>
      <c r="AE124" s="227">
        <v>95</v>
      </c>
      <c r="AF124" s="227">
        <v>839</v>
      </c>
      <c r="AG124" s="218"/>
      <c r="AH124" s="231">
        <v>224.4</v>
      </c>
      <c r="AI124" s="217">
        <v>34.5662600619359</v>
      </c>
      <c r="AJ124" s="232" t="s">
        <v>53</v>
      </c>
      <c r="AK124" s="224">
        <v>0.548670794633903</v>
      </c>
      <c r="AL124" s="225">
        <v>-222.215351858676</v>
      </c>
      <c r="AM124" s="219"/>
      <c r="AN124" s="219"/>
      <c r="AO124" s="227">
        <v>185</v>
      </c>
      <c r="AP124" s="227">
        <v>267</v>
      </c>
      <c r="AQ124" s="218"/>
      <c r="AR124" s="231">
        <v>51.8</v>
      </c>
      <c r="AS124" s="217">
        <v>7.9791990695556096</v>
      </c>
      <c r="AT124" s="232" t="s">
        <v>54</v>
      </c>
      <c r="AU124" s="224">
        <v>0.49869994184722599</v>
      </c>
      <c r="AV124" s="225">
        <v>-61.6261211069653</v>
      </c>
      <c r="AW124" s="219"/>
      <c r="AX124" s="219"/>
      <c r="AY124" s="227">
        <v>53</v>
      </c>
      <c r="AZ124" s="227">
        <v>73</v>
      </c>
      <c r="BA124" s="218"/>
      <c r="BB124" s="235">
        <v>206.6</v>
      </c>
      <c r="BC124" s="231">
        <v>31.824373122976599</v>
      </c>
      <c r="BD124" s="232" t="s">
        <v>55</v>
      </c>
      <c r="BE124" s="233">
        <v>0.99451166009301994</v>
      </c>
      <c r="BF124" s="234">
        <v>-20.2522422139307</v>
      </c>
      <c r="BG124" s="219">
        <v>8.9999999999999993E-3</v>
      </c>
      <c r="BH124" s="219"/>
      <c r="BI124" s="227">
        <v>2</v>
      </c>
      <c r="BJ124" s="227">
        <v>43</v>
      </c>
      <c r="BK124" s="220"/>
      <c r="BL124" s="236">
        <v>0.8</v>
      </c>
      <c r="BM124" s="239">
        <v>0.79</v>
      </c>
      <c r="BN124" s="237"/>
      <c r="BO124" s="238">
        <v>0.95</v>
      </c>
      <c r="BP124" s="229">
        <v>1</v>
      </c>
      <c r="BQ124" s="237">
        <v>2.5000000000000001E-3</v>
      </c>
    </row>
    <row r="125" spans="1:69" s="207" customFormat="1" ht="22.35" customHeight="1" x14ac:dyDescent="0.2">
      <c r="A125" s="216" t="s">
        <v>175</v>
      </c>
      <c r="B125" s="216" t="s">
        <v>176</v>
      </c>
      <c r="C125" s="216" t="s">
        <v>185</v>
      </c>
      <c r="D125" s="217">
        <v>2.7823128829999999</v>
      </c>
      <c r="E125" s="218"/>
      <c r="F125" s="219">
        <v>0.03</v>
      </c>
      <c r="G125" s="219">
        <v>2.3E-2</v>
      </c>
      <c r="H125" s="220"/>
      <c r="I125" s="221">
        <v>4</v>
      </c>
      <c r="J125" s="221">
        <v>4</v>
      </c>
      <c r="K125" s="218"/>
      <c r="L125" s="222">
        <v>1048.1140499999999</v>
      </c>
      <c r="M125" s="222">
        <v>769.87869999999998</v>
      </c>
      <c r="N125" s="222">
        <v>1817.9927499999999</v>
      </c>
      <c r="O125" s="217">
        <v>653.410607091668</v>
      </c>
      <c r="P125" s="223">
        <v>278.23599999999999</v>
      </c>
      <c r="Q125" s="229">
        <v>2.3484042578662301</v>
      </c>
      <c r="R125" s="230">
        <v>972.63229881268796</v>
      </c>
      <c r="S125" s="219">
        <v>0.01</v>
      </c>
      <c r="T125" s="219">
        <v>0.01</v>
      </c>
      <c r="U125" s="226">
        <v>0</v>
      </c>
      <c r="V125" s="227">
        <v>0</v>
      </c>
      <c r="W125" s="218"/>
      <c r="X125" s="226">
        <v>1257.339655</v>
      </c>
      <c r="Y125" s="217">
        <v>451.904479428743</v>
      </c>
      <c r="Z125" s="228">
        <v>573</v>
      </c>
      <c r="AA125" s="239">
        <v>0.78866401296464705</v>
      </c>
      <c r="AB125" s="222">
        <v>-483.59803289922797</v>
      </c>
      <c r="AC125" s="219"/>
      <c r="AD125" s="219"/>
      <c r="AE125" s="227">
        <v>337</v>
      </c>
      <c r="AF125" s="227">
        <v>656</v>
      </c>
      <c r="AG125" s="218"/>
      <c r="AH125" s="231">
        <v>133.85</v>
      </c>
      <c r="AI125" s="217">
        <v>48.107457941853603</v>
      </c>
      <c r="AJ125" s="232" t="s">
        <v>53</v>
      </c>
      <c r="AK125" s="239">
        <v>0.76361044352148599</v>
      </c>
      <c r="AL125" s="222">
        <v>-57.561997098867998</v>
      </c>
      <c r="AM125" s="219"/>
      <c r="AN125" s="219"/>
      <c r="AO125" s="227">
        <v>42</v>
      </c>
      <c r="AP125" s="227">
        <v>77</v>
      </c>
      <c r="AQ125" s="218"/>
      <c r="AR125" s="231">
        <v>19.100000000000001</v>
      </c>
      <c r="AS125" s="217">
        <v>6.8647922800851999</v>
      </c>
      <c r="AT125" s="232" t="s">
        <v>54</v>
      </c>
      <c r="AU125" s="224">
        <v>0.429049517505325</v>
      </c>
      <c r="AV125" s="225">
        <v>-29.512570691775998</v>
      </c>
      <c r="AW125" s="219"/>
      <c r="AX125" s="219"/>
      <c r="AY125" s="227">
        <v>26</v>
      </c>
      <c r="AZ125" s="227">
        <v>35</v>
      </c>
      <c r="BA125" s="218"/>
      <c r="BB125" s="235">
        <v>101</v>
      </c>
      <c r="BC125" s="231">
        <v>36.3007340465238</v>
      </c>
      <c r="BD125" s="232" t="s">
        <v>55</v>
      </c>
      <c r="BE125" s="229">
        <v>1.1343979389538701</v>
      </c>
      <c r="BF125" s="230">
        <v>3.77485861644799</v>
      </c>
      <c r="BG125" s="219">
        <v>0.02</v>
      </c>
      <c r="BH125" s="219">
        <v>1.2999999999999999E-2</v>
      </c>
      <c r="BI125" s="227">
        <v>0</v>
      </c>
      <c r="BJ125" s="227">
        <v>6</v>
      </c>
      <c r="BK125" s="220"/>
      <c r="BL125" s="236">
        <v>0.8</v>
      </c>
      <c r="BM125" s="233">
        <v>0.84</v>
      </c>
      <c r="BN125" s="237">
        <v>1.5E-3</v>
      </c>
      <c r="BO125" s="238">
        <v>0.95</v>
      </c>
      <c r="BP125" s="229">
        <v>1</v>
      </c>
      <c r="BQ125" s="237">
        <v>2.5000000000000001E-3</v>
      </c>
    </row>
    <row r="126" spans="1:69" s="207" customFormat="1" ht="22.35" customHeight="1" x14ac:dyDescent="0.2">
      <c r="A126" s="216" t="s">
        <v>175</v>
      </c>
      <c r="B126" s="216" t="s">
        <v>176</v>
      </c>
      <c r="C126" s="216" t="s">
        <v>186</v>
      </c>
      <c r="D126" s="217">
        <v>6.3293904736666704</v>
      </c>
      <c r="E126" s="218"/>
      <c r="F126" s="219">
        <v>2.5999999999999999E-2</v>
      </c>
      <c r="G126" s="219">
        <v>1.4999999999999999E-2</v>
      </c>
      <c r="H126" s="220"/>
      <c r="I126" s="221">
        <v>3</v>
      </c>
      <c r="J126" s="221">
        <v>3</v>
      </c>
      <c r="K126" s="218"/>
      <c r="L126" s="222">
        <v>2477.6832899999999</v>
      </c>
      <c r="M126" s="222">
        <v>1330.3958299999999</v>
      </c>
      <c r="N126" s="222">
        <v>3808.0791199999999</v>
      </c>
      <c r="O126" s="217">
        <v>601.65021195065401</v>
      </c>
      <c r="P126" s="223">
        <v>213.245</v>
      </c>
      <c r="Q126" s="229">
        <v>2.8214036059492802</v>
      </c>
      <c r="R126" s="230">
        <v>2334.1948482596999</v>
      </c>
      <c r="S126" s="219">
        <v>0.01</v>
      </c>
      <c r="T126" s="219">
        <v>0.01</v>
      </c>
      <c r="U126" s="226">
        <v>0</v>
      </c>
      <c r="V126" s="227">
        <v>0</v>
      </c>
      <c r="W126" s="218"/>
      <c r="X126" s="226">
        <v>2979.1891049999999</v>
      </c>
      <c r="Y126" s="217">
        <v>470.69131180875502</v>
      </c>
      <c r="Z126" s="228">
        <v>573</v>
      </c>
      <c r="AA126" s="239">
        <v>0.82145080594896103</v>
      </c>
      <c r="AB126" s="222">
        <v>-981.211784620814</v>
      </c>
      <c r="AC126" s="219"/>
      <c r="AD126" s="219"/>
      <c r="AE126" s="227">
        <v>648</v>
      </c>
      <c r="AF126" s="227">
        <v>1373</v>
      </c>
      <c r="AG126" s="218"/>
      <c r="AH126" s="231">
        <v>251</v>
      </c>
      <c r="AI126" s="217">
        <v>39.656267225774997</v>
      </c>
      <c r="AJ126" s="232" t="s">
        <v>53</v>
      </c>
      <c r="AK126" s="224">
        <v>0.62946455913928601</v>
      </c>
      <c r="AL126" s="225">
        <v>-184.43674702637199</v>
      </c>
      <c r="AM126" s="219"/>
      <c r="AN126" s="219"/>
      <c r="AO126" s="227">
        <v>148</v>
      </c>
      <c r="AP126" s="227">
        <v>228</v>
      </c>
      <c r="AQ126" s="218"/>
      <c r="AR126" s="231">
        <v>83.9</v>
      </c>
      <c r="AS126" s="217">
        <v>13.255620797779001</v>
      </c>
      <c r="AT126" s="232" t="s">
        <v>54</v>
      </c>
      <c r="AU126" s="239">
        <v>0.82847629986118598</v>
      </c>
      <c r="AV126" s="222">
        <v>-26.6871103559041</v>
      </c>
      <c r="AW126" s="219"/>
      <c r="AX126" s="219"/>
      <c r="AY126" s="227">
        <v>18</v>
      </c>
      <c r="AZ126" s="227">
        <v>38</v>
      </c>
      <c r="BA126" s="218"/>
      <c r="BB126" s="235">
        <v>213.6</v>
      </c>
      <c r="BC126" s="231">
        <v>33.747325416038002</v>
      </c>
      <c r="BD126" s="232" t="s">
        <v>55</v>
      </c>
      <c r="BE126" s="233">
        <v>1.05460391925119</v>
      </c>
      <c r="BF126" s="234">
        <v>-7.5742207118081204</v>
      </c>
      <c r="BG126" s="219">
        <v>1.6E-2</v>
      </c>
      <c r="BH126" s="219">
        <v>5.0000000000000001E-3</v>
      </c>
      <c r="BI126" s="227">
        <v>0</v>
      </c>
      <c r="BJ126" s="227">
        <v>30</v>
      </c>
      <c r="BK126" s="220"/>
      <c r="BL126" s="236">
        <v>0.8</v>
      </c>
      <c r="BM126" s="239">
        <v>0.74</v>
      </c>
      <c r="BN126" s="237"/>
      <c r="BO126" s="238">
        <v>0.95</v>
      </c>
      <c r="BP126" s="229">
        <v>1</v>
      </c>
      <c r="BQ126" s="237">
        <v>2.5000000000000001E-3</v>
      </c>
    </row>
    <row r="127" spans="1:69" s="207" customFormat="1" ht="22.35" customHeight="1" x14ac:dyDescent="0.2">
      <c r="A127" s="216" t="s">
        <v>175</v>
      </c>
      <c r="B127" s="216" t="s">
        <v>187</v>
      </c>
      <c r="C127" s="216" t="s">
        <v>188</v>
      </c>
      <c r="D127" s="217">
        <v>2.9213564213333298</v>
      </c>
      <c r="E127" s="218"/>
      <c r="F127" s="219">
        <v>0.06</v>
      </c>
      <c r="G127" s="219">
        <v>4.7E-2</v>
      </c>
      <c r="H127" s="220"/>
      <c r="I127" s="221">
        <v>6</v>
      </c>
      <c r="J127" s="221">
        <v>5</v>
      </c>
      <c r="K127" s="218"/>
      <c r="L127" s="222">
        <v>1205.29936</v>
      </c>
      <c r="M127" s="222">
        <v>1218.6614999999999</v>
      </c>
      <c r="N127" s="222">
        <v>2423.9608600000001</v>
      </c>
      <c r="O127" s="217">
        <v>829.73814571166997</v>
      </c>
      <c r="P127" s="223">
        <v>212.5</v>
      </c>
      <c r="Q127" s="229">
        <v>3.9046500974666798</v>
      </c>
      <c r="R127" s="230">
        <v>1746.0601024296</v>
      </c>
      <c r="S127" s="219">
        <v>0.01</v>
      </c>
      <c r="T127" s="219">
        <v>0.01</v>
      </c>
      <c r="U127" s="226">
        <v>0</v>
      </c>
      <c r="V127" s="227">
        <v>0</v>
      </c>
      <c r="W127" s="218"/>
      <c r="X127" s="226">
        <v>1965.5979</v>
      </c>
      <c r="Y127" s="217">
        <v>672.83741403347301</v>
      </c>
      <c r="Z127" s="228">
        <v>573</v>
      </c>
      <c r="AA127" s="229">
        <v>1.1742363246657499</v>
      </c>
      <c r="AB127" s="230">
        <v>137.65844546899399</v>
      </c>
      <c r="AC127" s="219">
        <v>0.02</v>
      </c>
      <c r="AD127" s="219">
        <v>1.7000000000000001E-2</v>
      </c>
      <c r="AE127" s="227">
        <v>0</v>
      </c>
      <c r="AF127" s="227">
        <v>44</v>
      </c>
      <c r="AG127" s="218"/>
      <c r="AH127" s="231">
        <v>183.5</v>
      </c>
      <c r="AI127" s="217">
        <v>62.813287231911602</v>
      </c>
      <c r="AJ127" s="232" t="s">
        <v>53</v>
      </c>
      <c r="AK127" s="233">
        <v>0.99703630526843801</v>
      </c>
      <c r="AL127" s="234">
        <v>-17.4776363620478</v>
      </c>
      <c r="AM127" s="219">
        <v>0.01</v>
      </c>
      <c r="AN127" s="219">
        <v>0</v>
      </c>
      <c r="AO127" s="227">
        <v>1</v>
      </c>
      <c r="AP127" s="227">
        <v>38</v>
      </c>
      <c r="AQ127" s="218"/>
      <c r="AR127" s="231">
        <v>17.399999999999999</v>
      </c>
      <c r="AS127" s="217">
        <v>5.9561373179033303</v>
      </c>
      <c r="AT127" s="232" t="s">
        <v>54</v>
      </c>
      <c r="AU127" s="224">
        <v>0.37225858236895798</v>
      </c>
      <c r="AV127" s="225">
        <v>-33.6419393935359</v>
      </c>
      <c r="AW127" s="219"/>
      <c r="AX127" s="219"/>
      <c r="AY127" s="227">
        <v>30</v>
      </c>
      <c r="AZ127" s="227">
        <v>39</v>
      </c>
      <c r="BA127" s="218"/>
      <c r="BB127" s="235">
        <v>125.4</v>
      </c>
      <c r="BC127" s="231">
        <v>42.925265497993003</v>
      </c>
      <c r="BD127" s="232" t="s">
        <v>55</v>
      </c>
      <c r="BE127" s="229">
        <v>1.34141454681228</v>
      </c>
      <c r="BF127" s="230">
        <v>23.316121212928099</v>
      </c>
      <c r="BG127" s="219">
        <v>0.02</v>
      </c>
      <c r="BH127" s="219">
        <v>0.02</v>
      </c>
      <c r="BI127" s="227">
        <v>0</v>
      </c>
      <c r="BJ127" s="227">
        <v>0</v>
      </c>
      <c r="BK127" s="220"/>
      <c r="BL127" s="236">
        <v>0.8</v>
      </c>
      <c r="BM127" s="233">
        <v>0.85</v>
      </c>
      <c r="BN127" s="237">
        <v>1.8749999999999999E-3</v>
      </c>
      <c r="BO127" s="238">
        <v>0.95</v>
      </c>
      <c r="BP127" s="229">
        <v>1</v>
      </c>
      <c r="BQ127" s="237">
        <v>2.5000000000000001E-3</v>
      </c>
    </row>
    <row r="128" spans="1:69" s="207" customFormat="1" ht="22.35" customHeight="1" x14ac:dyDescent="0.2">
      <c r="A128" s="216" t="s">
        <v>175</v>
      </c>
      <c r="B128" s="216" t="s">
        <v>187</v>
      </c>
      <c r="C128" s="216" t="s">
        <v>189</v>
      </c>
      <c r="D128" s="217">
        <v>8.5281722426666704</v>
      </c>
      <c r="E128" s="218"/>
      <c r="F128" s="219">
        <v>0.04</v>
      </c>
      <c r="G128" s="219">
        <v>0.04</v>
      </c>
      <c r="H128" s="220"/>
      <c r="I128" s="221">
        <v>4</v>
      </c>
      <c r="J128" s="221">
        <v>4</v>
      </c>
      <c r="K128" s="218"/>
      <c r="L128" s="222">
        <v>8846.2306599999993</v>
      </c>
      <c r="M128" s="222">
        <v>2797.3481900000002</v>
      </c>
      <c r="N128" s="222">
        <v>11643.57885</v>
      </c>
      <c r="O128" s="217">
        <v>1365.30765546067</v>
      </c>
      <c r="P128" s="223">
        <v>246.12100000000001</v>
      </c>
      <c r="Q128" s="229">
        <v>5.5473025684954598</v>
      </c>
      <c r="R128" s="230">
        <v>9351.5120396532002</v>
      </c>
      <c r="S128" s="219">
        <v>0.01</v>
      </c>
      <c r="T128" s="219">
        <v>0.01</v>
      </c>
      <c r="U128" s="226">
        <v>0</v>
      </c>
      <c r="V128" s="227">
        <v>0</v>
      </c>
      <c r="W128" s="218"/>
      <c r="X128" s="226">
        <v>4201.0185750000001</v>
      </c>
      <c r="Y128" s="217">
        <v>492.60479918337001</v>
      </c>
      <c r="Z128" s="228">
        <v>573</v>
      </c>
      <c r="AA128" s="239">
        <v>0.859694239412512</v>
      </c>
      <c r="AB128" s="222">
        <v>-1135.19524799242</v>
      </c>
      <c r="AC128" s="219"/>
      <c r="AD128" s="219"/>
      <c r="AE128" s="227">
        <v>686</v>
      </c>
      <c r="AF128" s="227">
        <v>1663</v>
      </c>
      <c r="AG128" s="218"/>
      <c r="AH128" s="231">
        <v>364.55</v>
      </c>
      <c r="AI128" s="217">
        <v>42.746556897167999</v>
      </c>
      <c r="AJ128" s="232" t="s">
        <v>53</v>
      </c>
      <c r="AK128" s="224">
        <v>0.67851677614552497</v>
      </c>
      <c r="AL128" s="225">
        <v>-222.15413760649599</v>
      </c>
      <c r="AM128" s="219"/>
      <c r="AN128" s="219"/>
      <c r="AO128" s="227">
        <v>173</v>
      </c>
      <c r="AP128" s="227">
        <v>281</v>
      </c>
      <c r="AQ128" s="218"/>
      <c r="AR128" s="231">
        <v>188.6</v>
      </c>
      <c r="AS128" s="217">
        <v>22.114937953108999</v>
      </c>
      <c r="AT128" s="232" t="s">
        <v>54</v>
      </c>
      <c r="AU128" s="229">
        <v>1.38218362206931</v>
      </c>
      <c r="AV128" s="230">
        <v>39.595774576127901</v>
      </c>
      <c r="AW128" s="219">
        <v>0.01</v>
      </c>
      <c r="AX128" s="219">
        <v>0.01</v>
      </c>
      <c r="AY128" s="227">
        <v>0</v>
      </c>
      <c r="AZ128" s="227">
        <v>0</v>
      </c>
      <c r="BA128" s="218"/>
      <c r="BB128" s="235">
        <v>405.2</v>
      </c>
      <c r="BC128" s="231">
        <v>47.513111657475001</v>
      </c>
      <c r="BD128" s="232" t="s">
        <v>55</v>
      </c>
      <c r="BE128" s="229">
        <v>1.48478473929609</v>
      </c>
      <c r="BF128" s="230">
        <v>107.191549152256</v>
      </c>
      <c r="BG128" s="219">
        <v>0.02</v>
      </c>
      <c r="BH128" s="219">
        <v>0.02</v>
      </c>
      <c r="BI128" s="227">
        <v>0</v>
      </c>
      <c r="BJ128" s="227">
        <v>0</v>
      </c>
      <c r="BK128" s="220"/>
      <c r="BL128" s="236">
        <v>0.8</v>
      </c>
      <c r="BM128" s="239">
        <v>0.79</v>
      </c>
      <c r="BN128" s="237"/>
      <c r="BO128" s="238">
        <v>0.95</v>
      </c>
      <c r="BP128" s="229">
        <v>1</v>
      </c>
      <c r="BQ128" s="237">
        <v>2.5000000000000001E-3</v>
      </c>
    </row>
    <row r="129" spans="1:69" s="207" customFormat="1" ht="22.35" customHeight="1" x14ac:dyDescent="0.2">
      <c r="A129" s="216" t="s">
        <v>175</v>
      </c>
      <c r="B129" s="216" t="s">
        <v>187</v>
      </c>
      <c r="C129" s="216" t="s">
        <v>187</v>
      </c>
      <c r="D129" s="217">
        <v>4.1541729739999997</v>
      </c>
      <c r="E129" s="218"/>
      <c r="F129" s="219">
        <v>0.08</v>
      </c>
      <c r="G129" s="219">
        <v>7.0000000000000007E-2</v>
      </c>
      <c r="H129" s="220"/>
      <c r="I129" s="221">
        <v>7</v>
      </c>
      <c r="J129" s="221">
        <v>7</v>
      </c>
      <c r="K129" s="218"/>
      <c r="L129" s="222">
        <v>2018.87652</v>
      </c>
      <c r="M129" s="222">
        <v>2670.2712900000001</v>
      </c>
      <c r="N129" s="222">
        <v>4689.1478100000004</v>
      </c>
      <c r="O129" s="217">
        <v>1128.7801060158699</v>
      </c>
      <c r="P129" s="223">
        <v>212.5</v>
      </c>
      <c r="Q129" s="229">
        <v>5.3119063812511502</v>
      </c>
      <c r="R129" s="230">
        <v>3725.1719713832999</v>
      </c>
      <c r="S129" s="219">
        <v>0.01</v>
      </c>
      <c r="T129" s="219">
        <v>0.01</v>
      </c>
      <c r="U129" s="226">
        <v>0</v>
      </c>
      <c r="V129" s="227">
        <v>0</v>
      </c>
      <c r="W129" s="218"/>
      <c r="X129" s="226">
        <v>2772.46371</v>
      </c>
      <c r="Y129" s="217">
        <v>667.39245750049497</v>
      </c>
      <c r="Z129" s="228">
        <v>573</v>
      </c>
      <c r="AA129" s="229">
        <v>1.1647337827233799</v>
      </c>
      <c r="AB129" s="230">
        <v>173.13121340061599</v>
      </c>
      <c r="AC129" s="219">
        <v>0.02</v>
      </c>
      <c r="AD129" s="219">
        <v>1.6E-2</v>
      </c>
      <c r="AE129" s="227">
        <v>0</v>
      </c>
      <c r="AF129" s="227">
        <v>84</v>
      </c>
      <c r="AG129" s="218"/>
      <c r="AH129" s="231">
        <v>299</v>
      </c>
      <c r="AI129" s="217">
        <v>71.975818501389099</v>
      </c>
      <c r="AJ129" s="232" t="s">
        <v>53</v>
      </c>
      <c r="AK129" s="229">
        <v>1.1424733095458599</v>
      </c>
      <c r="AL129" s="230">
        <v>13.2095160806959</v>
      </c>
      <c r="AM129" s="219">
        <v>0.02</v>
      </c>
      <c r="AN129" s="219">
        <v>1.4E-2</v>
      </c>
      <c r="AO129" s="227">
        <v>0</v>
      </c>
      <c r="AP129" s="227">
        <v>16</v>
      </c>
      <c r="AQ129" s="218"/>
      <c r="AR129" s="231">
        <v>101.8</v>
      </c>
      <c r="AS129" s="217">
        <v>24.505479342613398</v>
      </c>
      <c r="AT129" s="232" t="s">
        <v>54</v>
      </c>
      <c r="AU129" s="229">
        <v>1.5315924589133401</v>
      </c>
      <c r="AV129" s="230">
        <v>29.218289798272</v>
      </c>
      <c r="AW129" s="219">
        <v>0.01</v>
      </c>
      <c r="AX129" s="219">
        <v>0.01</v>
      </c>
      <c r="AY129" s="227">
        <v>0</v>
      </c>
      <c r="AZ129" s="227">
        <v>0</v>
      </c>
      <c r="BA129" s="218"/>
      <c r="BB129" s="235">
        <v>229.8</v>
      </c>
      <c r="BC129" s="231">
        <v>55.317869871636198</v>
      </c>
      <c r="BD129" s="232" t="s">
        <v>55</v>
      </c>
      <c r="BE129" s="229">
        <v>1.7286834334886301</v>
      </c>
      <c r="BF129" s="230">
        <v>84.636579596543996</v>
      </c>
      <c r="BG129" s="219">
        <v>0.02</v>
      </c>
      <c r="BH129" s="219">
        <v>0.02</v>
      </c>
      <c r="BI129" s="227">
        <v>0</v>
      </c>
      <c r="BJ129" s="227">
        <v>0</v>
      </c>
      <c r="BK129" s="220"/>
      <c r="BL129" s="236">
        <v>0.8</v>
      </c>
      <c r="BM129" s="233">
        <v>0.82</v>
      </c>
      <c r="BN129" s="237">
        <v>7.5000000000000002E-4</v>
      </c>
      <c r="BO129" s="238">
        <v>0.95</v>
      </c>
      <c r="BP129" s="229">
        <v>1</v>
      </c>
      <c r="BQ129" s="237">
        <v>2.5000000000000001E-3</v>
      </c>
    </row>
    <row r="130" spans="1:69" s="207" customFormat="1" ht="22.35" customHeight="1" x14ac:dyDescent="0.2">
      <c r="A130" s="216" t="s">
        <v>175</v>
      </c>
      <c r="B130" s="216" t="s">
        <v>187</v>
      </c>
      <c r="C130" s="216" t="s">
        <v>190</v>
      </c>
      <c r="D130" s="217">
        <v>3.1974210582222198</v>
      </c>
      <c r="E130" s="218"/>
      <c r="F130" s="219">
        <v>0.03</v>
      </c>
      <c r="G130" s="219">
        <v>2.5999999999999999E-2</v>
      </c>
      <c r="H130" s="220"/>
      <c r="I130" s="221">
        <v>4</v>
      </c>
      <c r="J130" s="221">
        <v>4</v>
      </c>
      <c r="K130" s="218"/>
      <c r="L130" s="222">
        <v>2174.2863600000001</v>
      </c>
      <c r="M130" s="222">
        <v>2783.4766199999999</v>
      </c>
      <c r="N130" s="222">
        <v>4957.7629800000004</v>
      </c>
      <c r="O130" s="217">
        <v>1550.5505498723801</v>
      </c>
      <c r="P130" s="223">
        <v>212.5</v>
      </c>
      <c r="Q130" s="229">
        <v>7.2967084699876699</v>
      </c>
      <c r="R130" s="230">
        <v>4215.8014234395296</v>
      </c>
      <c r="S130" s="219">
        <v>0.01</v>
      </c>
      <c r="T130" s="219">
        <v>0.01</v>
      </c>
      <c r="U130" s="226">
        <v>0</v>
      </c>
      <c r="V130" s="227">
        <v>0</v>
      </c>
      <c r="W130" s="218"/>
      <c r="X130" s="226">
        <v>1278.6325650000001</v>
      </c>
      <c r="Y130" s="217">
        <v>399.89495963066099</v>
      </c>
      <c r="Z130" s="228">
        <v>573</v>
      </c>
      <c r="AA130" s="224">
        <v>0.69789696270621404</v>
      </c>
      <c r="AB130" s="225">
        <v>-722.04494986657505</v>
      </c>
      <c r="AC130" s="219"/>
      <c r="AD130" s="219"/>
      <c r="AE130" s="227">
        <v>554</v>
      </c>
      <c r="AF130" s="227">
        <v>920</v>
      </c>
      <c r="AG130" s="218"/>
      <c r="AH130" s="231">
        <v>112.9</v>
      </c>
      <c r="AI130" s="217">
        <v>35.309706774363001</v>
      </c>
      <c r="AJ130" s="232" t="s">
        <v>53</v>
      </c>
      <c r="AK130" s="224">
        <v>0.56047153610099898</v>
      </c>
      <c r="AL130" s="225">
        <v>-107.06977912145599</v>
      </c>
      <c r="AM130" s="219"/>
      <c r="AN130" s="219"/>
      <c r="AO130" s="227">
        <v>89</v>
      </c>
      <c r="AP130" s="227">
        <v>129</v>
      </c>
      <c r="AQ130" s="218"/>
      <c r="AR130" s="231">
        <v>26</v>
      </c>
      <c r="AS130" s="217">
        <v>8.1315533758497498</v>
      </c>
      <c r="AT130" s="232" t="s">
        <v>54</v>
      </c>
      <c r="AU130" s="224">
        <v>0.50822208599060903</v>
      </c>
      <c r="AV130" s="225">
        <v>-29.865340729258602</v>
      </c>
      <c r="AW130" s="219"/>
      <c r="AX130" s="219"/>
      <c r="AY130" s="227">
        <v>26</v>
      </c>
      <c r="AZ130" s="227">
        <v>36</v>
      </c>
      <c r="BA130" s="218"/>
      <c r="BB130" s="235">
        <v>119</v>
      </c>
      <c r="BC130" s="231">
        <v>37.217494297158503</v>
      </c>
      <c r="BD130" s="232" t="s">
        <v>55</v>
      </c>
      <c r="BE130" s="229">
        <v>1.1630466967862001</v>
      </c>
      <c r="BF130" s="230">
        <v>7.2693185414827504</v>
      </c>
      <c r="BG130" s="219">
        <v>0.02</v>
      </c>
      <c r="BH130" s="219">
        <v>1.6E-2</v>
      </c>
      <c r="BI130" s="227">
        <v>0</v>
      </c>
      <c r="BJ130" s="227">
        <v>4</v>
      </c>
      <c r="BK130" s="220"/>
      <c r="BL130" s="236">
        <v>0.8</v>
      </c>
      <c r="BM130" s="233">
        <v>0.81</v>
      </c>
      <c r="BN130" s="237">
        <v>3.7500000000000001E-4</v>
      </c>
      <c r="BO130" s="238">
        <v>0.95</v>
      </c>
      <c r="BP130" s="229">
        <v>1</v>
      </c>
      <c r="BQ130" s="237">
        <v>2.5000000000000001E-3</v>
      </c>
    </row>
    <row r="131" spans="1:69" s="207" customFormat="1" ht="22.35" customHeight="1" x14ac:dyDescent="0.2">
      <c r="A131" s="216" t="s">
        <v>175</v>
      </c>
      <c r="B131" s="216" t="s">
        <v>187</v>
      </c>
      <c r="C131" s="216" t="s">
        <v>191</v>
      </c>
      <c r="D131" s="217">
        <v>3.6646238142222201</v>
      </c>
      <c r="E131" s="218"/>
      <c r="F131" s="219">
        <v>4.8000000000000001E-2</v>
      </c>
      <c r="G131" s="219">
        <v>2.5999999999999999E-2</v>
      </c>
      <c r="H131" s="220"/>
      <c r="I131" s="221">
        <v>6</v>
      </c>
      <c r="J131" s="221">
        <v>5</v>
      </c>
      <c r="K131" s="218"/>
      <c r="L131" s="222">
        <v>722.55963999999994</v>
      </c>
      <c r="M131" s="222">
        <v>1303.83923</v>
      </c>
      <c r="N131" s="222">
        <v>2026.39887</v>
      </c>
      <c r="O131" s="217">
        <v>552.96231556855798</v>
      </c>
      <c r="P131" s="223">
        <v>212.5</v>
      </c>
      <c r="Q131" s="229">
        <v>2.6021756026755698</v>
      </c>
      <c r="R131" s="230">
        <v>1176.0229139097301</v>
      </c>
      <c r="S131" s="219">
        <v>0.01</v>
      </c>
      <c r="T131" s="219">
        <v>0.01</v>
      </c>
      <c r="U131" s="226">
        <v>0</v>
      </c>
      <c r="V131" s="227">
        <v>0</v>
      </c>
      <c r="W131" s="218"/>
      <c r="X131" s="226">
        <v>1963.9371000000001</v>
      </c>
      <c r="Y131" s="217">
        <v>535.91779117355998</v>
      </c>
      <c r="Z131" s="228">
        <v>573</v>
      </c>
      <c r="AA131" s="233">
        <v>0.93528410326973799</v>
      </c>
      <c r="AB131" s="234">
        <v>-329.07665453986999</v>
      </c>
      <c r="AC131" s="219">
        <v>3.0000000000000001E-3</v>
      </c>
      <c r="AD131" s="219"/>
      <c r="AE131" s="227">
        <v>136</v>
      </c>
      <c r="AF131" s="227">
        <v>556</v>
      </c>
      <c r="AG131" s="218"/>
      <c r="AH131" s="231">
        <v>242.1</v>
      </c>
      <c r="AI131" s="217">
        <v>66.0640797727783</v>
      </c>
      <c r="AJ131" s="232" t="s">
        <v>53</v>
      </c>
      <c r="AK131" s="233">
        <v>1.0486361868695</v>
      </c>
      <c r="AL131" s="234">
        <v>-10.0114599232319</v>
      </c>
      <c r="AM131" s="219">
        <v>1.4999999999999999E-2</v>
      </c>
      <c r="AN131" s="219">
        <v>5.0000000000000001E-3</v>
      </c>
      <c r="AO131" s="227">
        <v>0</v>
      </c>
      <c r="AP131" s="227">
        <v>35</v>
      </c>
      <c r="AQ131" s="218"/>
      <c r="AR131" s="231">
        <v>37.9</v>
      </c>
      <c r="AS131" s="217">
        <v>10.3421256645531</v>
      </c>
      <c r="AT131" s="232" t="s">
        <v>54</v>
      </c>
      <c r="AU131" s="224">
        <v>0.64638285403456597</v>
      </c>
      <c r="AV131" s="225">
        <v>-26.128307282090599</v>
      </c>
      <c r="AW131" s="219"/>
      <c r="AX131" s="219"/>
      <c r="AY131" s="227">
        <v>21</v>
      </c>
      <c r="AZ131" s="227">
        <v>33</v>
      </c>
      <c r="BA131" s="218"/>
      <c r="BB131" s="235">
        <v>130.6</v>
      </c>
      <c r="BC131" s="231">
        <v>35.638037250412403</v>
      </c>
      <c r="BD131" s="232" t="s">
        <v>55</v>
      </c>
      <c r="BE131" s="229">
        <v>1.11368866407539</v>
      </c>
      <c r="BF131" s="230">
        <v>2.5433854358187502</v>
      </c>
      <c r="BG131" s="219">
        <v>0.02</v>
      </c>
      <c r="BH131" s="219">
        <v>1.0999999999999999E-2</v>
      </c>
      <c r="BI131" s="227">
        <v>0</v>
      </c>
      <c r="BJ131" s="227">
        <v>11</v>
      </c>
      <c r="BK131" s="220"/>
      <c r="BL131" s="236">
        <v>0.8</v>
      </c>
      <c r="BM131" s="233">
        <v>0.84</v>
      </c>
      <c r="BN131" s="237">
        <v>1.5E-3</v>
      </c>
      <c r="BO131" s="238">
        <v>0.95</v>
      </c>
      <c r="BP131" s="229">
        <v>1</v>
      </c>
      <c r="BQ131" s="237">
        <v>2.5000000000000001E-3</v>
      </c>
    </row>
    <row r="132" spans="1:69" s="207" customFormat="1" ht="22.35" customHeight="1" x14ac:dyDescent="0.2">
      <c r="A132" s="216" t="s">
        <v>175</v>
      </c>
      <c r="B132" s="216" t="s">
        <v>187</v>
      </c>
      <c r="C132" s="216" t="s">
        <v>192</v>
      </c>
      <c r="D132" s="217">
        <v>2.8205915805555599</v>
      </c>
      <c r="E132" s="218"/>
      <c r="F132" s="219">
        <v>4.3999999999999997E-2</v>
      </c>
      <c r="G132" s="219">
        <v>0.04</v>
      </c>
      <c r="H132" s="220"/>
      <c r="I132" s="221">
        <v>4</v>
      </c>
      <c r="J132" s="221">
        <v>3</v>
      </c>
      <c r="K132" s="218"/>
      <c r="L132" s="222">
        <v>-947.50597000000005</v>
      </c>
      <c r="M132" s="222">
        <v>596.93637999999999</v>
      </c>
      <c r="N132" s="222">
        <v>-350.56959000000001</v>
      </c>
      <c r="O132" s="217">
        <v>-124.289383977722</v>
      </c>
      <c r="P132" s="223">
        <v>212.5</v>
      </c>
      <c r="Q132" s="224">
        <v>-0.58489121871869298</v>
      </c>
      <c r="R132" s="225">
        <v>-1005.08786626792</v>
      </c>
      <c r="S132" s="219"/>
      <c r="T132" s="219"/>
      <c r="U132" s="226">
        <v>950</v>
      </c>
      <c r="V132" s="227">
        <v>1070</v>
      </c>
      <c r="W132" s="218"/>
      <c r="X132" s="226">
        <v>1439.0324450000001</v>
      </c>
      <c r="Y132" s="217">
        <v>510.18816581610901</v>
      </c>
      <c r="Z132" s="228">
        <v>573</v>
      </c>
      <c r="AA132" s="239">
        <v>0.89038074313457205</v>
      </c>
      <c r="AB132" s="222">
        <v>-325.85683641890301</v>
      </c>
      <c r="AC132" s="219"/>
      <c r="AD132" s="219"/>
      <c r="AE132" s="227">
        <v>178</v>
      </c>
      <c r="AF132" s="227">
        <v>501</v>
      </c>
      <c r="AG132" s="218"/>
      <c r="AH132" s="231">
        <v>220.15</v>
      </c>
      <c r="AI132" s="217">
        <v>78.051002320810397</v>
      </c>
      <c r="AJ132" s="232" t="s">
        <v>53</v>
      </c>
      <c r="AK132" s="229">
        <v>1.23890479874302</v>
      </c>
      <c r="AL132" s="230">
        <v>26.104581624099701</v>
      </c>
      <c r="AM132" s="219">
        <v>0.02</v>
      </c>
      <c r="AN132" s="219">
        <v>0.02</v>
      </c>
      <c r="AO132" s="227">
        <v>0</v>
      </c>
      <c r="AP132" s="227">
        <v>0</v>
      </c>
      <c r="AQ132" s="218"/>
      <c r="AR132" s="231">
        <v>44.2</v>
      </c>
      <c r="AS132" s="217">
        <v>15.6704715084252</v>
      </c>
      <c r="AT132" s="232" t="s">
        <v>54</v>
      </c>
      <c r="AU132" s="233">
        <v>0.97940446927657798</v>
      </c>
      <c r="AV132" s="234">
        <v>-5.08137609546674</v>
      </c>
      <c r="AW132" s="219">
        <v>4.0000000000000001E-3</v>
      </c>
      <c r="AX132" s="219"/>
      <c r="AY132" s="227">
        <v>1</v>
      </c>
      <c r="AZ132" s="227">
        <v>10</v>
      </c>
      <c r="BA132" s="218"/>
      <c r="BB132" s="235">
        <v>130</v>
      </c>
      <c r="BC132" s="231">
        <v>46.0896220836037</v>
      </c>
      <c r="BD132" s="232" t="s">
        <v>55</v>
      </c>
      <c r="BE132" s="229">
        <v>1.4403006901126201</v>
      </c>
      <c r="BF132" s="230">
        <v>31.437247809066498</v>
      </c>
      <c r="BG132" s="219">
        <v>0.02</v>
      </c>
      <c r="BH132" s="219">
        <v>0.02</v>
      </c>
      <c r="BI132" s="227">
        <v>0</v>
      </c>
      <c r="BJ132" s="227">
        <v>0</v>
      </c>
      <c r="BK132" s="220"/>
      <c r="BL132" s="236">
        <v>0.8</v>
      </c>
      <c r="BM132" s="239">
        <v>0.79</v>
      </c>
      <c r="BN132" s="237"/>
      <c r="BO132" s="238">
        <v>0.95</v>
      </c>
      <c r="BP132" s="229">
        <v>1</v>
      </c>
      <c r="BQ132" s="237">
        <v>2.5000000000000001E-3</v>
      </c>
    </row>
    <row r="133" spans="1:69" s="207" customFormat="1" ht="22.35" customHeight="1" x14ac:dyDescent="0.2">
      <c r="A133" s="216" t="s">
        <v>175</v>
      </c>
      <c r="B133" s="216" t="s">
        <v>187</v>
      </c>
      <c r="C133" s="216" t="s">
        <v>193</v>
      </c>
      <c r="D133" s="217">
        <v>1.9545245414444401</v>
      </c>
      <c r="E133" s="218"/>
      <c r="F133" s="219">
        <v>7.0000000000000007E-2</v>
      </c>
      <c r="G133" s="219">
        <v>5.8999999999999997E-2</v>
      </c>
      <c r="H133" s="220"/>
      <c r="I133" s="221">
        <v>6</v>
      </c>
      <c r="J133" s="221">
        <v>6</v>
      </c>
      <c r="K133" s="218"/>
      <c r="L133" s="222">
        <v>688.44727999999998</v>
      </c>
      <c r="M133" s="222">
        <v>686.94325000000003</v>
      </c>
      <c r="N133" s="222">
        <v>1375.3905299999999</v>
      </c>
      <c r="O133" s="217">
        <v>703.69570749086199</v>
      </c>
      <c r="P133" s="223">
        <v>212.5</v>
      </c>
      <c r="Q133" s="229">
        <v>3.3115092117217002</v>
      </c>
      <c r="R133" s="230">
        <v>921.84311015781805</v>
      </c>
      <c r="S133" s="219">
        <v>0.01</v>
      </c>
      <c r="T133" s="219">
        <v>0.01</v>
      </c>
      <c r="U133" s="226">
        <v>0</v>
      </c>
      <c r="V133" s="227">
        <v>0</v>
      </c>
      <c r="W133" s="218"/>
      <c r="X133" s="226">
        <v>1786.96288</v>
      </c>
      <c r="Y133" s="217">
        <v>914.26986057662305</v>
      </c>
      <c r="Z133" s="228">
        <v>573</v>
      </c>
      <c r="AA133" s="229">
        <v>1.5955843989120799</v>
      </c>
      <c r="AB133" s="230">
        <v>563.98560202555097</v>
      </c>
      <c r="AC133" s="219">
        <v>0.02</v>
      </c>
      <c r="AD133" s="219">
        <v>0.02</v>
      </c>
      <c r="AE133" s="227">
        <v>0</v>
      </c>
      <c r="AF133" s="227">
        <v>0</v>
      </c>
      <c r="AG133" s="218"/>
      <c r="AH133" s="231">
        <v>134.30000000000001</v>
      </c>
      <c r="AI133" s="217">
        <v>68.712363110441601</v>
      </c>
      <c r="AJ133" s="232" t="s">
        <v>53</v>
      </c>
      <c r="AK133" s="229">
        <v>1.0906724303244699</v>
      </c>
      <c r="AL133" s="230">
        <v>-0.16347035321169301</v>
      </c>
      <c r="AM133" s="219">
        <v>0.02</v>
      </c>
      <c r="AN133" s="219">
        <v>8.9999999999999993E-3</v>
      </c>
      <c r="AO133" s="227">
        <v>0</v>
      </c>
      <c r="AP133" s="227">
        <v>14</v>
      </c>
      <c r="AQ133" s="218"/>
      <c r="AR133" s="231">
        <v>23.7</v>
      </c>
      <c r="AS133" s="217">
        <v>12.125711137136699</v>
      </c>
      <c r="AT133" s="232" t="s">
        <v>54</v>
      </c>
      <c r="AU133" s="239">
        <v>0.75785694607104703</v>
      </c>
      <c r="AV133" s="222">
        <v>-10.4494527881173</v>
      </c>
      <c r="AW133" s="219"/>
      <c r="AX133" s="219"/>
      <c r="AY133" s="227">
        <v>8</v>
      </c>
      <c r="AZ133" s="227">
        <v>14</v>
      </c>
      <c r="BA133" s="218"/>
      <c r="BB133" s="235">
        <v>95.6</v>
      </c>
      <c r="BC133" s="231">
        <v>48.912151253597997</v>
      </c>
      <c r="BD133" s="232" t="s">
        <v>55</v>
      </c>
      <c r="BE133" s="229">
        <v>1.5285047266749401</v>
      </c>
      <c r="BF133" s="230">
        <v>27.301094423765502</v>
      </c>
      <c r="BG133" s="219">
        <v>0.02</v>
      </c>
      <c r="BH133" s="219">
        <v>0.02</v>
      </c>
      <c r="BI133" s="227">
        <v>0</v>
      </c>
      <c r="BJ133" s="227">
        <v>0</v>
      </c>
      <c r="BK133" s="220"/>
      <c r="BL133" s="236">
        <v>0.8</v>
      </c>
      <c r="BM133" s="233">
        <v>0.89</v>
      </c>
      <c r="BN133" s="237">
        <v>3.375E-3</v>
      </c>
      <c r="BO133" s="238">
        <v>0.95</v>
      </c>
      <c r="BP133" s="229">
        <v>1</v>
      </c>
      <c r="BQ133" s="237">
        <v>2.5000000000000001E-3</v>
      </c>
    </row>
    <row r="134" spans="1:69" s="207" customFormat="1" ht="22.35" customHeight="1" x14ac:dyDescent="0.2">
      <c r="A134" s="216" t="s">
        <v>175</v>
      </c>
      <c r="B134" s="216" t="s">
        <v>187</v>
      </c>
      <c r="C134" s="216" t="s">
        <v>194</v>
      </c>
      <c r="D134" s="217">
        <v>5.99043692788889</v>
      </c>
      <c r="E134" s="218"/>
      <c r="F134" s="219">
        <v>3.7999999999999999E-2</v>
      </c>
      <c r="G134" s="219">
        <v>2.1999999999999999E-2</v>
      </c>
      <c r="H134" s="220"/>
      <c r="I134" s="221">
        <v>5</v>
      </c>
      <c r="J134" s="221">
        <v>4</v>
      </c>
      <c r="K134" s="218"/>
      <c r="L134" s="222">
        <v>3037.2775000000001</v>
      </c>
      <c r="M134" s="222">
        <v>-447.68745000000001</v>
      </c>
      <c r="N134" s="222">
        <v>2589.5900499999998</v>
      </c>
      <c r="O134" s="217">
        <v>432.287340835522</v>
      </c>
      <c r="P134" s="223">
        <v>212.5</v>
      </c>
      <c r="Q134" s="229">
        <v>2.03429336863775</v>
      </c>
      <c r="R134" s="230">
        <v>1199.50916088338</v>
      </c>
      <c r="S134" s="219">
        <v>0.01</v>
      </c>
      <c r="T134" s="219">
        <v>0.01</v>
      </c>
      <c r="U134" s="226">
        <v>0</v>
      </c>
      <c r="V134" s="227">
        <v>0</v>
      </c>
      <c r="W134" s="218"/>
      <c r="X134" s="226">
        <v>2431.5339399999998</v>
      </c>
      <c r="Y134" s="217">
        <v>405.90260264319397</v>
      </c>
      <c r="Z134" s="228">
        <v>573</v>
      </c>
      <c r="AA134" s="224">
        <v>0.70838150548550405</v>
      </c>
      <c r="AB134" s="225">
        <v>-1316.77829277092</v>
      </c>
      <c r="AC134" s="219"/>
      <c r="AD134" s="219"/>
      <c r="AE134" s="227">
        <v>1001</v>
      </c>
      <c r="AF134" s="227">
        <v>1688</v>
      </c>
      <c r="AG134" s="218"/>
      <c r="AH134" s="231">
        <v>372.4</v>
      </c>
      <c r="AI134" s="217">
        <v>62.165749257164599</v>
      </c>
      <c r="AJ134" s="232" t="s">
        <v>53</v>
      </c>
      <c r="AK134" s="233">
        <v>0.98675792471689805</v>
      </c>
      <c r="AL134" s="234">
        <v>-39.7180988910441</v>
      </c>
      <c r="AM134" s="219">
        <v>8.0000000000000002E-3</v>
      </c>
      <c r="AN134" s="219"/>
      <c r="AO134" s="227">
        <v>5</v>
      </c>
      <c r="AP134" s="227">
        <v>81</v>
      </c>
      <c r="AQ134" s="218"/>
      <c r="AR134" s="231">
        <v>61.9</v>
      </c>
      <c r="AS134" s="217">
        <v>10.333136087589899</v>
      </c>
      <c r="AT134" s="232" t="s">
        <v>54</v>
      </c>
      <c r="AU134" s="224">
        <v>0.64582100547437005</v>
      </c>
      <c r="AV134" s="225">
        <v>-42.764914004074697</v>
      </c>
      <c r="AW134" s="219"/>
      <c r="AX134" s="219"/>
      <c r="AY134" s="227">
        <v>34</v>
      </c>
      <c r="AZ134" s="227">
        <v>54</v>
      </c>
      <c r="BA134" s="218"/>
      <c r="BB134" s="235">
        <v>215.2</v>
      </c>
      <c r="BC134" s="231">
        <v>35.923923845708401</v>
      </c>
      <c r="BD134" s="232" t="s">
        <v>55</v>
      </c>
      <c r="BE134" s="229">
        <v>1.12262262017839</v>
      </c>
      <c r="BF134" s="230">
        <v>5.8701719918506399</v>
      </c>
      <c r="BG134" s="219">
        <v>0.02</v>
      </c>
      <c r="BH134" s="219">
        <v>1.2E-2</v>
      </c>
      <c r="BI134" s="227">
        <v>0</v>
      </c>
      <c r="BJ134" s="227">
        <v>15</v>
      </c>
      <c r="BK134" s="220"/>
      <c r="BL134" s="236">
        <v>0.8</v>
      </c>
      <c r="BM134" s="233">
        <v>0.84</v>
      </c>
      <c r="BN134" s="237">
        <v>1.5E-3</v>
      </c>
      <c r="BO134" s="238">
        <v>0.95</v>
      </c>
      <c r="BP134" s="229">
        <v>1</v>
      </c>
      <c r="BQ134" s="237">
        <v>2.5000000000000001E-3</v>
      </c>
    </row>
    <row r="135" spans="1:69" s="207" customFormat="1" ht="22.35" customHeight="1" x14ac:dyDescent="0.2">
      <c r="A135" s="216" t="s">
        <v>175</v>
      </c>
      <c r="B135" s="216" t="s">
        <v>187</v>
      </c>
      <c r="C135" s="216" t="s">
        <v>195</v>
      </c>
      <c r="D135" s="217">
        <v>3.8731675344444398</v>
      </c>
      <c r="E135" s="218"/>
      <c r="F135" s="219">
        <v>7.0499999999999993E-2</v>
      </c>
      <c r="G135" s="219">
        <v>5.7000000000000002E-2</v>
      </c>
      <c r="H135" s="220"/>
      <c r="I135" s="221">
        <v>7</v>
      </c>
      <c r="J135" s="221">
        <v>6</v>
      </c>
      <c r="K135" s="218"/>
      <c r="L135" s="222">
        <v>1181.1936700000001</v>
      </c>
      <c r="M135" s="222">
        <v>-123.21432</v>
      </c>
      <c r="N135" s="222">
        <v>1057.9793500000001</v>
      </c>
      <c r="O135" s="217">
        <v>273.15610300646398</v>
      </c>
      <c r="P135" s="223">
        <v>212.5</v>
      </c>
      <c r="Q135" s="229">
        <v>1.2854404847362999</v>
      </c>
      <c r="R135" s="230">
        <v>159.210823632168</v>
      </c>
      <c r="S135" s="219">
        <v>0.01</v>
      </c>
      <c r="T135" s="219">
        <v>0.01</v>
      </c>
      <c r="U135" s="226">
        <v>0</v>
      </c>
      <c r="V135" s="227">
        <v>0</v>
      </c>
      <c r="W135" s="218"/>
      <c r="X135" s="226">
        <v>2605.9686649999999</v>
      </c>
      <c r="Y135" s="217">
        <v>672.82621828900403</v>
      </c>
      <c r="Z135" s="228">
        <v>573</v>
      </c>
      <c r="AA135" s="229">
        <v>1.1742167858446799</v>
      </c>
      <c r="AB135" s="230">
        <v>182.46576801756299</v>
      </c>
      <c r="AC135" s="219">
        <v>0.02</v>
      </c>
      <c r="AD135" s="219">
        <v>1.7000000000000001E-2</v>
      </c>
      <c r="AE135" s="227">
        <v>0</v>
      </c>
      <c r="AF135" s="227">
        <v>58</v>
      </c>
      <c r="AG135" s="218"/>
      <c r="AH135" s="231">
        <v>268.2</v>
      </c>
      <c r="AI135" s="217">
        <v>69.245649101122595</v>
      </c>
      <c r="AJ135" s="232" t="s">
        <v>53</v>
      </c>
      <c r="AK135" s="229">
        <v>1.0991372873194101</v>
      </c>
      <c r="AL135" s="230">
        <v>1.7415663003602599</v>
      </c>
      <c r="AM135" s="219">
        <v>0.02</v>
      </c>
      <c r="AN135" s="219">
        <v>0.01</v>
      </c>
      <c r="AO135" s="227">
        <v>0</v>
      </c>
      <c r="AP135" s="227">
        <v>25</v>
      </c>
      <c r="AQ135" s="218"/>
      <c r="AR135" s="231">
        <v>56.8</v>
      </c>
      <c r="AS135" s="217">
        <v>14.6649995113488</v>
      </c>
      <c r="AT135" s="232" t="s">
        <v>54</v>
      </c>
      <c r="AU135" s="233">
        <v>0.91656246945930298</v>
      </c>
      <c r="AV135" s="234">
        <v>-10.871983161813301</v>
      </c>
      <c r="AW135" s="219">
        <v>5.0000000000000001E-4</v>
      </c>
      <c r="AX135" s="219"/>
      <c r="AY135" s="227">
        <v>6</v>
      </c>
      <c r="AZ135" s="227">
        <v>18</v>
      </c>
      <c r="BA135" s="218"/>
      <c r="BB135" s="235">
        <v>212.8</v>
      </c>
      <c r="BC135" s="231">
        <v>54.942110845335101</v>
      </c>
      <c r="BD135" s="232" t="s">
        <v>55</v>
      </c>
      <c r="BE135" s="229">
        <v>1.7169409639167199</v>
      </c>
      <c r="BF135" s="230">
        <v>77.456033676373494</v>
      </c>
      <c r="BG135" s="219">
        <v>0.02</v>
      </c>
      <c r="BH135" s="219">
        <v>0.02</v>
      </c>
      <c r="BI135" s="227">
        <v>0</v>
      </c>
      <c r="BJ135" s="227">
        <v>0</v>
      </c>
      <c r="BK135" s="220"/>
      <c r="BL135" s="236">
        <v>0.8</v>
      </c>
      <c r="BM135" s="233">
        <v>0.87</v>
      </c>
      <c r="BN135" s="237">
        <v>2.6250000000000002E-3</v>
      </c>
      <c r="BO135" s="238">
        <v>0.95</v>
      </c>
      <c r="BP135" s="229">
        <v>1</v>
      </c>
      <c r="BQ135" s="237">
        <v>2.5000000000000001E-3</v>
      </c>
    </row>
    <row r="136" spans="1:69" s="207" customFormat="1" ht="22.35" customHeight="1" x14ac:dyDescent="0.2">
      <c r="A136" s="216" t="s">
        <v>175</v>
      </c>
      <c r="B136" s="216" t="s">
        <v>187</v>
      </c>
      <c r="C136" s="216" t="s">
        <v>196</v>
      </c>
      <c r="D136" s="217">
        <v>2.7806430641111102</v>
      </c>
      <c r="E136" s="218"/>
      <c r="F136" s="219">
        <v>4.2500000000000003E-2</v>
      </c>
      <c r="G136" s="219">
        <v>2.5999999999999999E-2</v>
      </c>
      <c r="H136" s="220"/>
      <c r="I136" s="221">
        <v>5</v>
      </c>
      <c r="J136" s="221">
        <v>5</v>
      </c>
      <c r="K136" s="218"/>
      <c r="L136" s="222">
        <v>1364.9541999999999</v>
      </c>
      <c r="M136" s="222">
        <v>-737.30642</v>
      </c>
      <c r="N136" s="222">
        <v>627.64778000000001</v>
      </c>
      <c r="O136" s="217">
        <v>225.720369543597</v>
      </c>
      <c r="P136" s="223">
        <v>212.5</v>
      </c>
      <c r="Q136" s="233">
        <v>1.0622135037345699</v>
      </c>
      <c r="R136" s="234">
        <v>-17.6004430269832</v>
      </c>
      <c r="S136" s="219">
        <v>8.5000000000000006E-3</v>
      </c>
      <c r="T136" s="219">
        <v>3.0000000000000001E-3</v>
      </c>
      <c r="U136" s="226">
        <v>0</v>
      </c>
      <c r="V136" s="227">
        <v>82</v>
      </c>
      <c r="W136" s="218"/>
      <c r="X136" s="226">
        <v>1659.5316399999999</v>
      </c>
      <c r="Y136" s="217">
        <v>596.81577309186298</v>
      </c>
      <c r="Z136" s="228">
        <v>573</v>
      </c>
      <c r="AA136" s="233">
        <v>1.0415633038252401</v>
      </c>
      <c r="AB136" s="234">
        <v>-80.361215503347495</v>
      </c>
      <c r="AC136" s="219">
        <v>1.4E-2</v>
      </c>
      <c r="AD136" s="219">
        <v>4.0000000000000001E-3</v>
      </c>
      <c r="AE136" s="227">
        <v>0</v>
      </c>
      <c r="AF136" s="227">
        <v>253</v>
      </c>
      <c r="AG136" s="218"/>
      <c r="AH136" s="231">
        <v>147.85</v>
      </c>
      <c r="AI136" s="217">
        <v>53.171153791097296</v>
      </c>
      <c r="AJ136" s="232" t="s">
        <v>53</v>
      </c>
      <c r="AK136" s="239">
        <v>0.84398656811265604</v>
      </c>
      <c r="AL136" s="222">
        <v>-43.447120238587999</v>
      </c>
      <c r="AM136" s="219"/>
      <c r="AN136" s="219"/>
      <c r="AO136" s="227">
        <v>28</v>
      </c>
      <c r="AP136" s="227">
        <v>63</v>
      </c>
      <c r="AQ136" s="218"/>
      <c r="AR136" s="231">
        <v>12</v>
      </c>
      <c r="AS136" s="217">
        <v>4.3155484984319799</v>
      </c>
      <c r="AT136" s="232" t="s">
        <v>54</v>
      </c>
      <c r="AU136" s="224">
        <v>0.26972178115199902</v>
      </c>
      <c r="AV136" s="225">
        <v>-36.583395616149303</v>
      </c>
      <c r="AW136" s="219"/>
      <c r="AX136" s="219"/>
      <c r="AY136" s="227">
        <v>33</v>
      </c>
      <c r="AZ136" s="227">
        <v>42</v>
      </c>
      <c r="BA136" s="218"/>
      <c r="BB136" s="235">
        <v>105.6</v>
      </c>
      <c r="BC136" s="231">
        <v>37.9768267862014</v>
      </c>
      <c r="BD136" s="232" t="s">
        <v>55</v>
      </c>
      <c r="BE136" s="229">
        <v>1.18677583706879</v>
      </c>
      <c r="BF136" s="230">
        <v>8.4332087677013696</v>
      </c>
      <c r="BG136" s="219">
        <v>0.02</v>
      </c>
      <c r="BH136" s="219">
        <v>1.9E-2</v>
      </c>
      <c r="BI136" s="227">
        <v>0</v>
      </c>
      <c r="BJ136" s="227">
        <v>2</v>
      </c>
      <c r="BK136" s="220"/>
      <c r="BL136" s="236">
        <v>0.8</v>
      </c>
      <c r="BM136" s="233">
        <v>0.81</v>
      </c>
      <c r="BN136" s="237">
        <v>3.7500000000000001E-4</v>
      </c>
      <c r="BO136" s="238">
        <v>0.95</v>
      </c>
      <c r="BP136" s="229">
        <v>1</v>
      </c>
      <c r="BQ136" s="237">
        <v>2.5000000000000001E-3</v>
      </c>
    </row>
    <row r="137" spans="1:69" s="207" customFormat="1" ht="22.35" customHeight="1" x14ac:dyDescent="0.2">
      <c r="A137" s="216" t="s">
        <v>175</v>
      </c>
      <c r="B137" s="216" t="s">
        <v>187</v>
      </c>
      <c r="C137" s="216" t="s">
        <v>197</v>
      </c>
      <c r="D137" s="217">
        <v>8.6991771745555599</v>
      </c>
      <c r="E137" s="218"/>
      <c r="F137" s="219">
        <v>2.5999999999999999E-2</v>
      </c>
      <c r="G137" s="219">
        <v>1.6E-2</v>
      </c>
      <c r="H137" s="220"/>
      <c r="I137" s="221">
        <v>4</v>
      </c>
      <c r="J137" s="221">
        <v>4</v>
      </c>
      <c r="K137" s="218"/>
      <c r="L137" s="222">
        <v>6075.4373299999997</v>
      </c>
      <c r="M137" s="222">
        <v>3320.855</v>
      </c>
      <c r="N137" s="222">
        <v>9396.2923300000002</v>
      </c>
      <c r="O137" s="217">
        <v>1080.13575783736</v>
      </c>
      <c r="P137" s="223">
        <v>226.98400000000001</v>
      </c>
      <c r="Q137" s="229">
        <v>4.7586427141884897</v>
      </c>
      <c r="R137" s="230">
        <v>7240.0574872860598</v>
      </c>
      <c r="S137" s="219">
        <v>0.01</v>
      </c>
      <c r="T137" s="219">
        <v>0.01</v>
      </c>
      <c r="U137" s="226">
        <v>0</v>
      </c>
      <c r="V137" s="227">
        <v>0</v>
      </c>
      <c r="W137" s="218"/>
      <c r="X137" s="226">
        <v>4431.7639150000005</v>
      </c>
      <c r="Y137" s="217">
        <v>509.44633337996402</v>
      </c>
      <c r="Z137" s="228">
        <v>573</v>
      </c>
      <c r="AA137" s="239">
        <v>0.88908609664915095</v>
      </c>
      <c r="AB137" s="222">
        <v>-1011.45042995421</v>
      </c>
      <c r="AC137" s="219"/>
      <c r="AD137" s="219"/>
      <c r="AE137" s="227">
        <v>553</v>
      </c>
      <c r="AF137" s="227">
        <v>1550</v>
      </c>
      <c r="AG137" s="218"/>
      <c r="AH137" s="231">
        <v>390.5</v>
      </c>
      <c r="AI137" s="217">
        <v>44.889302995481401</v>
      </c>
      <c r="AJ137" s="232" t="s">
        <v>53</v>
      </c>
      <c r="AK137" s="224">
        <v>0.71252861897589503</v>
      </c>
      <c r="AL137" s="225">
        <v>-207.96859290072399</v>
      </c>
      <c r="AM137" s="219"/>
      <c r="AN137" s="219"/>
      <c r="AO137" s="227">
        <v>158</v>
      </c>
      <c r="AP137" s="227">
        <v>268</v>
      </c>
      <c r="AQ137" s="218"/>
      <c r="AR137" s="231">
        <v>75.400000000000006</v>
      </c>
      <c r="AS137" s="217">
        <v>8.6674864170532597</v>
      </c>
      <c r="AT137" s="232" t="s">
        <v>54</v>
      </c>
      <c r="AU137" s="224">
        <v>0.54171790106582896</v>
      </c>
      <c r="AV137" s="225">
        <v>-76.592023593834696</v>
      </c>
      <c r="AW137" s="219"/>
      <c r="AX137" s="219"/>
      <c r="AY137" s="227">
        <v>64</v>
      </c>
      <c r="AZ137" s="227">
        <v>92</v>
      </c>
      <c r="BA137" s="218"/>
      <c r="BB137" s="235">
        <v>293.8</v>
      </c>
      <c r="BC137" s="231">
        <v>33.773309142311</v>
      </c>
      <c r="BD137" s="232" t="s">
        <v>55</v>
      </c>
      <c r="BE137" s="233">
        <v>1.0554159106972201</v>
      </c>
      <c r="BF137" s="234">
        <v>-10.184047187669499</v>
      </c>
      <c r="BG137" s="219">
        <v>1.6E-2</v>
      </c>
      <c r="BH137" s="219">
        <v>6.0000000000000001E-3</v>
      </c>
      <c r="BI137" s="227">
        <v>0</v>
      </c>
      <c r="BJ137" s="227">
        <v>41</v>
      </c>
      <c r="BK137" s="220"/>
      <c r="BL137" s="236">
        <v>0.8</v>
      </c>
      <c r="BM137" s="233">
        <v>0.84</v>
      </c>
      <c r="BN137" s="237">
        <v>1.5E-3</v>
      </c>
      <c r="BO137" s="238">
        <v>0.95</v>
      </c>
      <c r="BP137" s="229">
        <v>1</v>
      </c>
      <c r="BQ137" s="237">
        <v>2.5000000000000001E-3</v>
      </c>
    </row>
    <row r="138" spans="1:69" s="207" customFormat="1" ht="22.35" customHeight="1" x14ac:dyDescent="0.2">
      <c r="A138" s="216" t="s">
        <v>175</v>
      </c>
      <c r="B138" s="216" t="s">
        <v>187</v>
      </c>
      <c r="C138" s="216" t="s">
        <v>198</v>
      </c>
      <c r="D138" s="217">
        <v>2.92608844211111</v>
      </c>
      <c r="E138" s="218"/>
      <c r="F138" s="219">
        <v>0.08</v>
      </c>
      <c r="G138" s="219">
        <v>7.5499999999999998E-2</v>
      </c>
      <c r="H138" s="220"/>
      <c r="I138" s="221">
        <v>6</v>
      </c>
      <c r="J138" s="221">
        <v>6</v>
      </c>
      <c r="K138" s="218"/>
      <c r="L138" s="222">
        <v>4911.6354600000004</v>
      </c>
      <c r="M138" s="222">
        <v>695.45372999999995</v>
      </c>
      <c r="N138" s="222">
        <v>5607.0891899999997</v>
      </c>
      <c r="O138" s="217">
        <v>1916.24050363789</v>
      </c>
      <c r="P138" s="223">
        <v>212.5</v>
      </c>
      <c r="Q138" s="229">
        <v>9.0176023700606596</v>
      </c>
      <c r="R138" s="230">
        <v>4928.0903670081198</v>
      </c>
      <c r="S138" s="219">
        <v>0.01</v>
      </c>
      <c r="T138" s="219">
        <v>0.01</v>
      </c>
      <c r="U138" s="226">
        <v>0</v>
      </c>
      <c r="V138" s="227">
        <v>0</v>
      </c>
      <c r="W138" s="218"/>
      <c r="X138" s="226">
        <v>1966.0537899999999</v>
      </c>
      <c r="Y138" s="217">
        <v>671.90511459097695</v>
      </c>
      <c r="Z138" s="228">
        <v>573</v>
      </c>
      <c r="AA138" s="229">
        <v>1.17260927502788</v>
      </c>
      <c r="AB138" s="230">
        <v>135.15343435600499</v>
      </c>
      <c r="AC138" s="219">
        <v>0.02</v>
      </c>
      <c r="AD138" s="219">
        <v>1.7000000000000001E-2</v>
      </c>
      <c r="AE138" s="227">
        <v>0</v>
      </c>
      <c r="AF138" s="227">
        <v>46</v>
      </c>
      <c r="AG138" s="218"/>
      <c r="AH138" s="231">
        <v>255.8</v>
      </c>
      <c r="AI138" s="217">
        <v>87.420460816777506</v>
      </c>
      <c r="AJ138" s="232" t="s">
        <v>53</v>
      </c>
      <c r="AK138" s="229">
        <v>1.38762636217107</v>
      </c>
      <c r="AL138" s="230">
        <v>54.4968195365241</v>
      </c>
      <c r="AM138" s="219">
        <v>0.02</v>
      </c>
      <c r="AN138" s="219">
        <v>0.02</v>
      </c>
      <c r="AO138" s="227">
        <v>0</v>
      </c>
      <c r="AP138" s="227">
        <v>0</v>
      </c>
      <c r="AQ138" s="218"/>
      <c r="AR138" s="231">
        <v>54.9</v>
      </c>
      <c r="AS138" s="217">
        <v>18.7622490181434</v>
      </c>
      <c r="AT138" s="232" t="s">
        <v>54</v>
      </c>
      <c r="AU138" s="229">
        <v>1.1726405636339601</v>
      </c>
      <c r="AV138" s="230">
        <v>3.7753827394346802</v>
      </c>
      <c r="AW138" s="219">
        <v>0.01</v>
      </c>
      <c r="AX138" s="219">
        <v>8.5000000000000006E-3</v>
      </c>
      <c r="AY138" s="227">
        <v>0</v>
      </c>
      <c r="AZ138" s="227">
        <v>2</v>
      </c>
      <c r="BA138" s="218"/>
      <c r="BB138" s="235">
        <v>147.80000000000001</v>
      </c>
      <c r="BC138" s="231">
        <v>50.511118486003603</v>
      </c>
      <c r="BD138" s="232" t="s">
        <v>55</v>
      </c>
      <c r="BE138" s="229">
        <v>1.5784724526876099</v>
      </c>
      <c r="BF138" s="230">
        <v>45.550765478869401</v>
      </c>
      <c r="BG138" s="219">
        <v>0.02</v>
      </c>
      <c r="BH138" s="219">
        <v>0.02</v>
      </c>
      <c r="BI138" s="227">
        <v>0</v>
      </c>
      <c r="BJ138" s="227">
        <v>0</v>
      </c>
      <c r="BK138" s="220"/>
      <c r="BL138" s="236">
        <v>0.8</v>
      </c>
      <c r="BM138" s="239">
        <v>0.79</v>
      </c>
      <c r="BN138" s="237"/>
      <c r="BO138" s="238">
        <v>0.95</v>
      </c>
      <c r="BP138" s="229">
        <v>1</v>
      </c>
      <c r="BQ138" s="237">
        <v>2.5000000000000001E-3</v>
      </c>
    </row>
    <row r="139" spans="1:69" s="207" customFormat="1" ht="22.35" customHeight="1" x14ac:dyDescent="0.2">
      <c r="A139" s="216" t="s">
        <v>175</v>
      </c>
      <c r="B139" s="216" t="s">
        <v>187</v>
      </c>
      <c r="C139" s="216" t="s">
        <v>199</v>
      </c>
      <c r="D139" s="217">
        <v>2.8460876042222201</v>
      </c>
      <c r="E139" s="218"/>
      <c r="F139" s="219">
        <v>7.5999999999999998E-2</v>
      </c>
      <c r="G139" s="219">
        <v>7.0999999999999994E-2</v>
      </c>
      <c r="H139" s="220"/>
      <c r="I139" s="221">
        <v>6</v>
      </c>
      <c r="J139" s="221">
        <v>6</v>
      </c>
      <c r="K139" s="218"/>
      <c r="L139" s="222">
        <v>1525.6712399999999</v>
      </c>
      <c r="M139" s="222">
        <v>147.86439999999999</v>
      </c>
      <c r="N139" s="222">
        <v>1673.5356400000001</v>
      </c>
      <c r="O139" s="217">
        <v>588.01269416910395</v>
      </c>
      <c r="P139" s="223">
        <v>212.5</v>
      </c>
      <c r="Q139" s="229">
        <v>2.76711856079578</v>
      </c>
      <c r="R139" s="230">
        <v>1013.10101144023</v>
      </c>
      <c r="S139" s="219">
        <v>0.01</v>
      </c>
      <c r="T139" s="219">
        <v>0.01</v>
      </c>
      <c r="U139" s="226">
        <v>0</v>
      </c>
      <c r="V139" s="227">
        <v>0</v>
      </c>
      <c r="W139" s="218"/>
      <c r="X139" s="226">
        <v>2466.9282699999999</v>
      </c>
      <c r="Y139" s="217">
        <v>866.77875492668204</v>
      </c>
      <c r="Z139" s="228">
        <v>573</v>
      </c>
      <c r="AA139" s="229">
        <v>1.5127028881792</v>
      </c>
      <c r="AB139" s="230">
        <v>686.08571863648899</v>
      </c>
      <c r="AC139" s="219">
        <v>0.02</v>
      </c>
      <c r="AD139" s="219">
        <v>0.02</v>
      </c>
      <c r="AE139" s="227">
        <v>0</v>
      </c>
      <c r="AF139" s="227">
        <v>0</v>
      </c>
      <c r="AG139" s="218"/>
      <c r="AH139" s="231">
        <v>277.2</v>
      </c>
      <c r="AI139" s="217">
        <v>97.396861427866398</v>
      </c>
      <c r="AJ139" s="232" t="s">
        <v>53</v>
      </c>
      <c r="AK139" s="229">
        <v>1.5459819274264499</v>
      </c>
      <c r="AL139" s="230">
        <v>81.4005571799281</v>
      </c>
      <c r="AM139" s="219">
        <v>0.02</v>
      </c>
      <c r="AN139" s="219">
        <v>0.02</v>
      </c>
      <c r="AO139" s="227">
        <v>0</v>
      </c>
      <c r="AP139" s="227">
        <v>0</v>
      </c>
      <c r="AQ139" s="218"/>
      <c r="AR139" s="231">
        <v>46.6</v>
      </c>
      <c r="AS139" s="217">
        <v>16.373354049562</v>
      </c>
      <c r="AT139" s="232" t="s">
        <v>54</v>
      </c>
      <c r="AU139" s="233">
        <v>1.0233346280976201</v>
      </c>
      <c r="AV139" s="234">
        <v>-3.1268426209706202</v>
      </c>
      <c r="AW139" s="219">
        <v>6.0000000000000001E-3</v>
      </c>
      <c r="AX139" s="219">
        <v>1E-3</v>
      </c>
      <c r="AY139" s="227">
        <v>0</v>
      </c>
      <c r="AZ139" s="227">
        <v>9</v>
      </c>
      <c r="BA139" s="218"/>
      <c r="BB139" s="235">
        <v>161.4</v>
      </c>
      <c r="BC139" s="231">
        <v>56.709427974233897</v>
      </c>
      <c r="BD139" s="232" t="s">
        <v>55</v>
      </c>
      <c r="BE139" s="229">
        <v>1.7721696241948099</v>
      </c>
      <c r="BF139" s="230">
        <v>61.946314758058797</v>
      </c>
      <c r="BG139" s="219">
        <v>0.02</v>
      </c>
      <c r="BH139" s="219">
        <v>0.02</v>
      </c>
      <c r="BI139" s="227">
        <v>0</v>
      </c>
      <c r="BJ139" s="227">
        <v>0</v>
      </c>
      <c r="BK139" s="220"/>
      <c r="BL139" s="236">
        <v>0.8</v>
      </c>
      <c r="BM139" s="239">
        <v>0.76</v>
      </c>
      <c r="BN139" s="237"/>
      <c r="BO139" s="238">
        <v>0.95</v>
      </c>
      <c r="BP139" s="229">
        <v>1</v>
      </c>
      <c r="BQ139" s="237">
        <v>2.5000000000000001E-3</v>
      </c>
    </row>
    <row r="140" spans="1:69" s="207" customFormat="1" ht="22.35" customHeight="1" x14ac:dyDescent="0.2">
      <c r="A140" s="216" t="s">
        <v>175</v>
      </c>
      <c r="B140" s="216" t="s">
        <v>187</v>
      </c>
      <c r="C140" s="216" t="s">
        <v>200</v>
      </c>
      <c r="D140" s="217">
        <v>0.62457229755555599</v>
      </c>
      <c r="E140" s="218"/>
      <c r="F140" s="219">
        <v>7.0000000000000007E-2</v>
      </c>
      <c r="G140" s="219">
        <v>5.8999999999999997E-2</v>
      </c>
      <c r="H140" s="220"/>
      <c r="I140" s="221">
        <v>5</v>
      </c>
      <c r="J140" s="221">
        <v>5</v>
      </c>
      <c r="K140" s="218"/>
      <c r="L140" s="222"/>
      <c r="M140" s="222">
        <v>368.28228000000001</v>
      </c>
      <c r="N140" s="222">
        <v>368.28228000000001</v>
      </c>
      <c r="O140" s="217">
        <v>589.65516312743796</v>
      </c>
      <c r="P140" s="223">
        <v>226.98400000000001</v>
      </c>
      <c r="Q140" s="229">
        <v>2.5977829412092399</v>
      </c>
      <c r="R140" s="230">
        <v>213.47171311992199</v>
      </c>
      <c r="S140" s="219">
        <v>0.01</v>
      </c>
      <c r="T140" s="219">
        <v>0.01</v>
      </c>
      <c r="U140" s="226">
        <v>0</v>
      </c>
      <c r="V140" s="227">
        <v>0</v>
      </c>
      <c r="W140" s="218"/>
      <c r="X140" s="226">
        <v>389.79370999999998</v>
      </c>
      <c r="Y140" s="217">
        <v>624.09702051399097</v>
      </c>
      <c r="Z140" s="228">
        <v>573</v>
      </c>
      <c r="AA140" s="229">
        <v>1.0891745558708401</v>
      </c>
      <c r="AB140" s="230">
        <v>-1.0111697372719799</v>
      </c>
      <c r="AC140" s="219">
        <v>0.02</v>
      </c>
      <c r="AD140" s="219">
        <v>8.9999999999999993E-3</v>
      </c>
      <c r="AE140" s="227">
        <v>0</v>
      </c>
      <c r="AF140" s="227">
        <v>40</v>
      </c>
      <c r="AG140" s="218"/>
      <c r="AH140" s="231">
        <v>51.6</v>
      </c>
      <c r="AI140" s="217">
        <v>82.616536471360504</v>
      </c>
      <c r="AJ140" s="232" t="s">
        <v>53</v>
      </c>
      <c r="AK140" s="229">
        <v>1.3113735947834999</v>
      </c>
      <c r="AL140" s="230">
        <v>8.6319242173680006</v>
      </c>
      <c r="AM140" s="219">
        <v>0.02</v>
      </c>
      <c r="AN140" s="219">
        <v>0.02</v>
      </c>
      <c r="AO140" s="227">
        <v>0</v>
      </c>
      <c r="AP140" s="227">
        <v>0</v>
      </c>
      <c r="AQ140" s="218"/>
      <c r="AR140" s="231">
        <v>1</v>
      </c>
      <c r="AS140" s="217">
        <v>1.60109566804962</v>
      </c>
      <c r="AT140" s="232" t="s">
        <v>54</v>
      </c>
      <c r="AU140" s="224">
        <v>0.100068479253101</v>
      </c>
      <c r="AV140" s="225">
        <v>-9.9125271828906705</v>
      </c>
      <c r="AW140" s="219"/>
      <c r="AX140" s="219"/>
      <c r="AY140" s="227">
        <v>9</v>
      </c>
      <c r="AZ140" s="227">
        <v>11</v>
      </c>
      <c r="BA140" s="218"/>
      <c r="BB140" s="235">
        <v>26.2</v>
      </c>
      <c r="BC140" s="231">
        <v>41.948706502900102</v>
      </c>
      <c r="BD140" s="232" t="s">
        <v>55</v>
      </c>
      <c r="BE140" s="229">
        <v>1.31089707821563</v>
      </c>
      <c r="BF140" s="230">
        <v>4.3749456342186699</v>
      </c>
      <c r="BG140" s="219">
        <v>0.02</v>
      </c>
      <c r="BH140" s="219">
        <v>0.02</v>
      </c>
      <c r="BI140" s="227">
        <v>0</v>
      </c>
      <c r="BJ140" s="227">
        <v>0</v>
      </c>
      <c r="BK140" s="220"/>
      <c r="BL140" s="236">
        <v>0.8</v>
      </c>
      <c r="BM140" s="224"/>
      <c r="BN140" s="237"/>
      <c r="BO140" s="238">
        <v>0.95</v>
      </c>
      <c r="BP140" s="229">
        <v>1</v>
      </c>
      <c r="BQ140" s="237">
        <v>2.5000000000000001E-3</v>
      </c>
    </row>
    <row r="141" spans="1:69" s="207" customFormat="1" ht="22.35" customHeight="1" x14ac:dyDescent="0.2">
      <c r="A141" s="216" t="s">
        <v>175</v>
      </c>
      <c r="B141" s="216" t="s">
        <v>201</v>
      </c>
      <c r="C141" s="216" t="s">
        <v>202</v>
      </c>
      <c r="D141" s="217">
        <v>2.7066750453333301</v>
      </c>
      <c r="E141" s="218"/>
      <c r="F141" s="219">
        <v>7.0999999999999994E-2</v>
      </c>
      <c r="G141" s="219">
        <v>5.8999999999999997E-2</v>
      </c>
      <c r="H141" s="220"/>
      <c r="I141" s="221">
        <v>7</v>
      </c>
      <c r="J141" s="221">
        <v>7</v>
      </c>
      <c r="K141" s="218"/>
      <c r="L141" s="222">
        <v>1211.06882</v>
      </c>
      <c r="M141" s="222">
        <v>385.38193999999999</v>
      </c>
      <c r="N141" s="222">
        <v>1596.4507599999999</v>
      </c>
      <c r="O141" s="217">
        <v>589.81988353293195</v>
      </c>
      <c r="P141" s="223">
        <v>287.5</v>
      </c>
      <c r="Q141" s="229">
        <v>2.05154742098411</v>
      </c>
      <c r="R141" s="230">
        <v>746.69012951760101</v>
      </c>
      <c r="S141" s="219">
        <v>0.01</v>
      </c>
      <c r="T141" s="219">
        <v>0.01</v>
      </c>
      <c r="U141" s="226">
        <v>0</v>
      </c>
      <c r="V141" s="227">
        <v>0</v>
      </c>
      <c r="W141" s="218"/>
      <c r="X141" s="226">
        <v>1826.08158</v>
      </c>
      <c r="Y141" s="217">
        <v>674.65859381546602</v>
      </c>
      <c r="Z141" s="228">
        <v>573</v>
      </c>
      <c r="AA141" s="229">
        <v>1.17741464889261</v>
      </c>
      <c r="AB141" s="230">
        <v>132.47169733421001</v>
      </c>
      <c r="AC141" s="219">
        <v>0.02</v>
      </c>
      <c r="AD141" s="219">
        <v>1.7999999999999999E-2</v>
      </c>
      <c r="AE141" s="227">
        <v>0</v>
      </c>
      <c r="AF141" s="227">
        <v>36</v>
      </c>
      <c r="AG141" s="218"/>
      <c r="AH141" s="231">
        <v>171.95</v>
      </c>
      <c r="AI141" s="217">
        <v>63.528128467606301</v>
      </c>
      <c r="AJ141" s="232" t="s">
        <v>53</v>
      </c>
      <c r="AK141" s="233">
        <v>1.0083829915493101</v>
      </c>
      <c r="AL141" s="234">
        <v>-14.2584164187518</v>
      </c>
      <c r="AM141" s="219">
        <v>1.0999999999999999E-2</v>
      </c>
      <c r="AN141" s="219">
        <v>1E-3</v>
      </c>
      <c r="AO141" s="227">
        <v>0</v>
      </c>
      <c r="AP141" s="227">
        <v>33</v>
      </c>
      <c r="AQ141" s="218"/>
      <c r="AR141" s="231">
        <v>59.1</v>
      </c>
      <c r="AS141" s="217">
        <v>21.834907778049001</v>
      </c>
      <c r="AT141" s="232" t="s">
        <v>54</v>
      </c>
      <c r="AU141" s="229">
        <v>1.3646817361280601</v>
      </c>
      <c r="AV141" s="230">
        <v>11.8089736079361</v>
      </c>
      <c r="AW141" s="219">
        <v>0.01</v>
      </c>
      <c r="AX141" s="219">
        <v>0.01</v>
      </c>
      <c r="AY141" s="227">
        <v>0</v>
      </c>
      <c r="AZ141" s="227">
        <v>0</v>
      </c>
      <c r="BA141" s="218"/>
      <c r="BB141" s="235">
        <v>137.4</v>
      </c>
      <c r="BC141" s="231">
        <v>50.763389656580998</v>
      </c>
      <c r="BD141" s="232" t="s">
        <v>55</v>
      </c>
      <c r="BE141" s="229">
        <v>1.58635592676816</v>
      </c>
      <c r="BF141" s="230">
        <v>42.817947215872103</v>
      </c>
      <c r="BG141" s="219">
        <v>0.02</v>
      </c>
      <c r="BH141" s="219">
        <v>0.02</v>
      </c>
      <c r="BI141" s="227">
        <v>0</v>
      </c>
      <c r="BJ141" s="227">
        <v>0</v>
      </c>
      <c r="BK141" s="220"/>
      <c r="BL141" s="236">
        <v>0.8</v>
      </c>
      <c r="BM141" s="233">
        <v>0.88</v>
      </c>
      <c r="BN141" s="237">
        <v>3.0000000000000001E-3</v>
      </c>
      <c r="BO141" s="238">
        <v>0.95</v>
      </c>
      <c r="BP141" s="229">
        <v>1</v>
      </c>
      <c r="BQ141" s="237">
        <v>2.5000000000000001E-3</v>
      </c>
    </row>
    <row r="142" spans="1:69" s="207" customFormat="1" ht="22.35" customHeight="1" x14ac:dyDescent="0.2">
      <c r="A142" s="216" t="s">
        <v>175</v>
      </c>
      <c r="B142" s="216" t="s">
        <v>201</v>
      </c>
      <c r="C142" s="216" t="s">
        <v>203</v>
      </c>
      <c r="D142" s="217">
        <v>2.9894179894444401</v>
      </c>
      <c r="E142" s="218"/>
      <c r="F142" s="219">
        <v>0.08</v>
      </c>
      <c r="G142" s="219">
        <v>7.0000000000000007E-2</v>
      </c>
      <c r="H142" s="220"/>
      <c r="I142" s="221">
        <v>7</v>
      </c>
      <c r="J142" s="221">
        <v>7</v>
      </c>
      <c r="K142" s="218"/>
      <c r="L142" s="222">
        <v>1678.32428</v>
      </c>
      <c r="M142" s="222">
        <v>2834.6209399999998</v>
      </c>
      <c r="N142" s="222">
        <v>4512.9452199999996</v>
      </c>
      <c r="O142" s="217">
        <v>1509.64008242912</v>
      </c>
      <c r="P142" s="223">
        <v>273.93400000000003</v>
      </c>
      <c r="Q142" s="229">
        <v>5.51096279552418</v>
      </c>
      <c r="R142" s="230">
        <v>3618.7028955476399</v>
      </c>
      <c r="S142" s="219">
        <v>0.01</v>
      </c>
      <c r="T142" s="219">
        <v>0.01</v>
      </c>
      <c r="U142" s="226">
        <v>0</v>
      </c>
      <c r="V142" s="227">
        <v>0</v>
      </c>
      <c r="W142" s="218"/>
      <c r="X142" s="226">
        <v>1998.3595800000001</v>
      </c>
      <c r="Y142" s="217">
        <v>668.477806401164</v>
      </c>
      <c r="Z142" s="228">
        <v>573</v>
      </c>
      <c r="AA142" s="229">
        <v>1.1666279343824899</v>
      </c>
      <c r="AB142" s="230">
        <v>127.83291331678301</v>
      </c>
      <c r="AC142" s="219">
        <v>0.02</v>
      </c>
      <c r="AD142" s="219">
        <v>1.7000000000000001E-2</v>
      </c>
      <c r="AE142" s="227">
        <v>0</v>
      </c>
      <c r="AF142" s="227">
        <v>58</v>
      </c>
      <c r="AG142" s="218"/>
      <c r="AH142" s="231">
        <v>213.2</v>
      </c>
      <c r="AI142" s="217">
        <v>71.318230087864407</v>
      </c>
      <c r="AJ142" s="232" t="s">
        <v>53</v>
      </c>
      <c r="AK142" s="229">
        <v>1.1320353982200699</v>
      </c>
      <c r="AL142" s="230">
        <v>7.5399999981802903</v>
      </c>
      <c r="AM142" s="219">
        <v>0.02</v>
      </c>
      <c r="AN142" s="219">
        <v>1.2999999999999999E-2</v>
      </c>
      <c r="AO142" s="227">
        <v>0</v>
      </c>
      <c r="AP142" s="227">
        <v>13</v>
      </c>
      <c r="AQ142" s="218"/>
      <c r="AR142" s="231">
        <v>69.400000000000006</v>
      </c>
      <c r="AS142" s="217">
        <v>23.2152212387326</v>
      </c>
      <c r="AT142" s="232" t="s">
        <v>54</v>
      </c>
      <c r="AU142" s="229">
        <v>1.4509513274207899</v>
      </c>
      <c r="AV142" s="230">
        <v>17.1688888884267</v>
      </c>
      <c r="AW142" s="219">
        <v>0.01</v>
      </c>
      <c r="AX142" s="219">
        <v>0.01</v>
      </c>
      <c r="AY142" s="227">
        <v>0</v>
      </c>
      <c r="AZ142" s="227">
        <v>0</v>
      </c>
      <c r="BA142" s="218"/>
      <c r="BB142" s="235">
        <v>130.80000000000001</v>
      </c>
      <c r="BC142" s="231">
        <v>43.754336282798597</v>
      </c>
      <c r="BD142" s="232" t="s">
        <v>55</v>
      </c>
      <c r="BE142" s="229">
        <v>1.3673230088374599</v>
      </c>
      <c r="BF142" s="230">
        <v>26.3377777768535</v>
      </c>
      <c r="BG142" s="219">
        <v>0.02</v>
      </c>
      <c r="BH142" s="219">
        <v>0.02</v>
      </c>
      <c r="BI142" s="227">
        <v>0</v>
      </c>
      <c r="BJ142" s="227">
        <v>0</v>
      </c>
      <c r="BK142" s="220"/>
      <c r="BL142" s="236">
        <v>0.8</v>
      </c>
      <c r="BM142" s="233">
        <v>0.83</v>
      </c>
      <c r="BN142" s="237">
        <v>1.1249999999999999E-3</v>
      </c>
      <c r="BO142" s="238">
        <v>0.95</v>
      </c>
      <c r="BP142" s="229">
        <v>1</v>
      </c>
      <c r="BQ142" s="237">
        <v>2.5000000000000001E-3</v>
      </c>
    </row>
    <row r="143" spans="1:69" s="207" customFormat="1" ht="22.35" customHeight="1" x14ac:dyDescent="0.2">
      <c r="A143" s="216" t="s">
        <v>175</v>
      </c>
      <c r="B143" s="216" t="s">
        <v>201</v>
      </c>
      <c r="C143" s="216" t="s">
        <v>204</v>
      </c>
      <c r="D143" s="217">
        <v>2.92477570733333</v>
      </c>
      <c r="E143" s="218"/>
      <c r="F143" s="219">
        <v>0.06</v>
      </c>
      <c r="G143" s="219">
        <v>0.06</v>
      </c>
      <c r="H143" s="220"/>
      <c r="I143" s="221">
        <v>6</v>
      </c>
      <c r="J143" s="221">
        <v>6</v>
      </c>
      <c r="K143" s="218"/>
      <c r="L143" s="222">
        <v>2282.62815</v>
      </c>
      <c r="M143" s="222">
        <v>-108.62309999999999</v>
      </c>
      <c r="N143" s="222">
        <v>2174.0050500000002</v>
      </c>
      <c r="O143" s="217">
        <v>743.30658742449396</v>
      </c>
      <c r="P143" s="223">
        <v>287.5</v>
      </c>
      <c r="Q143" s="229">
        <v>2.5854142171286698</v>
      </c>
      <c r="R143" s="230">
        <v>1255.7717166826999</v>
      </c>
      <c r="S143" s="219">
        <v>0.01</v>
      </c>
      <c r="T143" s="219">
        <v>0.01</v>
      </c>
      <c r="U143" s="226">
        <v>0</v>
      </c>
      <c r="V143" s="227">
        <v>0</v>
      </c>
      <c r="W143" s="218"/>
      <c r="X143" s="226">
        <v>2261.97957</v>
      </c>
      <c r="Y143" s="217">
        <v>773.38565289929898</v>
      </c>
      <c r="Z143" s="228">
        <v>573</v>
      </c>
      <c r="AA143" s="229">
        <v>1.34971318132513</v>
      </c>
      <c r="AB143" s="230">
        <v>431.90061351021802</v>
      </c>
      <c r="AC143" s="219">
        <v>0.02</v>
      </c>
      <c r="AD143" s="219">
        <v>0.02</v>
      </c>
      <c r="AE143" s="227">
        <v>0</v>
      </c>
      <c r="AF143" s="227">
        <v>0</v>
      </c>
      <c r="AG143" s="218"/>
      <c r="AH143" s="231">
        <v>155.5</v>
      </c>
      <c r="AI143" s="217">
        <v>53.166470033962803</v>
      </c>
      <c r="AJ143" s="232" t="s">
        <v>53</v>
      </c>
      <c r="AK143" s="239">
        <v>0.84391222276131395</v>
      </c>
      <c r="AL143" s="222">
        <v>-45.712869561703798</v>
      </c>
      <c r="AM143" s="219"/>
      <c r="AN143" s="219"/>
      <c r="AO143" s="227">
        <v>29</v>
      </c>
      <c r="AP143" s="227">
        <v>66</v>
      </c>
      <c r="AQ143" s="218"/>
      <c r="AR143" s="231">
        <v>61.7</v>
      </c>
      <c r="AS143" s="217">
        <v>21.0956347337331</v>
      </c>
      <c r="AT143" s="232" t="s">
        <v>54</v>
      </c>
      <c r="AU143" s="229">
        <v>1.3184771708583201</v>
      </c>
      <c r="AV143" s="230">
        <v>10.5983188414721</v>
      </c>
      <c r="AW143" s="219">
        <v>0.01</v>
      </c>
      <c r="AX143" s="219">
        <v>0.01</v>
      </c>
      <c r="AY143" s="227">
        <v>0</v>
      </c>
      <c r="AZ143" s="227">
        <v>0</v>
      </c>
      <c r="BA143" s="218"/>
      <c r="BB143" s="235">
        <v>154</v>
      </c>
      <c r="BC143" s="231">
        <v>52.653610194406902</v>
      </c>
      <c r="BD143" s="232" t="s">
        <v>55</v>
      </c>
      <c r="BE143" s="229">
        <v>1.6454253185752199</v>
      </c>
      <c r="BF143" s="230">
        <v>51.796637682944102</v>
      </c>
      <c r="BG143" s="219">
        <v>0.02</v>
      </c>
      <c r="BH143" s="219">
        <v>0.02</v>
      </c>
      <c r="BI143" s="227">
        <v>0</v>
      </c>
      <c r="BJ143" s="227">
        <v>0</v>
      </c>
      <c r="BK143" s="220"/>
      <c r="BL143" s="236">
        <v>0.8</v>
      </c>
      <c r="BM143" s="233">
        <v>0.83</v>
      </c>
      <c r="BN143" s="237">
        <v>1.1249999999999999E-3</v>
      </c>
      <c r="BO143" s="238">
        <v>0.95</v>
      </c>
      <c r="BP143" s="229">
        <v>1</v>
      </c>
      <c r="BQ143" s="237">
        <v>2.5000000000000001E-3</v>
      </c>
    </row>
    <row r="144" spans="1:69" s="207" customFormat="1" ht="22.35" customHeight="1" x14ac:dyDescent="0.2">
      <c r="A144" s="216" t="s">
        <v>175</v>
      </c>
      <c r="B144" s="216" t="s">
        <v>201</v>
      </c>
      <c r="C144" s="216" t="s">
        <v>205</v>
      </c>
      <c r="D144" s="217">
        <v>2.6681531807777801</v>
      </c>
      <c r="E144" s="218"/>
      <c r="F144" s="219">
        <v>0.04</v>
      </c>
      <c r="G144" s="219">
        <v>0.04</v>
      </c>
      <c r="H144" s="220"/>
      <c r="I144" s="221">
        <v>4</v>
      </c>
      <c r="J144" s="221">
        <v>4</v>
      </c>
      <c r="K144" s="218"/>
      <c r="L144" s="222">
        <v>849.60068999999999</v>
      </c>
      <c r="M144" s="222">
        <v>516.55607999999995</v>
      </c>
      <c r="N144" s="222">
        <v>1366.1567700000001</v>
      </c>
      <c r="O144" s="217">
        <v>512.02336501600701</v>
      </c>
      <c r="P144" s="223">
        <v>265.91699999999997</v>
      </c>
      <c r="Q144" s="229">
        <v>1.925500682604</v>
      </c>
      <c r="R144" s="230">
        <v>591.37481000481</v>
      </c>
      <c r="S144" s="219">
        <v>0.01</v>
      </c>
      <c r="T144" s="219">
        <v>0.01</v>
      </c>
      <c r="U144" s="226">
        <v>0</v>
      </c>
      <c r="V144" s="227">
        <v>0</v>
      </c>
      <c r="W144" s="218"/>
      <c r="X144" s="226">
        <v>1087.1326550000001</v>
      </c>
      <c r="Y144" s="217">
        <v>407.447616887984</v>
      </c>
      <c r="Z144" s="228">
        <v>573</v>
      </c>
      <c r="AA144" s="224">
        <v>0.71107786542405604</v>
      </c>
      <c r="AB144" s="225">
        <v>-582.373480663549</v>
      </c>
      <c r="AC144" s="219"/>
      <c r="AD144" s="219"/>
      <c r="AE144" s="227">
        <v>442</v>
      </c>
      <c r="AF144" s="227">
        <v>748</v>
      </c>
      <c r="AG144" s="218"/>
      <c r="AH144" s="231">
        <v>113.1</v>
      </c>
      <c r="AI144" s="217">
        <v>42.388870629620598</v>
      </c>
      <c r="AJ144" s="232" t="s">
        <v>53</v>
      </c>
      <c r="AK144" s="224">
        <v>0.672839216343184</v>
      </c>
      <c r="AL144" s="225">
        <v>-70.458266224788204</v>
      </c>
      <c r="AM144" s="219"/>
      <c r="AN144" s="219"/>
      <c r="AO144" s="227">
        <v>55</v>
      </c>
      <c r="AP144" s="227">
        <v>89</v>
      </c>
      <c r="AQ144" s="218"/>
      <c r="AR144" s="231">
        <v>52</v>
      </c>
      <c r="AS144" s="217">
        <v>19.489135921664602</v>
      </c>
      <c r="AT144" s="232" t="s">
        <v>54</v>
      </c>
      <c r="AU144" s="229">
        <v>1.21807099510404</v>
      </c>
      <c r="AV144" s="230">
        <v>5.3820276254506298</v>
      </c>
      <c r="AW144" s="219">
        <v>0.01</v>
      </c>
      <c r="AX144" s="219">
        <v>0.01</v>
      </c>
      <c r="AY144" s="227">
        <v>0</v>
      </c>
      <c r="AZ144" s="227">
        <v>0</v>
      </c>
      <c r="BA144" s="218"/>
      <c r="BB144" s="235">
        <v>106.8</v>
      </c>
      <c r="BC144" s="231">
        <v>40.027686854495897</v>
      </c>
      <c r="BD144" s="232" t="s">
        <v>55</v>
      </c>
      <c r="BE144" s="229">
        <v>1.2508652142029999</v>
      </c>
      <c r="BF144" s="230">
        <v>13.5640552509012</v>
      </c>
      <c r="BG144" s="219">
        <v>0.02</v>
      </c>
      <c r="BH144" s="219">
        <v>0.02</v>
      </c>
      <c r="BI144" s="227">
        <v>0</v>
      </c>
      <c r="BJ144" s="227">
        <v>0</v>
      </c>
      <c r="BK144" s="220"/>
      <c r="BL144" s="236">
        <v>0.8</v>
      </c>
      <c r="BM144" s="239">
        <v>0.78</v>
      </c>
      <c r="BN144" s="237"/>
      <c r="BO144" s="238">
        <v>0.95</v>
      </c>
      <c r="BP144" s="229">
        <v>1</v>
      </c>
      <c r="BQ144" s="237">
        <v>2.5000000000000001E-3</v>
      </c>
    </row>
    <row r="145" spans="1:69" s="207" customFormat="1" ht="22.35" customHeight="1" x14ac:dyDescent="0.2">
      <c r="A145" s="216" t="s">
        <v>175</v>
      </c>
      <c r="B145" s="216" t="s">
        <v>201</v>
      </c>
      <c r="C145" s="216" t="s">
        <v>206</v>
      </c>
      <c r="D145" s="217">
        <v>10.628939992444399</v>
      </c>
      <c r="E145" s="218"/>
      <c r="F145" s="219">
        <v>6.2E-2</v>
      </c>
      <c r="G145" s="219">
        <v>3.7499999999999999E-2</v>
      </c>
      <c r="H145" s="220"/>
      <c r="I145" s="221">
        <v>6</v>
      </c>
      <c r="J145" s="221">
        <v>6</v>
      </c>
      <c r="K145" s="218"/>
      <c r="L145" s="222">
        <v>10037.73885</v>
      </c>
      <c r="M145" s="222">
        <v>3604.9342900000001</v>
      </c>
      <c r="N145" s="222">
        <v>13642.673140000001</v>
      </c>
      <c r="O145" s="217">
        <v>1283.54032948703</v>
      </c>
      <c r="P145" s="223">
        <v>287.5</v>
      </c>
      <c r="Q145" s="229">
        <v>4.4644881025635801</v>
      </c>
      <c r="R145" s="230">
        <v>10305.7174293721</v>
      </c>
      <c r="S145" s="219">
        <v>0.01</v>
      </c>
      <c r="T145" s="219">
        <v>0.01</v>
      </c>
      <c r="U145" s="226">
        <v>0</v>
      </c>
      <c r="V145" s="227">
        <v>0</v>
      </c>
      <c r="W145" s="218"/>
      <c r="X145" s="226">
        <v>6281.4003199999997</v>
      </c>
      <c r="Y145" s="217">
        <v>590.97147264591899</v>
      </c>
      <c r="Z145" s="228">
        <v>573</v>
      </c>
      <c r="AA145" s="233">
        <v>1.0313638266071901</v>
      </c>
      <c r="AB145" s="234">
        <v>-369.29749631236302</v>
      </c>
      <c r="AC145" s="219">
        <v>1.2999999999999999E-2</v>
      </c>
      <c r="AD145" s="219">
        <v>3.0000000000000001E-3</v>
      </c>
      <c r="AE145" s="227">
        <v>0</v>
      </c>
      <c r="AF145" s="227">
        <v>1028</v>
      </c>
      <c r="AG145" s="218"/>
      <c r="AH145" s="231">
        <v>694.95</v>
      </c>
      <c r="AI145" s="217">
        <v>65.3828133844018</v>
      </c>
      <c r="AJ145" s="232" t="s">
        <v>53</v>
      </c>
      <c r="AK145" s="233">
        <v>1.03782243467304</v>
      </c>
      <c r="AL145" s="234">
        <v>-36.278555720207599</v>
      </c>
      <c r="AM145" s="219">
        <v>1.4E-2</v>
      </c>
      <c r="AN145" s="219">
        <v>4.0000000000000001E-3</v>
      </c>
      <c r="AO145" s="227">
        <v>0</v>
      </c>
      <c r="AP145" s="227">
        <v>109</v>
      </c>
      <c r="AQ145" s="218"/>
      <c r="AR145" s="231">
        <v>170.1</v>
      </c>
      <c r="AS145" s="217">
        <v>16.003477310147101</v>
      </c>
      <c r="AT145" s="232" t="s">
        <v>54</v>
      </c>
      <c r="AU145" s="233">
        <v>1.00021733188419</v>
      </c>
      <c r="AV145" s="234">
        <v>-15.6088395479892</v>
      </c>
      <c r="AW145" s="219">
        <v>5.0000000000000001E-3</v>
      </c>
      <c r="AX145" s="219">
        <v>5.0000000000000001E-4</v>
      </c>
      <c r="AY145" s="227">
        <v>0</v>
      </c>
      <c r="AZ145" s="227">
        <v>34</v>
      </c>
      <c r="BA145" s="218"/>
      <c r="BB145" s="235">
        <v>408.8</v>
      </c>
      <c r="BC145" s="231">
        <v>38.461031889407103</v>
      </c>
      <c r="BD145" s="232" t="s">
        <v>55</v>
      </c>
      <c r="BE145" s="229">
        <v>1.20190724654397</v>
      </c>
      <c r="BF145" s="230">
        <v>37.382320904021498</v>
      </c>
      <c r="BG145" s="219">
        <v>0.02</v>
      </c>
      <c r="BH145" s="219">
        <v>0.02</v>
      </c>
      <c r="BI145" s="227">
        <v>0</v>
      </c>
      <c r="BJ145" s="227">
        <v>0</v>
      </c>
      <c r="BK145" s="220"/>
      <c r="BL145" s="236">
        <v>0.8</v>
      </c>
      <c r="BM145" s="239">
        <v>0.79</v>
      </c>
      <c r="BN145" s="237"/>
      <c r="BO145" s="238">
        <v>0.95</v>
      </c>
      <c r="BP145" s="229">
        <v>1</v>
      </c>
      <c r="BQ145" s="237">
        <v>2.5000000000000001E-3</v>
      </c>
    </row>
    <row r="146" spans="1:69" s="207" customFormat="1" ht="22.35" customHeight="1" x14ac:dyDescent="0.2">
      <c r="A146" s="216" t="s">
        <v>175</v>
      </c>
      <c r="B146" s="216" t="s">
        <v>201</v>
      </c>
      <c r="C146" s="216" t="s">
        <v>207</v>
      </c>
      <c r="D146" s="217">
        <v>2.3655582742222201</v>
      </c>
      <c r="E146" s="218"/>
      <c r="F146" s="219">
        <v>6.4000000000000001E-2</v>
      </c>
      <c r="G146" s="219">
        <v>5.1999999999999998E-2</v>
      </c>
      <c r="H146" s="220"/>
      <c r="I146" s="221">
        <v>6</v>
      </c>
      <c r="J146" s="221">
        <v>5</v>
      </c>
      <c r="K146" s="218"/>
      <c r="L146" s="222">
        <v>1798.9796699999999</v>
      </c>
      <c r="M146" s="222">
        <v>-147.45534000000001</v>
      </c>
      <c r="N146" s="222">
        <v>1651.52433</v>
      </c>
      <c r="O146" s="217">
        <v>698.15415160000998</v>
      </c>
      <c r="P146" s="223">
        <v>212.5</v>
      </c>
      <c r="Q146" s="229">
        <v>3.2854313016471099</v>
      </c>
      <c r="R146" s="230">
        <v>1102.59653246673</v>
      </c>
      <c r="S146" s="219">
        <v>0.01</v>
      </c>
      <c r="T146" s="219">
        <v>0.01</v>
      </c>
      <c r="U146" s="226">
        <v>0</v>
      </c>
      <c r="V146" s="227">
        <v>0</v>
      </c>
      <c r="W146" s="218"/>
      <c r="X146" s="226">
        <v>1520.49155</v>
      </c>
      <c r="Y146" s="217">
        <v>642.76224626084297</v>
      </c>
      <c r="Z146" s="228">
        <v>573</v>
      </c>
      <c r="AA146" s="229">
        <v>1.12174912087407</v>
      </c>
      <c r="AB146" s="230">
        <v>40.323888886769303</v>
      </c>
      <c r="AC146" s="219">
        <v>0.02</v>
      </c>
      <c r="AD146" s="219">
        <v>1.2E-2</v>
      </c>
      <c r="AE146" s="227">
        <v>0</v>
      </c>
      <c r="AF146" s="227">
        <v>107</v>
      </c>
      <c r="AG146" s="218"/>
      <c r="AH146" s="231">
        <v>140.6</v>
      </c>
      <c r="AI146" s="217">
        <v>59.436286787831598</v>
      </c>
      <c r="AJ146" s="232" t="s">
        <v>53</v>
      </c>
      <c r="AK146" s="233">
        <v>0.94343312361637499</v>
      </c>
      <c r="AL146" s="234">
        <v>-22.1409470333919</v>
      </c>
      <c r="AM146" s="219">
        <v>4.0000000000000001E-3</v>
      </c>
      <c r="AN146" s="219"/>
      <c r="AO146" s="227">
        <v>9</v>
      </c>
      <c r="AP146" s="227">
        <v>39</v>
      </c>
      <c r="AQ146" s="218"/>
      <c r="AR146" s="231">
        <v>85.1</v>
      </c>
      <c r="AS146" s="217">
        <v>35.9745946347402</v>
      </c>
      <c r="AT146" s="232" t="s">
        <v>54</v>
      </c>
      <c r="AU146" s="229">
        <v>2.2484121646712598</v>
      </c>
      <c r="AV146" s="230">
        <v>43.768965832789398</v>
      </c>
      <c r="AW146" s="219">
        <v>0.01</v>
      </c>
      <c r="AX146" s="219">
        <v>0.01</v>
      </c>
      <c r="AY146" s="227">
        <v>0</v>
      </c>
      <c r="AZ146" s="227">
        <v>0</v>
      </c>
      <c r="BA146" s="218"/>
      <c r="BB146" s="235">
        <v>155</v>
      </c>
      <c r="BC146" s="231">
        <v>65.523644751876901</v>
      </c>
      <c r="BD146" s="232" t="s">
        <v>55</v>
      </c>
      <c r="BE146" s="229">
        <v>2.0476138984961501</v>
      </c>
      <c r="BF146" s="230">
        <v>72.337931665578694</v>
      </c>
      <c r="BG146" s="219">
        <v>0.02</v>
      </c>
      <c r="BH146" s="219">
        <v>0.02</v>
      </c>
      <c r="BI146" s="227">
        <v>0</v>
      </c>
      <c r="BJ146" s="227">
        <v>0</v>
      </c>
      <c r="BK146" s="220"/>
      <c r="BL146" s="236">
        <v>0.8</v>
      </c>
      <c r="BM146" s="239">
        <v>0.78</v>
      </c>
      <c r="BN146" s="237"/>
      <c r="BO146" s="238">
        <v>0.95</v>
      </c>
      <c r="BP146" s="229">
        <v>1</v>
      </c>
      <c r="BQ146" s="237">
        <v>2.5000000000000001E-3</v>
      </c>
    </row>
    <row r="147" spans="1:69" s="207" customFormat="1" ht="22.35" customHeight="1" x14ac:dyDescent="0.2">
      <c r="A147" s="216" t="s">
        <v>175</v>
      </c>
      <c r="B147" s="216" t="s">
        <v>201</v>
      </c>
      <c r="C147" s="216" t="s">
        <v>208</v>
      </c>
      <c r="D147" s="217">
        <v>1.8899021605555599</v>
      </c>
      <c r="E147" s="218"/>
      <c r="F147" s="219">
        <v>7.0000000000000007E-2</v>
      </c>
      <c r="G147" s="219">
        <v>0.05</v>
      </c>
      <c r="H147" s="220"/>
      <c r="I147" s="221">
        <v>7</v>
      </c>
      <c r="J147" s="221">
        <v>6</v>
      </c>
      <c r="K147" s="218"/>
      <c r="L147" s="222">
        <v>424.00729000000001</v>
      </c>
      <c r="M147" s="222">
        <v>1076.35411</v>
      </c>
      <c r="N147" s="222">
        <v>1500.3614</v>
      </c>
      <c r="O147" s="217">
        <v>793.883107450892</v>
      </c>
      <c r="P147" s="223">
        <v>273.64299999999997</v>
      </c>
      <c r="Q147" s="229">
        <v>2.9011635870491599</v>
      </c>
      <c r="R147" s="230">
        <v>935.62432136237203</v>
      </c>
      <c r="S147" s="219">
        <v>0.01</v>
      </c>
      <c r="T147" s="219">
        <v>0.01</v>
      </c>
      <c r="U147" s="226">
        <v>0</v>
      </c>
      <c r="V147" s="227">
        <v>0</v>
      </c>
      <c r="W147" s="218"/>
      <c r="X147" s="226">
        <v>1187.9262000000001</v>
      </c>
      <c r="Y147" s="217">
        <v>628.56491981087402</v>
      </c>
      <c r="Z147" s="228">
        <v>573</v>
      </c>
      <c r="AA147" s="229">
        <v>1.09697193684271</v>
      </c>
      <c r="AB147" s="230">
        <v>5.3841797058171297</v>
      </c>
      <c r="AC147" s="219">
        <v>0.02</v>
      </c>
      <c r="AD147" s="219">
        <v>0.01</v>
      </c>
      <c r="AE147" s="227">
        <v>0</v>
      </c>
      <c r="AF147" s="227">
        <v>112</v>
      </c>
      <c r="AG147" s="218"/>
      <c r="AH147" s="231">
        <v>119</v>
      </c>
      <c r="AI147" s="217">
        <v>62.966222529222797</v>
      </c>
      <c r="AJ147" s="232" t="s">
        <v>53</v>
      </c>
      <c r="AK147" s="233">
        <v>0.99946384967020196</v>
      </c>
      <c r="AL147" s="234">
        <v>-11.0177090375803</v>
      </c>
      <c r="AM147" s="219">
        <v>0.01</v>
      </c>
      <c r="AN147" s="219">
        <v>0</v>
      </c>
      <c r="AO147" s="227">
        <v>1</v>
      </c>
      <c r="AP147" s="227">
        <v>24</v>
      </c>
      <c r="AQ147" s="218"/>
      <c r="AR147" s="231">
        <v>59.5</v>
      </c>
      <c r="AS147" s="217">
        <v>31.483111264611399</v>
      </c>
      <c r="AT147" s="232" t="s">
        <v>54</v>
      </c>
      <c r="AU147" s="229">
        <v>1.96769445403821</v>
      </c>
      <c r="AV147" s="230">
        <v>26.479629450773299</v>
      </c>
      <c r="AW147" s="219">
        <v>0.01</v>
      </c>
      <c r="AX147" s="219">
        <v>0.01</v>
      </c>
      <c r="AY147" s="227">
        <v>0</v>
      </c>
      <c r="AZ147" s="227">
        <v>0</v>
      </c>
      <c r="BA147" s="218"/>
      <c r="BB147" s="235">
        <v>83.6</v>
      </c>
      <c r="BC147" s="231">
        <v>44.235094146580003</v>
      </c>
      <c r="BD147" s="232" t="s">
        <v>55</v>
      </c>
      <c r="BE147" s="229">
        <v>1.38234669208063</v>
      </c>
      <c r="BF147" s="230">
        <v>17.559258901546499</v>
      </c>
      <c r="BG147" s="219">
        <v>0.02</v>
      </c>
      <c r="BH147" s="219">
        <v>0.02</v>
      </c>
      <c r="BI147" s="227">
        <v>0</v>
      </c>
      <c r="BJ147" s="227">
        <v>0</v>
      </c>
      <c r="BK147" s="220"/>
      <c r="BL147" s="236">
        <v>0.8</v>
      </c>
      <c r="BM147" s="233">
        <v>0.87</v>
      </c>
      <c r="BN147" s="237">
        <v>2.6250000000000002E-3</v>
      </c>
      <c r="BO147" s="238">
        <v>0.95</v>
      </c>
      <c r="BP147" s="229">
        <v>1</v>
      </c>
      <c r="BQ147" s="237">
        <v>2.5000000000000001E-3</v>
      </c>
    </row>
    <row r="148" spans="1:69" s="207" customFormat="1" ht="22.35" customHeight="1" x14ac:dyDescent="0.2">
      <c r="A148" s="216" t="s">
        <v>175</v>
      </c>
      <c r="B148" s="216" t="s">
        <v>201</v>
      </c>
      <c r="C148" s="216" t="s">
        <v>209</v>
      </c>
      <c r="D148" s="217">
        <v>8.0221390946666702</v>
      </c>
      <c r="E148" s="218"/>
      <c r="F148" s="219">
        <v>4.2000000000000003E-2</v>
      </c>
      <c r="G148" s="219">
        <v>3.3500000000000002E-2</v>
      </c>
      <c r="H148" s="220"/>
      <c r="I148" s="221">
        <v>6</v>
      </c>
      <c r="J148" s="221">
        <v>4</v>
      </c>
      <c r="K148" s="218"/>
      <c r="L148" s="222">
        <v>5525.2289600000004</v>
      </c>
      <c r="M148" s="222">
        <v>-1818.8518899999999</v>
      </c>
      <c r="N148" s="222">
        <v>3706.37707</v>
      </c>
      <c r="O148" s="217">
        <v>462.01854969880799</v>
      </c>
      <c r="P148" s="223">
        <v>287.5</v>
      </c>
      <c r="Q148" s="229">
        <v>1.6070210424306399</v>
      </c>
      <c r="R148" s="230">
        <v>1187.8265012294</v>
      </c>
      <c r="S148" s="219">
        <v>0.01</v>
      </c>
      <c r="T148" s="219">
        <v>0.01</v>
      </c>
      <c r="U148" s="226">
        <v>0</v>
      </c>
      <c r="V148" s="227">
        <v>0</v>
      </c>
      <c r="W148" s="218"/>
      <c r="X148" s="226">
        <v>4261.0627949999998</v>
      </c>
      <c r="Y148" s="217">
        <v>531.16291611458905</v>
      </c>
      <c r="Z148" s="228">
        <v>573</v>
      </c>
      <c r="AA148" s="233">
        <v>0.926985891997538</v>
      </c>
      <c r="AB148" s="234">
        <v>-758.51799075845099</v>
      </c>
      <c r="AC148" s="219">
        <v>2E-3</v>
      </c>
      <c r="AD148" s="219"/>
      <c r="AE148" s="227">
        <v>336</v>
      </c>
      <c r="AF148" s="227">
        <v>1255</v>
      </c>
      <c r="AG148" s="218"/>
      <c r="AH148" s="231">
        <v>464.15</v>
      </c>
      <c r="AI148" s="217">
        <v>57.858632781445998</v>
      </c>
      <c r="AJ148" s="232" t="s">
        <v>53</v>
      </c>
      <c r="AK148" s="233">
        <v>0.91839099653088796</v>
      </c>
      <c r="AL148" s="234">
        <v>-87.741081156688296</v>
      </c>
      <c r="AM148" s="219">
        <v>1E-3</v>
      </c>
      <c r="AN148" s="219"/>
      <c r="AO148" s="227">
        <v>42</v>
      </c>
      <c r="AP148" s="227">
        <v>143</v>
      </c>
      <c r="AQ148" s="218"/>
      <c r="AR148" s="231">
        <v>137.69999999999999</v>
      </c>
      <c r="AS148" s="217">
        <v>17.1649978110635</v>
      </c>
      <c r="AT148" s="232" t="s">
        <v>54</v>
      </c>
      <c r="AU148" s="233">
        <v>1.0728123631914701</v>
      </c>
      <c r="AV148" s="234">
        <v>-2.46281426201605</v>
      </c>
      <c r="AW148" s="219">
        <v>8.9999999999999993E-3</v>
      </c>
      <c r="AX148" s="219">
        <v>3.5000000000000001E-3</v>
      </c>
      <c r="AY148" s="227">
        <v>0</v>
      </c>
      <c r="AZ148" s="227">
        <v>17</v>
      </c>
      <c r="BA148" s="218"/>
      <c r="BB148" s="235">
        <v>344.6</v>
      </c>
      <c r="BC148" s="231">
        <v>42.956123788616303</v>
      </c>
      <c r="BD148" s="232" t="s">
        <v>55</v>
      </c>
      <c r="BE148" s="229">
        <v>1.3423788683942599</v>
      </c>
      <c r="BF148" s="230">
        <v>64.274371475967897</v>
      </c>
      <c r="BG148" s="219">
        <v>0.02</v>
      </c>
      <c r="BH148" s="219">
        <v>0.02</v>
      </c>
      <c r="BI148" s="227">
        <v>0</v>
      </c>
      <c r="BJ148" s="227">
        <v>0</v>
      </c>
      <c r="BK148" s="220"/>
      <c r="BL148" s="236">
        <v>0.8</v>
      </c>
      <c r="BM148" s="239">
        <v>0.76</v>
      </c>
      <c r="BN148" s="237"/>
      <c r="BO148" s="238">
        <v>0.95</v>
      </c>
      <c r="BP148" s="229">
        <v>1</v>
      </c>
      <c r="BQ148" s="237">
        <v>2.5000000000000001E-3</v>
      </c>
    </row>
    <row r="149" spans="1:69" s="207" customFormat="1" ht="22.35" customHeight="1" x14ac:dyDescent="0.2">
      <c r="A149" s="216" t="s">
        <v>175</v>
      </c>
      <c r="B149" s="216" t="s">
        <v>201</v>
      </c>
      <c r="C149" s="216" t="s">
        <v>210</v>
      </c>
      <c r="D149" s="217">
        <v>3.69585255633333</v>
      </c>
      <c r="E149" s="218"/>
      <c r="F149" s="219">
        <v>7.2999999999999995E-2</v>
      </c>
      <c r="G149" s="219">
        <v>6.0999999999999999E-2</v>
      </c>
      <c r="H149" s="220"/>
      <c r="I149" s="221">
        <v>6</v>
      </c>
      <c r="J149" s="221">
        <v>6</v>
      </c>
      <c r="K149" s="218"/>
      <c r="L149" s="222">
        <v>2189.3921500000001</v>
      </c>
      <c r="M149" s="222">
        <v>407.92901000000001</v>
      </c>
      <c r="N149" s="222">
        <v>2597.32116</v>
      </c>
      <c r="O149" s="217">
        <v>702.766444388899</v>
      </c>
      <c r="P149" s="223">
        <v>239.22399999999999</v>
      </c>
      <c r="Q149" s="229">
        <v>2.9376920559345998</v>
      </c>
      <c r="R149" s="230">
        <v>1631.8439579255801</v>
      </c>
      <c r="S149" s="219">
        <v>0.01</v>
      </c>
      <c r="T149" s="219">
        <v>0.01</v>
      </c>
      <c r="U149" s="226">
        <v>0</v>
      </c>
      <c r="V149" s="227">
        <v>0</v>
      </c>
      <c r="W149" s="218"/>
      <c r="X149" s="226">
        <v>2492.0674049999998</v>
      </c>
      <c r="Y149" s="217">
        <v>674.28756072249496</v>
      </c>
      <c r="Z149" s="228">
        <v>573</v>
      </c>
      <c r="AA149" s="229">
        <v>1.17676712167975</v>
      </c>
      <c r="AB149" s="230">
        <v>179.51332686133401</v>
      </c>
      <c r="AC149" s="219">
        <v>0.02</v>
      </c>
      <c r="AD149" s="219">
        <v>1.7999999999999999E-2</v>
      </c>
      <c r="AE149" s="227">
        <v>0</v>
      </c>
      <c r="AF149" s="227">
        <v>50</v>
      </c>
      <c r="AG149" s="218"/>
      <c r="AH149" s="231">
        <v>240.4</v>
      </c>
      <c r="AI149" s="217">
        <v>65.045884903617903</v>
      </c>
      <c r="AJ149" s="232" t="s">
        <v>53</v>
      </c>
      <c r="AK149" s="233">
        <v>1.03247436354949</v>
      </c>
      <c r="AL149" s="234">
        <v>-13.8598724655078</v>
      </c>
      <c r="AM149" s="219">
        <v>1.2999999999999999E-2</v>
      </c>
      <c r="AN149" s="219">
        <v>3.0000000000000001E-3</v>
      </c>
      <c r="AO149" s="227">
        <v>0</v>
      </c>
      <c r="AP149" s="227">
        <v>40</v>
      </c>
      <c r="AQ149" s="218"/>
      <c r="AR149" s="231">
        <v>99.7</v>
      </c>
      <c r="AS149" s="217">
        <v>26.976184379745</v>
      </c>
      <c r="AT149" s="232" t="s">
        <v>54</v>
      </c>
      <c r="AU149" s="229">
        <v>1.68601152373406</v>
      </c>
      <c r="AV149" s="230">
        <v>35.126064135744102</v>
      </c>
      <c r="AW149" s="219">
        <v>0.01</v>
      </c>
      <c r="AX149" s="219">
        <v>0.01</v>
      </c>
      <c r="AY149" s="227">
        <v>0</v>
      </c>
      <c r="AZ149" s="227">
        <v>0</v>
      </c>
      <c r="BA149" s="218"/>
      <c r="BB149" s="235">
        <v>204</v>
      </c>
      <c r="BC149" s="231">
        <v>55.197007156148302</v>
      </c>
      <c r="BD149" s="232" t="s">
        <v>55</v>
      </c>
      <c r="BE149" s="229">
        <v>1.72490647362963</v>
      </c>
      <c r="BF149" s="230">
        <v>74.852128271488098</v>
      </c>
      <c r="BG149" s="219">
        <v>0.02</v>
      </c>
      <c r="BH149" s="219">
        <v>0.02</v>
      </c>
      <c r="BI149" s="227">
        <v>0</v>
      </c>
      <c r="BJ149" s="227">
        <v>0</v>
      </c>
      <c r="BK149" s="220"/>
      <c r="BL149" s="236">
        <v>0.8</v>
      </c>
      <c r="BM149" s="239">
        <v>0.76</v>
      </c>
      <c r="BN149" s="237"/>
      <c r="BO149" s="238">
        <v>0.95</v>
      </c>
      <c r="BP149" s="229">
        <v>1</v>
      </c>
      <c r="BQ149" s="237">
        <v>2.5000000000000001E-3</v>
      </c>
    </row>
    <row r="150" spans="1:69" s="207" customFormat="1" ht="22.35" customHeight="1" x14ac:dyDescent="0.2">
      <c r="A150" s="216" t="s">
        <v>175</v>
      </c>
      <c r="B150" s="216" t="s">
        <v>201</v>
      </c>
      <c r="C150" s="216" t="s">
        <v>211</v>
      </c>
      <c r="D150" s="217">
        <v>2.8061909415555601</v>
      </c>
      <c r="E150" s="218"/>
      <c r="F150" s="219">
        <v>6.7000000000000004E-2</v>
      </c>
      <c r="G150" s="219">
        <v>4.8000000000000001E-2</v>
      </c>
      <c r="H150" s="220"/>
      <c r="I150" s="221">
        <v>7</v>
      </c>
      <c r="J150" s="221">
        <v>6</v>
      </c>
      <c r="K150" s="218"/>
      <c r="L150" s="222">
        <v>2125.1541200000001</v>
      </c>
      <c r="M150" s="222">
        <v>1765.28495</v>
      </c>
      <c r="N150" s="222">
        <v>3890.4390699999999</v>
      </c>
      <c r="O150" s="217">
        <v>1386.3771749770599</v>
      </c>
      <c r="P150" s="223">
        <v>229.53</v>
      </c>
      <c r="Q150" s="229">
        <v>6.0400695986453199</v>
      </c>
      <c r="R150" s="230">
        <v>3187.07640255775</v>
      </c>
      <c r="S150" s="219">
        <v>0.01</v>
      </c>
      <c r="T150" s="219">
        <v>0.01</v>
      </c>
      <c r="U150" s="226">
        <v>0</v>
      </c>
      <c r="V150" s="227">
        <v>0</v>
      </c>
      <c r="W150" s="218"/>
      <c r="X150" s="226">
        <v>1732.9791700000001</v>
      </c>
      <c r="Y150" s="217">
        <v>617.55568530178402</v>
      </c>
      <c r="Z150" s="228">
        <v>573</v>
      </c>
      <c r="AA150" s="233">
        <v>1.07775861309212</v>
      </c>
      <c r="AB150" s="234">
        <v>-22.899401186378999</v>
      </c>
      <c r="AC150" s="219">
        <v>1.7999999999999999E-2</v>
      </c>
      <c r="AD150" s="219">
        <v>8.0000000000000002E-3</v>
      </c>
      <c r="AE150" s="227">
        <v>0</v>
      </c>
      <c r="AF150" s="227">
        <v>197</v>
      </c>
      <c r="AG150" s="218"/>
      <c r="AH150" s="231">
        <v>176.05</v>
      </c>
      <c r="AI150" s="217">
        <v>62.736286898000699</v>
      </c>
      <c r="AJ150" s="232" t="s">
        <v>53</v>
      </c>
      <c r="AK150" s="233">
        <v>0.99581407774604203</v>
      </c>
      <c r="AL150" s="234">
        <v>-17.004712015256299</v>
      </c>
      <c r="AM150" s="219">
        <v>8.9999999999999993E-3</v>
      </c>
      <c r="AN150" s="219">
        <v>0</v>
      </c>
      <c r="AO150" s="227">
        <v>1</v>
      </c>
      <c r="AP150" s="227">
        <v>37</v>
      </c>
      <c r="AQ150" s="218"/>
      <c r="AR150" s="231">
        <v>61.4</v>
      </c>
      <c r="AS150" s="217">
        <v>21.880193215207299</v>
      </c>
      <c r="AT150" s="232" t="s">
        <v>54</v>
      </c>
      <c r="AU150" s="229">
        <v>1.36751207595045</v>
      </c>
      <c r="AV150" s="230">
        <v>12.3702318691413</v>
      </c>
      <c r="AW150" s="219">
        <v>0.01</v>
      </c>
      <c r="AX150" s="219">
        <v>0.01</v>
      </c>
      <c r="AY150" s="227">
        <v>0</v>
      </c>
      <c r="AZ150" s="227">
        <v>0</v>
      </c>
      <c r="BA150" s="218"/>
      <c r="BB150" s="235">
        <v>160.4</v>
      </c>
      <c r="BC150" s="231">
        <v>57.159332112691303</v>
      </c>
      <c r="BD150" s="232" t="s">
        <v>55</v>
      </c>
      <c r="BE150" s="229">
        <v>1.7862291285216001</v>
      </c>
      <c r="BF150" s="230">
        <v>62.340463738282502</v>
      </c>
      <c r="BG150" s="219">
        <v>0.02</v>
      </c>
      <c r="BH150" s="219">
        <v>0.02</v>
      </c>
      <c r="BI150" s="227">
        <v>0</v>
      </c>
      <c r="BJ150" s="227">
        <v>0</v>
      </c>
      <c r="BK150" s="220"/>
      <c r="BL150" s="236">
        <v>0.8</v>
      </c>
      <c r="BM150" s="233">
        <v>0.83</v>
      </c>
      <c r="BN150" s="237">
        <v>1.1249999999999999E-3</v>
      </c>
      <c r="BO150" s="238">
        <v>0.95</v>
      </c>
      <c r="BP150" s="229">
        <v>1</v>
      </c>
      <c r="BQ150" s="237">
        <v>2.5000000000000001E-3</v>
      </c>
    </row>
    <row r="151" spans="1:69" s="207" customFormat="1" ht="22.35" customHeight="1" x14ac:dyDescent="0.2">
      <c r="A151" s="216" t="s">
        <v>175</v>
      </c>
      <c r="B151" s="216" t="s">
        <v>201</v>
      </c>
      <c r="C151" s="216" t="s">
        <v>212</v>
      </c>
      <c r="D151" s="217">
        <v>3.7250110427777798</v>
      </c>
      <c r="E151" s="218"/>
      <c r="F151" s="219">
        <v>4.1000000000000002E-2</v>
      </c>
      <c r="G151" s="219">
        <v>0.04</v>
      </c>
      <c r="H151" s="220"/>
      <c r="I151" s="221">
        <v>5</v>
      </c>
      <c r="J151" s="221">
        <v>4</v>
      </c>
      <c r="K151" s="218"/>
      <c r="L151" s="222">
        <v>2883.15508</v>
      </c>
      <c r="M151" s="222">
        <v>2703.7162800000001</v>
      </c>
      <c r="N151" s="222">
        <v>5586.8713600000001</v>
      </c>
      <c r="O151" s="217">
        <v>1499.8267913412201</v>
      </c>
      <c r="P151" s="223">
        <v>247.43600000000001</v>
      </c>
      <c r="Q151" s="229">
        <v>6.0614736390065298</v>
      </c>
      <c r="R151" s="230">
        <v>4580.3729590402099</v>
      </c>
      <c r="S151" s="219">
        <v>0.01</v>
      </c>
      <c r="T151" s="219">
        <v>0.01</v>
      </c>
      <c r="U151" s="226">
        <v>0</v>
      </c>
      <c r="V151" s="227">
        <v>0</v>
      </c>
      <c r="W151" s="218"/>
      <c r="X151" s="226">
        <v>1681.955305</v>
      </c>
      <c r="Y151" s="217">
        <v>451.53028693996799</v>
      </c>
      <c r="Z151" s="228">
        <v>573</v>
      </c>
      <c r="AA151" s="239">
        <v>0.78801097197202097</v>
      </c>
      <c r="AB151" s="222">
        <v>-648.84370464274195</v>
      </c>
      <c r="AC151" s="219"/>
      <c r="AD151" s="219"/>
      <c r="AE151" s="227">
        <v>453</v>
      </c>
      <c r="AF151" s="227">
        <v>880</v>
      </c>
      <c r="AG151" s="218"/>
      <c r="AH151" s="231">
        <v>216.45</v>
      </c>
      <c r="AI151" s="217">
        <v>58.107210291272303</v>
      </c>
      <c r="AJ151" s="232" t="s">
        <v>53</v>
      </c>
      <c r="AK151" s="233">
        <v>0.92233667129003705</v>
      </c>
      <c r="AL151" s="234">
        <v>-39.815859698940201</v>
      </c>
      <c r="AM151" s="219">
        <v>1E-3</v>
      </c>
      <c r="AN151" s="219"/>
      <c r="AO151" s="227">
        <v>19</v>
      </c>
      <c r="AP151" s="227">
        <v>66</v>
      </c>
      <c r="AQ151" s="218"/>
      <c r="AR151" s="231">
        <v>101.6</v>
      </c>
      <c r="AS151" s="217">
        <v>27.275086928127799</v>
      </c>
      <c r="AT151" s="232" t="s">
        <v>54</v>
      </c>
      <c r="AU151" s="229">
        <v>1.7046929330079901</v>
      </c>
      <c r="AV151" s="230">
        <v>36.516607060586601</v>
      </c>
      <c r="AW151" s="219">
        <v>0.01</v>
      </c>
      <c r="AX151" s="219">
        <v>0.01</v>
      </c>
      <c r="AY151" s="227">
        <v>0</v>
      </c>
      <c r="AZ151" s="227">
        <v>0</v>
      </c>
      <c r="BA151" s="218"/>
      <c r="BB151" s="235">
        <v>195.2</v>
      </c>
      <c r="BC151" s="231">
        <v>52.402529216245597</v>
      </c>
      <c r="BD151" s="232" t="s">
        <v>55</v>
      </c>
      <c r="BE151" s="229">
        <v>1.63757903800767</v>
      </c>
      <c r="BF151" s="230">
        <v>65.033214121173202</v>
      </c>
      <c r="BG151" s="219">
        <v>0.02</v>
      </c>
      <c r="BH151" s="219">
        <v>0.02</v>
      </c>
      <c r="BI151" s="227">
        <v>0</v>
      </c>
      <c r="BJ151" s="227">
        <v>0</v>
      </c>
      <c r="BK151" s="220"/>
      <c r="BL151" s="236">
        <v>0.8</v>
      </c>
      <c r="BM151" s="239">
        <v>0.79</v>
      </c>
      <c r="BN151" s="237"/>
      <c r="BO151" s="238">
        <v>0.95</v>
      </c>
      <c r="BP151" s="229">
        <v>1</v>
      </c>
      <c r="BQ151" s="237">
        <v>2.5000000000000001E-3</v>
      </c>
    </row>
    <row r="152" spans="1:69" s="207" customFormat="1" ht="22.35" customHeight="1" x14ac:dyDescent="0.2">
      <c r="A152" s="216" t="s">
        <v>175</v>
      </c>
      <c r="B152" s="216" t="s">
        <v>201</v>
      </c>
      <c r="C152" s="216" t="s">
        <v>213</v>
      </c>
      <c r="D152" s="217">
        <v>7.9314378249999997</v>
      </c>
      <c r="E152" s="218"/>
      <c r="F152" s="219">
        <v>1.7000000000000001E-2</v>
      </c>
      <c r="G152" s="219">
        <v>0.01</v>
      </c>
      <c r="H152" s="220"/>
      <c r="I152" s="221">
        <v>3</v>
      </c>
      <c r="J152" s="221">
        <v>2</v>
      </c>
      <c r="K152" s="218"/>
      <c r="L152" s="222">
        <v>4726.3046100000001</v>
      </c>
      <c r="M152" s="222">
        <v>1678.00008</v>
      </c>
      <c r="N152" s="222">
        <v>6404.3046899999999</v>
      </c>
      <c r="O152" s="217">
        <v>807.45822274664295</v>
      </c>
      <c r="P152" s="223">
        <v>287.5</v>
      </c>
      <c r="Q152" s="229">
        <v>2.80855033998832</v>
      </c>
      <c r="R152" s="230">
        <v>3914.22978484125</v>
      </c>
      <c r="S152" s="219">
        <v>0.01</v>
      </c>
      <c r="T152" s="219">
        <v>0.01</v>
      </c>
      <c r="U152" s="226">
        <v>0</v>
      </c>
      <c r="V152" s="227">
        <v>0</v>
      </c>
      <c r="W152" s="218"/>
      <c r="X152" s="226">
        <v>2932.4932050000002</v>
      </c>
      <c r="Y152" s="217">
        <v>369.73034016061303</v>
      </c>
      <c r="Z152" s="228">
        <v>573</v>
      </c>
      <c r="AA152" s="224">
        <v>0.64525364774976002</v>
      </c>
      <c r="AB152" s="225">
        <v>-2030.3343451077001</v>
      </c>
      <c r="AC152" s="219"/>
      <c r="AD152" s="219"/>
      <c r="AE152" s="227">
        <v>1613</v>
      </c>
      <c r="AF152" s="227">
        <v>2522</v>
      </c>
      <c r="AG152" s="218"/>
      <c r="AH152" s="231">
        <v>281.3</v>
      </c>
      <c r="AI152" s="217">
        <v>35.466457180479701</v>
      </c>
      <c r="AJ152" s="232" t="s">
        <v>53</v>
      </c>
      <c r="AK152" s="224">
        <v>0.56295963778539304</v>
      </c>
      <c r="AL152" s="225">
        <v>-264.35119660869998</v>
      </c>
      <c r="AM152" s="219"/>
      <c r="AN152" s="219"/>
      <c r="AO152" s="227">
        <v>219</v>
      </c>
      <c r="AP152" s="227">
        <v>319</v>
      </c>
      <c r="AQ152" s="218"/>
      <c r="AR152" s="231">
        <v>68.400000000000006</v>
      </c>
      <c r="AS152" s="217">
        <v>8.6239092468710101</v>
      </c>
      <c r="AT152" s="232" t="s">
        <v>54</v>
      </c>
      <c r="AU152" s="224">
        <v>0.53899432792943802</v>
      </c>
      <c r="AV152" s="225">
        <v>-70.178081678400005</v>
      </c>
      <c r="AW152" s="219"/>
      <c r="AX152" s="219"/>
      <c r="AY152" s="227">
        <v>59</v>
      </c>
      <c r="AZ152" s="227">
        <v>84</v>
      </c>
      <c r="BA152" s="218"/>
      <c r="BB152" s="235">
        <v>246.4</v>
      </c>
      <c r="BC152" s="231">
        <v>31.066246175862801</v>
      </c>
      <c r="BD152" s="232" t="s">
        <v>55</v>
      </c>
      <c r="BE152" s="233">
        <v>0.97082019299571298</v>
      </c>
      <c r="BF152" s="234">
        <v>-30.756163356799998</v>
      </c>
      <c r="BG152" s="219">
        <v>7.0000000000000001E-3</v>
      </c>
      <c r="BH152" s="219"/>
      <c r="BI152" s="227">
        <v>8</v>
      </c>
      <c r="BJ152" s="227">
        <v>59</v>
      </c>
      <c r="BK152" s="220"/>
      <c r="BL152" s="236">
        <v>0.8</v>
      </c>
      <c r="BM152" s="239">
        <v>0.76</v>
      </c>
      <c r="BN152" s="237"/>
      <c r="BO152" s="238">
        <v>0.95</v>
      </c>
      <c r="BP152" s="229">
        <v>1</v>
      </c>
      <c r="BQ152" s="237">
        <v>2.5000000000000001E-3</v>
      </c>
    </row>
    <row r="153" spans="1:69" s="207" customFormat="1" ht="22.35" customHeight="1" x14ac:dyDescent="0.2">
      <c r="A153" s="216" t="s">
        <v>175</v>
      </c>
      <c r="B153" s="216" t="s">
        <v>201</v>
      </c>
      <c r="C153" s="216" t="s">
        <v>214</v>
      </c>
      <c r="D153" s="217">
        <v>4.0442520443333301</v>
      </c>
      <c r="E153" s="218"/>
      <c r="F153" s="219">
        <v>0.06</v>
      </c>
      <c r="G153" s="219">
        <v>4.2999999999999997E-2</v>
      </c>
      <c r="H153" s="220"/>
      <c r="I153" s="221">
        <v>7</v>
      </c>
      <c r="J153" s="221">
        <v>6</v>
      </c>
      <c r="K153" s="218"/>
      <c r="L153" s="222">
        <v>-353.21111999999999</v>
      </c>
      <c r="M153" s="222">
        <v>1690.7227499999999</v>
      </c>
      <c r="N153" s="222">
        <v>1337.51163</v>
      </c>
      <c r="O153" s="217">
        <v>330.71915779187799</v>
      </c>
      <c r="P153" s="223">
        <v>232.012</v>
      </c>
      <c r="Q153" s="229">
        <v>1.42543988152284</v>
      </c>
      <c r="R153" s="230">
        <v>312.87164420162799</v>
      </c>
      <c r="S153" s="219">
        <v>0.01</v>
      </c>
      <c r="T153" s="219">
        <v>0.01</v>
      </c>
      <c r="U153" s="226">
        <v>0</v>
      </c>
      <c r="V153" s="227">
        <v>0</v>
      </c>
      <c r="W153" s="218"/>
      <c r="X153" s="226">
        <v>2377.2549549999999</v>
      </c>
      <c r="Y153" s="217">
        <v>587.81078155871296</v>
      </c>
      <c r="Z153" s="228">
        <v>573</v>
      </c>
      <c r="AA153" s="233">
        <v>1.0258477863153801</v>
      </c>
      <c r="AB153" s="234">
        <v>-153.29825717207399</v>
      </c>
      <c r="AC153" s="219">
        <v>1.2999999999999999E-2</v>
      </c>
      <c r="AD153" s="219">
        <v>3.0000000000000001E-3</v>
      </c>
      <c r="AE153" s="227">
        <v>0</v>
      </c>
      <c r="AF153" s="227">
        <v>404</v>
      </c>
      <c r="AG153" s="218"/>
      <c r="AH153" s="231">
        <v>248.7</v>
      </c>
      <c r="AI153" s="217">
        <v>61.494683633397599</v>
      </c>
      <c r="AJ153" s="232" t="s">
        <v>53</v>
      </c>
      <c r="AK153" s="233">
        <v>0.97610608941901</v>
      </c>
      <c r="AL153" s="234">
        <v>-29.528363641955799</v>
      </c>
      <c r="AM153" s="219">
        <v>7.0000000000000001E-3</v>
      </c>
      <c r="AN153" s="219"/>
      <c r="AO153" s="227">
        <v>7</v>
      </c>
      <c r="AP153" s="227">
        <v>58</v>
      </c>
      <c r="AQ153" s="218"/>
      <c r="AR153" s="231">
        <v>81.099999999999994</v>
      </c>
      <c r="AS153" s="217">
        <v>20.053151759825301</v>
      </c>
      <c r="AT153" s="232" t="s">
        <v>54</v>
      </c>
      <c r="AU153" s="229">
        <v>1.25332198498908</v>
      </c>
      <c r="AV153" s="230">
        <v>10.438828281408099</v>
      </c>
      <c r="AW153" s="219">
        <v>0.01</v>
      </c>
      <c r="AX153" s="219">
        <v>0.01</v>
      </c>
      <c r="AY153" s="227">
        <v>0</v>
      </c>
      <c r="AZ153" s="227">
        <v>0</v>
      </c>
      <c r="BA153" s="218"/>
      <c r="BB153" s="235">
        <v>196.4</v>
      </c>
      <c r="BC153" s="231">
        <v>48.562749761155203</v>
      </c>
      <c r="BD153" s="232" t="s">
        <v>55</v>
      </c>
      <c r="BE153" s="229">
        <v>1.5175859300361001</v>
      </c>
      <c r="BF153" s="230">
        <v>55.077656562816102</v>
      </c>
      <c r="BG153" s="219">
        <v>0.02</v>
      </c>
      <c r="BH153" s="219">
        <v>0.02</v>
      </c>
      <c r="BI153" s="227">
        <v>0</v>
      </c>
      <c r="BJ153" s="227">
        <v>0</v>
      </c>
      <c r="BK153" s="220"/>
      <c r="BL153" s="236">
        <v>0.8</v>
      </c>
      <c r="BM153" s="233">
        <v>0.82</v>
      </c>
      <c r="BN153" s="237">
        <v>7.5000000000000002E-4</v>
      </c>
      <c r="BO153" s="238">
        <v>0.95</v>
      </c>
      <c r="BP153" s="229">
        <v>1</v>
      </c>
      <c r="BQ153" s="237">
        <v>2.5000000000000001E-3</v>
      </c>
    </row>
    <row r="154" spans="1:69" s="207" customFormat="1" ht="22.35" customHeight="1" x14ac:dyDescent="0.2">
      <c r="A154" s="216" t="s">
        <v>175</v>
      </c>
      <c r="B154" s="216" t="s">
        <v>201</v>
      </c>
      <c r="C154" s="216" t="s">
        <v>215</v>
      </c>
      <c r="D154" s="217">
        <v>2.8994516252222202</v>
      </c>
      <c r="E154" s="218"/>
      <c r="F154" s="219">
        <v>7.8E-2</v>
      </c>
      <c r="G154" s="219">
        <v>5.7000000000000002E-2</v>
      </c>
      <c r="H154" s="220"/>
      <c r="I154" s="221">
        <v>6</v>
      </c>
      <c r="J154" s="221">
        <v>6</v>
      </c>
      <c r="K154" s="218"/>
      <c r="L154" s="222">
        <v>1534.7593199999999</v>
      </c>
      <c r="M154" s="222">
        <v>-826.44759999999997</v>
      </c>
      <c r="N154" s="222">
        <v>708.31172000000004</v>
      </c>
      <c r="O154" s="217">
        <v>244.291614951746</v>
      </c>
      <c r="P154" s="223">
        <v>221.65100000000001</v>
      </c>
      <c r="Q154" s="229">
        <v>1.1021453318584</v>
      </c>
      <c r="R154" s="230">
        <v>6.5200634171135299</v>
      </c>
      <c r="S154" s="219">
        <v>0.01</v>
      </c>
      <c r="T154" s="219">
        <v>5.0000000000000001E-3</v>
      </c>
      <c r="U154" s="226">
        <v>0</v>
      </c>
      <c r="V154" s="227">
        <v>63</v>
      </c>
      <c r="W154" s="218"/>
      <c r="X154" s="226">
        <v>1808.51594</v>
      </c>
      <c r="Y154" s="217">
        <v>623.74413294837802</v>
      </c>
      <c r="Z154" s="228">
        <v>573</v>
      </c>
      <c r="AA154" s="229">
        <v>1.08855869624499</v>
      </c>
      <c r="AB154" s="230">
        <v>-5.7173331275466799</v>
      </c>
      <c r="AC154" s="219">
        <v>0.02</v>
      </c>
      <c r="AD154" s="219">
        <v>8.9999999999999993E-3</v>
      </c>
      <c r="AE154" s="227">
        <v>0</v>
      </c>
      <c r="AF154" s="227">
        <v>186</v>
      </c>
      <c r="AG154" s="218"/>
      <c r="AH154" s="231">
        <v>225.95</v>
      </c>
      <c r="AI154" s="217">
        <v>77.928528979228105</v>
      </c>
      <c r="AJ154" s="232" t="s">
        <v>53</v>
      </c>
      <c r="AK154" s="229">
        <v>1.23696077744807</v>
      </c>
      <c r="AL154" s="230">
        <v>26.4793259912121</v>
      </c>
      <c r="AM154" s="219">
        <v>0.02</v>
      </c>
      <c r="AN154" s="219">
        <v>0.02</v>
      </c>
      <c r="AO154" s="227">
        <v>0</v>
      </c>
      <c r="AP154" s="227">
        <v>0</v>
      </c>
      <c r="AQ154" s="218"/>
      <c r="AR154" s="231">
        <v>49</v>
      </c>
      <c r="AS154" s="217">
        <v>16.899747377659601</v>
      </c>
      <c r="AT154" s="232" t="s">
        <v>54</v>
      </c>
      <c r="AU154" s="233">
        <v>1.05623421110372</v>
      </c>
      <c r="AV154" s="234">
        <v>-1.6592187958826401</v>
      </c>
      <c r="AW154" s="219">
        <v>8.0000000000000002E-3</v>
      </c>
      <c r="AX154" s="219">
        <v>3.0000000000000001E-3</v>
      </c>
      <c r="AY154" s="227">
        <v>0</v>
      </c>
      <c r="AZ154" s="227">
        <v>7</v>
      </c>
      <c r="BA154" s="218"/>
      <c r="BB154" s="235">
        <v>140.4</v>
      </c>
      <c r="BC154" s="231">
        <v>48.422949629049</v>
      </c>
      <c r="BD154" s="232" t="s">
        <v>55</v>
      </c>
      <c r="BE154" s="229">
        <v>1.5132171759077799</v>
      </c>
      <c r="BF154" s="230">
        <v>39.081562408234703</v>
      </c>
      <c r="BG154" s="219">
        <v>0.02</v>
      </c>
      <c r="BH154" s="219">
        <v>0.02</v>
      </c>
      <c r="BI154" s="227">
        <v>0</v>
      </c>
      <c r="BJ154" s="227">
        <v>0</v>
      </c>
      <c r="BK154" s="220"/>
      <c r="BL154" s="236">
        <v>0.8</v>
      </c>
      <c r="BM154" s="239">
        <v>0.72</v>
      </c>
      <c r="BN154" s="237"/>
      <c r="BO154" s="238">
        <v>0.95</v>
      </c>
      <c r="BP154" s="229">
        <v>1</v>
      </c>
      <c r="BQ154" s="237">
        <v>2.5000000000000001E-3</v>
      </c>
    </row>
    <row r="155" spans="1:69" s="207" customFormat="1" ht="22.35" customHeight="1" x14ac:dyDescent="0.2">
      <c r="A155" s="216" t="s">
        <v>175</v>
      </c>
      <c r="B155" s="216" t="s">
        <v>201</v>
      </c>
      <c r="C155" s="216" t="s">
        <v>216</v>
      </c>
      <c r="D155" s="217">
        <v>4.91139505655556</v>
      </c>
      <c r="E155" s="218"/>
      <c r="F155" s="219">
        <v>4.3999999999999997E-2</v>
      </c>
      <c r="G155" s="219">
        <v>2.5000000000000001E-2</v>
      </c>
      <c r="H155" s="220"/>
      <c r="I155" s="221">
        <v>6</v>
      </c>
      <c r="J155" s="221">
        <v>5</v>
      </c>
      <c r="K155" s="218"/>
      <c r="L155" s="222">
        <v>3166.7828</v>
      </c>
      <c r="M155" s="222">
        <v>2315.81349</v>
      </c>
      <c r="N155" s="222">
        <v>5482.5962900000004</v>
      </c>
      <c r="O155" s="217">
        <v>1116.3012192802601</v>
      </c>
      <c r="P155" s="223">
        <v>287.5</v>
      </c>
      <c r="Q155" s="229">
        <v>3.8827868496704698</v>
      </c>
      <c r="R155" s="230">
        <v>3940.66381199438</v>
      </c>
      <c r="S155" s="219">
        <v>0.01</v>
      </c>
      <c r="T155" s="219">
        <v>0.01</v>
      </c>
      <c r="U155" s="226">
        <v>0</v>
      </c>
      <c r="V155" s="227">
        <v>0</v>
      </c>
      <c r="W155" s="218"/>
      <c r="X155" s="226">
        <v>2706.737365</v>
      </c>
      <c r="Y155" s="217">
        <v>551.11375359372505</v>
      </c>
      <c r="Z155" s="228">
        <v>573</v>
      </c>
      <c r="AA155" s="233">
        <v>0.96180410749341305</v>
      </c>
      <c r="AB155" s="234">
        <v>-366.40110420771799</v>
      </c>
      <c r="AC155" s="219">
        <v>6.0000000000000001E-3</v>
      </c>
      <c r="AD155" s="219"/>
      <c r="AE155" s="227">
        <v>108</v>
      </c>
      <c r="AF155" s="227">
        <v>671</v>
      </c>
      <c r="AG155" s="218"/>
      <c r="AH155" s="231">
        <v>227.1</v>
      </c>
      <c r="AI155" s="217">
        <v>46.239408026620701</v>
      </c>
      <c r="AJ155" s="232" t="s">
        <v>53</v>
      </c>
      <c r="AK155" s="239">
        <v>0.73395885756540702</v>
      </c>
      <c r="AL155" s="222">
        <v>-110.784334310796</v>
      </c>
      <c r="AM155" s="219"/>
      <c r="AN155" s="219"/>
      <c r="AO155" s="227">
        <v>83</v>
      </c>
      <c r="AP155" s="227">
        <v>145</v>
      </c>
      <c r="AQ155" s="218"/>
      <c r="AR155" s="231">
        <v>89.2</v>
      </c>
      <c r="AS155" s="217">
        <v>18.161845865145601</v>
      </c>
      <c r="AT155" s="232" t="s">
        <v>54</v>
      </c>
      <c r="AU155" s="229">
        <v>1.1351153665716001</v>
      </c>
      <c r="AV155" s="230">
        <v>3.3881055718612698</v>
      </c>
      <c r="AW155" s="219">
        <v>0.01</v>
      </c>
      <c r="AX155" s="219">
        <v>7.0000000000000001E-3</v>
      </c>
      <c r="AY155" s="227">
        <v>0</v>
      </c>
      <c r="AZ155" s="227">
        <v>6</v>
      </c>
      <c r="BA155" s="218"/>
      <c r="BB155" s="235">
        <v>169.4</v>
      </c>
      <c r="BC155" s="231">
        <v>34.491218492776497</v>
      </c>
      <c r="BD155" s="232" t="s">
        <v>55</v>
      </c>
      <c r="BE155" s="233">
        <v>1.07785057789926</v>
      </c>
      <c r="BF155" s="234">
        <v>-2.2237888562774502</v>
      </c>
      <c r="BG155" s="219">
        <v>1.7999999999999999E-2</v>
      </c>
      <c r="BH155" s="219">
        <v>8.0000000000000002E-3</v>
      </c>
      <c r="BI155" s="227">
        <v>0</v>
      </c>
      <c r="BJ155" s="227">
        <v>20</v>
      </c>
      <c r="BK155" s="220"/>
      <c r="BL155" s="236">
        <v>0.8</v>
      </c>
      <c r="BM155" s="233">
        <v>0.81</v>
      </c>
      <c r="BN155" s="237">
        <v>3.7500000000000001E-4</v>
      </c>
      <c r="BO155" s="238">
        <v>0.95</v>
      </c>
      <c r="BP155" s="229">
        <v>1</v>
      </c>
      <c r="BQ155" s="237">
        <v>2.5000000000000001E-3</v>
      </c>
    </row>
    <row r="156" spans="1:69" s="207" customFormat="1" ht="22.35" customHeight="1" x14ac:dyDescent="0.2">
      <c r="A156" s="216" t="s">
        <v>175</v>
      </c>
      <c r="B156" s="216" t="s">
        <v>201</v>
      </c>
      <c r="C156" s="216" t="s">
        <v>217</v>
      </c>
      <c r="D156" s="217">
        <v>2.8078154285555601</v>
      </c>
      <c r="E156" s="218"/>
      <c r="F156" s="219">
        <v>5.5E-2</v>
      </c>
      <c r="G156" s="219">
        <v>4.4999999999999998E-2</v>
      </c>
      <c r="H156" s="220"/>
      <c r="I156" s="221">
        <v>6</v>
      </c>
      <c r="J156" s="221">
        <v>6</v>
      </c>
      <c r="K156" s="218"/>
      <c r="L156" s="222">
        <v>2283.7221199999999</v>
      </c>
      <c r="M156" s="222">
        <v>1748.0572999999999</v>
      </c>
      <c r="N156" s="222">
        <v>4031.7794199999998</v>
      </c>
      <c r="O156" s="217">
        <v>1435.9132651657601</v>
      </c>
      <c r="P156" s="223">
        <v>264.61399999999998</v>
      </c>
      <c r="Q156" s="229">
        <v>5.4264448032445696</v>
      </c>
      <c r="R156" s="230">
        <v>3220.4373191815098</v>
      </c>
      <c r="S156" s="219">
        <v>0.01</v>
      </c>
      <c r="T156" s="219">
        <v>0.01</v>
      </c>
      <c r="U156" s="226">
        <v>0</v>
      </c>
      <c r="V156" s="227">
        <v>0</v>
      </c>
      <c r="W156" s="218"/>
      <c r="X156" s="226">
        <v>1690.031385</v>
      </c>
      <c r="Y156" s="217">
        <v>601.90259224745898</v>
      </c>
      <c r="Z156" s="228">
        <v>573</v>
      </c>
      <c r="AA156" s="233">
        <v>1.0504408241665999</v>
      </c>
      <c r="AB156" s="234">
        <v>-66.863653694070805</v>
      </c>
      <c r="AC156" s="219">
        <v>1.4999999999999999E-2</v>
      </c>
      <c r="AD156" s="219">
        <v>5.0000000000000001E-3</v>
      </c>
      <c r="AE156" s="227">
        <v>0</v>
      </c>
      <c r="AF156" s="227">
        <v>241</v>
      </c>
      <c r="AG156" s="218"/>
      <c r="AH156" s="231">
        <v>159.30000000000001</v>
      </c>
      <c r="AI156" s="217">
        <v>56.734498421767597</v>
      </c>
      <c r="AJ156" s="232" t="s">
        <v>53</v>
      </c>
      <c r="AK156" s="239">
        <v>0.90054759399631201</v>
      </c>
      <c r="AL156" s="222">
        <v>-33.866470222908298</v>
      </c>
      <c r="AM156" s="219"/>
      <c r="AN156" s="219"/>
      <c r="AO156" s="227">
        <v>18</v>
      </c>
      <c r="AP156" s="227">
        <v>53</v>
      </c>
      <c r="AQ156" s="218"/>
      <c r="AR156" s="231">
        <v>77.400000000000006</v>
      </c>
      <c r="AS156" s="217">
        <v>27.565914487412499</v>
      </c>
      <c r="AT156" s="232" t="s">
        <v>54</v>
      </c>
      <c r="AU156" s="229">
        <v>1.7228696554632801</v>
      </c>
      <c r="AV156" s="230">
        <v>28.3418488322773</v>
      </c>
      <c r="AW156" s="219">
        <v>0.01</v>
      </c>
      <c r="AX156" s="219">
        <v>0.01</v>
      </c>
      <c r="AY156" s="227">
        <v>0</v>
      </c>
      <c r="AZ156" s="227">
        <v>0</v>
      </c>
      <c r="BA156" s="218"/>
      <c r="BB156" s="235">
        <v>175.2</v>
      </c>
      <c r="BC156" s="231">
        <v>62.397263800964801</v>
      </c>
      <c r="BD156" s="232" t="s">
        <v>55</v>
      </c>
      <c r="BE156" s="229">
        <v>1.94991449378015</v>
      </c>
      <c r="BF156" s="230">
        <v>77.083697664554506</v>
      </c>
      <c r="BG156" s="219">
        <v>0.02</v>
      </c>
      <c r="BH156" s="219">
        <v>0.02</v>
      </c>
      <c r="BI156" s="227">
        <v>0</v>
      </c>
      <c r="BJ156" s="227">
        <v>0</v>
      </c>
      <c r="BK156" s="220"/>
      <c r="BL156" s="236">
        <v>0.8</v>
      </c>
      <c r="BM156" s="233">
        <v>0.82</v>
      </c>
      <c r="BN156" s="237">
        <v>7.5000000000000002E-4</v>
      </c>
      <c r="BO156" s="238">
        <v>0.95</v>
      </c>
      <c r="BP156" s="229">
        <v>1</v>
      </c>
      <c r="BQ156" s="237">
        <v>2.5000000000000001E-3</v>
      </c>
    </row>
    <row r="157" spans="1:69" s="207" customFormat="1" ht="22.35" customHeight="1" x14ac:dyDescent="0.2">
      <c r="A157" s="216" t="s">
        <v>175</v>
      </c>
      <c r="B157" s="216" t="s">
        <v>201</v>
      </c>
      <c r="C157" s="216" t="s">
        <v>218</v>
      </c>
      <c r="D157" s="217">
        <v>8.1451756455555593</v>
      </c>
      <c r="E157" s="218"/>
      <c r="F157" s="219">
        <v>4.5999999999999999E-2</v>
      </c>
      <c r="G157" s="219">
        <v>3.3000000000000002E-2</v>
      </c>
      <c r="H157" s="220"/>
      <c r="I157" s="221">
        <v>6</v>
      </c>
      <c r="J157" s="221">
        <v>5</v>
      </c>
      <c r="K157" s="218"/>
      <c r="L157" s="222">
        <v>5178.5259699999997</v>
      </c>
      <c r="M157" s="222">
        <v>4744.3244800000002</v>
      </c>
      <c r="N157" s="222">
        <v>9922.8504499999999</v>
      </c>
      <c r="O157" s="217">
        <v>1218.2487992649301</v>
      </c>
      <c r="P157" s="223">
        <v>241.934</v>
      </c>
      <c r="Q157" s="229">
        <v>5.03545925444514</v>
      </c>
      <c r="R157" s="230">
        <v>7770.9607923020303</v>
      </c>
      <c r="S157" s="219">
        <v>0.01</v>
      </c>
      <c r="T157" s="219">
        <v>0.01</v>
      </c>
      <c r="U157" s="226">
        <v>0</v>
      </c>
      <c r="V157" s="227">
        <v>0</v>
      </c>
      <c r="W157" s="218"/>
      <c r="X157" s="226">
        <v>4793.1490100000001</v>
      </c>
      <c r="Y157" s="217">
        <v>588.46478192467202</v>
      </c>
      <c r="Z157" s="228">
        <v>573</v>
      </c>
      <c r="AA157" s="233">
        <v>1.0269891482105999</v>
      </c>
      <c r="AB157" s="234">
        <v>-303.417714234443</v>
      </c>
      <c r="AC157" s="219">
        <v>1.2999999999999999E-2</v>
      </c>
      <c r="AD157" s="219">
        <v>3.0000000000000001E-3</v>
      </c>
      <c r="AE157" s="227">
        <v>0</v>
      </c>
      <c r="AF157" s="227">
        <v>808</v>
      </c>
      <c r="AG157" s="218"/>
      <c r="AH157" s="231">
        <v>454.3</v>
      </c>
      <c r="AI157" s="217">
        <v>55.775347244708001</v>
      </c>
      <c r="AJ157" s="232" t="s">
        <v>53</v>
      </c>
      <c r="AK157" s="239">
        <v>0.88532297213822198</v>
      </c>
      <c r="AL157" s="222">
        <v>-106.05550371164</v>
      </c>
      <c r="AM157" s="219"/>
      <c r="AN157" s="219"/>
      <c r="AO157" s="227">
        <v>59</v>
      </c>
      <c r="AP157" s="227">
        <v>162</v>
      </c>
      <c r="AQ157" s="218"/>
      <c r="AR157" s="231">
        <v>125.4</v>
      </c>
      <c r="AS157" s="217">
        <v>15.395616430742599</v>
      </c>
      <c r="AT157" s="232" t="s">
        <v>54</v>
      </c>
      <c r="AU157" s="233">
        <v>0.96222602692141501</v>
      </c>
      <c r="AV157" s="234">
        <v>-16.912508879146799</v>
      </c>
      <c r="AW157" s="219">
        <v>3.0000000000000001E-3</v>
      </c>
      <c r="AX157" s="219"/>
      <c r="AY157" s="227">
        <v>5</v>
      </c>
      <c r="AZ157" s="227">
        <v>31</v>
      </c>
      <c r="BA157" s="218"/>
      <c r="BB157" s="235">
        <v>329.2</v>
      </c>
      <c r="BC157" s="231">
        <v>40.416562432220701</v>
      </c>
      <c r="BD157" s="232" t="s">
        <v>55</v>
      </c>
      <c r="BE157" s="229">
        <v>1.2630175760069</v>
      </c>
      <c r="BF157" s="230">
        <v>44.574982241706401</v>
      </c>
      <c r="BG157" s="219">
        <v>0.02</v>
      </c>
      <c r="BH157" s="219">
        <v>0.02</v>
      </c>
      <c r="BI157" s="227">
        <v>0</v>
      </c>
      <c r="BJ157" s="227">
        <v>0</v>
      </c>
      <c r="BK157" s="220"/>
      <c r="BL157" s="236">
        <v>0.8</v>
      </c>
      <c r="BM157" s="233">
        <v>0.81</v>
      </c>
      <c r="BN157" s="237">
        <v>3.7500000000000001E-4</v>
      </c>
      <c r="BO157" s="238">
        <v>0.95</v>
      </c>
      <c r="BP157" s="229">
        <v>1</v>
      </c>
      <c r="BQ157" s="237">
        <v>2.5000000000000001E-3</v>
      </c>
    </row>
    <row r="158" spans="1:69" s="207" customFormat="1" ht="22.35" customHeight="1" x14ac:dyDescent="0.2">
      <c r="A158" s="216" t="s">
        <v>175</v>
      </c>
      <c r="B158" s="216" t="s">
        <v>201</v>
      </c>
      <c r="C158" s="216" t="s">
        <v>219</v>
      </c>
      <c r="D158" s="217">
        <v>4.9912352884444404</v>
      </c>
      <c r="E158" s="218"/>
      <c r="F158" s="219">
        <v>0.05</v>
      </c>
      <c r="G158" s="219">
        <v>4.3999999999999997E-2</v>
      </c>
      <c r="H158" s="220"/>
      <c r="I158" s="221">
        <v>5</v>
      </c>
      <c r="J158" s="221">
        <v>5</v>
      </c>
      <c r="K158" s="218"/>
      <c r="L158" s="222">
        <v>6993.5192699999998</v>
      </c>
      <c r="M158" s="222">
        <v>8301.7693899999995</v>
      </c>
      <c r="N158" s="222">
        <v>15295.28866</v>
      </c>
      <c r="O158" s="217">
        <v>3064.4295001301998</v>
      </c>
      <c r="P158" s="223">
        <v>267.06299999999999</v>
      </c>
      <c r="Q158" s="229">
        <v>11.4745565657923</v>
      </c>
      <c r="R158" s="230">
        <v>13839.680757337101</v>
      </c>
      <c r="S158" s="219">
        <v>0.01</v>
      </c>
      <c r="T158" s="219">
        <v>0.01</v>
      </c>
      <c r="U158" s="226">
        <v>0</v>
      </c>
      <c r="V158" s="227">
        <v>0</v>
      </c>
      <c r="W158" s="218"/>
      <c r="X158" s="226">
        <v>3272.9072700000002</v>
      </c>
      <c r="Y158" s="217">
        <v>655.730912461157</v>
      </c>
      <c r="Z158" s="228">
        <v>573</v>
      </c>
      <c r="AA158" s="229">
        <v>1.14438204618003</v>
      </c>
      <c r="AB158" s="230">
        <v>149.811490255699</v>
      </c>
      <c r="AC158" s="219">
        <v>0.02</v>
      </c>
      <c r="AD158" s="219">
        <v>1.4E-2</v>
      </c>
      <c r="AE158" s="227">
        <v>0</v>
      </c>
      <c r="AF158" s="227">
        <v>160</v>
      </c>
      <c r="AG158" s="218"/>
      <c r="AH158" s="231">
        <v>267.10000000000002</v>
      </c>
      <c r="AI158" s="217">
        <v>53.513806615845503</v>
      </c>
      <c r="AJ158" s="232" t="s">
        <v>53</v>
      </c>
      <c r="AK158" s="239">
        <v>0.84942550183881804</v>
      </c>
      <c r="AL158" s="222">
        <v>-76.277022903823607</v>
      </c>
      <c r="AM158" s="219"/>
      <c r="AN158" s="219"/>
      <c r="AO158" s="227">
        <v>48</v>
      </c>
      <c r="AP158" s="227">
        <v>111</v>
      </c>
      <c r="AQ158" s="218"/>
      <c r="AR158" s="231">
        <v>57.4</v>
      </c>
      <c r="AS158" s="217">
        <v>11.5001591154981</v>
      </c>
      <c r="AT158" s="232" t="s">
        <v>54</v>
      </c>
      <c r="AU158" s="224">
        <v>0.71875994471862903</v>
      </c>
      <c r="AV158" s="225">
        <v>-29.806862959701299</v>
      </c>
      <c r="AW158" s="219"/>
      <c r="AX158" s="219"/>
      <c r="AY158" s="227">
        <v>23</v>
      </c>
      <c r="AZ158" s="227">
        <v>39</v>
      </c>
      <c r="BA158" s="218"/>
      <c r="BB158" s="235">
        <v>230</v>
      </c>
      <c r="BC158" s="231">
        <v>46.080776943633403</v>
      </c>
      <c r="BD158" s="232" t="s">
        <v>55</v>
      </c>
      <c r="BE158" s="229">
        <v>1.4400242794885401</v>
      </c>
      <c r="BF158" s="230">
        <v>55.586274080597498</v>
      </c>
      <c r="BG158" s="219">
        <v>0.02</v>
      </c>
      <c r="BH158" s="219">
        <v>0.02</v>
      </c>
      <c r="BI158" s="227">
        <v>0</v>
      </c>
      <c r="BJ158" s="227">
        <v>0</v>
      </c>
      <c r="BK158" s="220"/>
      <c r="BL158" s="236">
        <v>0.8</v>
      </c>
      <c r="BM158" s="233">
        <v>0.82</v>
      </c>
      <c r="BN158" s="237">
        <v>7.5000000000000002E-4</v>
      </c>
      <c r="BO158" s="238">
        <v>0.95</v>
      </c>
      <c r="BP158" s="229">
        <v>1</v>
      </c>
      <c r="BQ158" s="237">
        <v>2.5000000000000001E-3</v>
      </c>
    </row>
    <row r="159" spans="1:69" s="207" customFormat="1" ht="22.35" customHeight="1" x14ac:dyDescent="0.2">
      <c r="A159" s="216" t="s">
        <v>220</v>
      </c>
      <c r="B159" s="216" t="s">
        <v>221</v>
      </c>
      <c r="C159" s="216" t="s">
        <v>222</v>
      </c>
      <c r="D159" s="217">
        <v>2.5021163648888902</v>
      </c>
      <c r="E159" s="218"/>
      <c r="F159" s="219">
        <v>1.6E-2</v>
      </c>
      <c r="G159" s="219">
        <v>0.01</v>
      </c>
      <c r="H159" s="220"/>
      <c r="I159" s="221">
        <v>3</v>
      </c>
      <c r="J159" s="221">
        <v>2</v>
      </c>
      <c r="K159" s="218"/>
      <c r="L159" s="222">
        <v>927.55918999999994</v>
      </c>
      <c r="M159" s="222">
        <v>978.33536000000004</v>
      </c>
      <c r="N159" s="222">
        <v>1905.89455</v>
      </c>
      <c r="O159" s="217">
        <v>761.71299494483503</v>
      </c>
      <c r="P159" s="223">
        <v>242.67599999999999</v>
      </c>
      <c r="Q159" s="229">
        <v>3.13880645364533</v>
      </c>
      <c r="R159" s="230">
        <v>1242.82822866537</v>
      </c>
      <c r="S159" s="219">
        <v>0.01</v>
      </c>
      <c r="T159" s="219">
        <v>0.01</v>
      </c>
      <c r="U159" s="226">
        <v>0</v>
      </c>
      <c r="V159" s="227">
        <v>0</v>
      </c>
      <c r="W159" s="218"/>
      <c r="X159" s="226">
        <v>1382.69615</v>
      </c>
      <c r="Y159" s="217">
        <v>552.61064968950802</v>
      </c>
      <c r="Z159" s="228">
        <v>573</v>
      </c>
      <c r="AA159" s="233">
        <v>0.96441649160472698</v>
      </c>
      <c r="AB159" s="234">
        <v>-182.918093372817</v>
      </c>
      <c r="AC159" s="219">
        <v>6.0000000000000001E-3</v>
      </c>
      <c r="AD159" s="219"/>
      <c r="AE159" s="227">
        <v>52</v>
      </c>
      <c r="AF159" s="227">
        <v>338</v>
      </c>
      <c r="AG159" s="218"/>
      <c r="AH159" s="231">
        <v>122.7</v>
      </c>
      <c r="AI159" s="217">
        <v>49.038486667445099</v>
      </c>
      <c r="AJ159" s="232" t="s">
        <v>53</v>
      </c>
      <c r="AK159" s="239">
        <v>0.778388677261033</v>
      </c>
      <c r="AL159" s="222">
        <v>-49.435597438896103</v>
      </c>
      <c r="AM159" s="219"/>
      <c r="AN159" s="219"/>
      <c r="AO159" s="227">
        <v>35</v>
      </c>
      <c r="AP159" s="227">
        <v>67</v>
      </c>
      <c r="AQ159" s="218"/>
      <c r="AR159" s="231">
        <v>19.399999999999999</v>
      </c>
      <c r="AS159" s="217">
        <v>7.7534363598079503</v>
      </c>
      <c r="AT159" s="232" t="s">
        <v>54</v>
      </c>
      <c r="AU159" s="224">
        <v>0.48458977248799701</v>
      </c>
      <c r="AV159" s="225">
        <v>-24.316977127338699</v>
      </c>
      <c r="AW159" s="219"/>
      <c r="AX159" s="219"/>
      <c r="AY159" s="227">
        <v>21</v>
      </c>
      <c r="AZ159" s="227">
        <v>29</v>
      </c>
      <c r="BA159" s="218"/>
      <c r="BB159" s="235">
        <v>54</v>
      </c>
      <c r="BC159" s="231">
        <v>21.581730073692199</v>
      </c>
      <c r="BD159" s="232" t="s">
        <v>55</v>
      </c>
      <c r="BE159" s="224">
        <v>0.67442906480288201</v>
      </c>
      <c r="BF159" s="225">
        <v>-33.433954254677403</v>
      </c>
      <c r="BG159" s="219"/>
      <c r="BH159" s="219"/>
      <c r="BI159" s="227">
        <v>27</v>
      </c>
      <c r="BJ159" s="227">
        <v>43</v>
      </c>
      <c r="BK159" s="220"/>
      <c r="BL159" s="236">
        <v>0.8</v>
      </c>
      <c r="BM159" s="239">
        <v>0.78</v>
      </c>
      <c r="BN159" s="237"/>
      <c r="BO159" s="238">
        <v>0.95</v>
      </c>
      <c r="BP159" s="229">
        <v>1</v>
      </c>
      <c r="BQ159" s="237">
        <v>2.5000000000000001E-3</v>
      </c>
    </row>
    <row r="160" spans="1:69" s="207" customFormat="1" ht="22.35" customHeight="1" x14ac:dyDescent="0.2">
      <c r="A160" s="216" t="s">
        <v>220</v>
      </c>
      <c r="B160" s="216" t="s">
        <v>221</v>
      </c>
      <c r="C160" s="216" t="s">
        <v>223</v>
      </c>
      <c r="D160" s="217">
        <v>1.37464506811111</v>
      </c>
      <c r="E160" s="218"/>
      <c r="F160" s="219">
        <v>2.5000000000000001E-2</v>
      </c>
      <c r="G160" s="219">
        <v>1.4E-2</v>
      </c>
      <c r="H160" s="220"/>
      <c r="I160" s="221">
        <v>3</v>
      </c>
      <c r="J160" s="221">
        <v>3</v>
      </c>
      <c r="K160" s="218"/>
      <c r="L160" s="222">
        <v>1058.91444</v>
      </c>
      <c r="M160" s="222">
        <v>-170.2895</v>
      </c>
      <c r="N160" s="222">
        <v>888.62494000000004</v>
      </c>
      <c r="O160" s="217">
        <v>646.43955055325796</v>
      </c>
      <c r="P160" s="223">
        <v>219.79400000000001</v>
      </c>
      <c r="Q160" s="229">
        <v>2.9411155470725201</v>
      </c>
      <c r="R160" s="230">
        <v>558.68943799434896</v>
      </c>
      <c r="S160" s="219">
        <v>0.01</v>
      </c>
      <c r="T160" s="219">
        <v>0.01</v>
      </c>
      <c r="U160" s="226">
        <v>0</v>
      </c>
      <c r="V160" s="227">
        <v>0</v>
      </c>
      <c r="W160" s="218"/>
      <c r="X160" s="226">
        <v>821.34510499999999</v>
      </c>
      <c r="Y160" s="217">
        <v>597.49612758484898</v>
      </c>
      <c r="Z160" s="228">
        <v>573</v>
      </c>
      <c r="AA160" s="233">
        <v>1.04275065896134</v>
      </c>
      <c r="AB160" s="234">
        <v>-38.7923084382113</v>
      </c>
      <c r="AC160" s="219">
        <v>1.4999999999999999E-2</v>
      </c>
      <c r="AD160" s="219">
        <v>4.0000000000000001E-3</v>
      </c>
      <c r="AE160" s="227">
        <v>0</v>
      </c>
      <c r="AF160" s="227">
        <v>124</v>
      </c>
      <c r="AG160" s="218"/>
      <c r="AH160" s="231">
        <v>70.7</v>
      </c>
      <c r="AI160" s="217">
        <v>51.431457937828498</v>
      </c>
      <c r="AJ160" s="232" t="s">
        <v>53</v>
      </c>
      <c r="AK160" s="239">
        <v>0.8163723482195</v>
      </c>
      <c r="AL160" s="222">
        <v>-23.8700821057719</v>
      </c>
      <c r="AM160" s="219"/>
      <c r="AN160" s="219"/>
      <c r="AO160" s="227">
        <v>16</v>
      </c>
      <c r="AP160" s="227">
        <v>34</v>
      </c>
      <c r="AQ160" s="218"/>
      <c r="AR160" s="231">
        <v>10.6</v>
      </c>
      <c r="AS160" s="217">
        <v>7.7110813881327003</v>
      </c>
      <c r="AT160" s="232" t="s">
        <v>54</v>
      </c>
      <c r="AU160" s="224">
        <v>0.48194258675829399</v>
      </c>
      <c r="AV160" s="225">
        <v>-13.4177986300373</v>
      </c>
      <c r="AW160" s="219"/>
      <c r="AX160" s="219"/>
      <c r="AY160" s="227">
        <v>12</v>
      </c>
      <c r="AZ160" s="227">
        <v>16</v>
      </c>
      <c r="BA160" s="218"/>
      <c r="BB160" s="235">
        <v>31.8</v>
      </c>
      <c r="BC160" s="231">
        <v>23.1332441643981</v>
      </c>
      <c r="BD160" s="232" t="s">
        <v>55</v>
      </c>
      <c r="BE160" s="224">
        <v>0.72291388013744096</v>
      </c>
      <c r="BF160" s="225">
        <v>-16.235597260074599</v>
      </c>
      <c r="BG160" s="219"/>
      <c r="BH160" s="219"/>
      <c r="BI160" s="227">
        <v>13</v>
      </c>
      <c r="BJ160" s="227">
        <v>21</v>
      </c>
      <c r="BK160" s="220"/>
      <c r="BL160" s="236">
        <v>0.8</v>
      </c>
      <c r="BM160" s="239">
        <v>0.77</v>
      </c>
      <c r="BN160" s="237"/>
      <c r="BO160" s="238">
        <v>0.95</v>
      </c>
      <c r="BP160" s="229">
        <v>1</v>
      </c>
      <c r="BQ160" s="237">
        <v>2.5000000000000001E-3</v>
      </c>
    </row>
    <row r="161" spans="1:69" s="207" customFormat="1" ht="22.35" customHeight="1" x14ac:dyDescent="0.2">
      <c r="A161" s="216" t="s">
        <v>220</v>
      </c>
      <c r="B161" s="216" t="s">
        <v>221</v>
      </c>
      <c r="C161" s="216" t="s">
        <v>224</v>
      </c>
      <c r="D161" s="217">
        <v>2.7294855338888899</v>
      </c>
      <c r="E161" s="218"/>
      <c r="F161" s="219">
        <v>4.2999999999999997E-2</v>
      </c>
      <c r="G161" s="219">
        <v>2.1999999999999999E-2</v>
      </c>
      <c r="H161" s="220"/>
      <c r="I161" s="221">
        <v>4</v>
      </c>
      <c r="J161" s="221">
        <v>4</v>
      </c>
      <c r="K161" s="218"/>
      <c r="L161" s="222">
        <v>1181.72991</v>
      </c>
      <c r="M161" s="222">
        <v>876.2088</v>
      </c>
      <c r="N161" s="222">
        <v>2057.9387099999999</v>
      </c>
      <c r="O161" s="217">
        <v>753.96578748959701</v>
      </c>
      <c r="P161" s="223">
        <v>219.79400000000001</v>
      </c>
      <c r="Q161" s="229">
        <v>3.4303292514336001</v>
      </c>
      <c r="R161" s="230">
        <v>1402.8211085683499</v>
      </c>
      <c r="S161" s="219">
        <v>0.01</v>
      </c>
      <c r="T161" s="219">
        <v>0.01</v>
      </c>
      <c r="U161" s="226">
        <v>0</v>
      </c>
      <c r="V161" s="227">
        <v>0</v>
      </c>
      <c r="W161" s="218"/>
      <c r="X161" s="226">
        <v>1628.1337149999999</v>
      </c>
      <c r="Y161" s="217">
        <v>596.49838578931201</v>
      </c>
      <c r="Z161" s="228">
        <v>573</v>
      </c>
      <c r="AA161" s="233">
        <v>1.0410093992832701</v>
      </c>
      <c r="AB161" s="234">
        <v>-79.749055322820794</v>
      </c>
      <c r="AC161" s="219">
        <v>1.4E-2</v>
      </c>
      <c r="AD161" s="219">
        <v>4.0000000000000001E-3</v>
      </c>
      <c r="AE161" s="227">
        <v>0</v>
      </c>
      <c r="AF161" s="227">
        <v>249</v>
      </c>
      <c r="AG161" s="218"/>
      <c r="AH161" s="231">
        <v>70.7</v>
      </c>
      <c r="AI161" s="217">
        <v>25.902317166440099</v>
      </c>
      <c r="AJ161" s="232" t="s">
        <v>53</v>
      </c>
      <c r="AK161" s="224">
        <v>0.41114789153079501</v>
      </c>
      <c r="AL161" s="225">
        <v>-117.07768678942</v>
      </c>
      <c r="AM161" s="219"/>
      <c r="AN161" s="219"/>
      <c r="AO161" s="227">
        <v>102</v>
      </c>
      <c r="AP161" s="227">
        <v>136</v>
      </c>
      <c r="AQ161" s="218"/>
      <c r="AR161" s="231">
        <v>21.6</v>
      </c>
      <c r="AS161" s="217">
        <v>7.91357921916698</v>
      </c>
      <c r="AT161" s="232" t="s">
        <v>54</v>
      </c>
      <c r="AU161" s="224">
        <v>0.49459870119793597</v>
      </c>
      <c r="AV161" s="225">
        <v>-26.089571248106701</v>
      </c>
      <c r="AW161" s="219"/>
      <c r="AX161" s="219"/>
      <c r="AY161" s="227">
        <v>23</v>
      </c>
      <c r="AZ161" s="227">
        <v>31</v>
      </c>
      <c r="BA161" s="218"/>
      <c r="BB161" s="235">
        <v>94.6</v>
      </c>
      <c r="BC161" s="231">
        <v>34.658546024685002</v>
      </c>
      <c r="BD161" s="232" t="s">
        <v>55</v>
      </c>
      <c r="BE161" s="233">
        <v>1.0830795632714101</v>
      </c>
      <c r="BF161" s="234">
        <v>-0.77914249621338205</v>
      </c>
      <c r="BG161" s="219">
        <v>1.9E-2</v>
      </c>
      <c r="BH161" s="219">
        <v>8.0000000000000002E-3</v>
      </c>
      <c r="BI161" s="227">
        <v>0</v>
      </c>
      <c r="BJ161" s="227">
        <v>11</v>
      </c>
      <c r="BK161" s="220"/>
      <c r="BL161" s="236">
        <v>0.8</v>
      </c>
      <c r="BM161" s="239">
        <v>0.8</v>
      </c>
      <c r="BN161" s="237">
        <v>0</v>
      </c>
      <c r="BO161" s="238">
        <v>0.95</v>
      </c>
      <c r="BP161" s="229">
        <v>1</v>
      </c>
      <c r="BQ161" s="237">
        <v>2.5000000000000001E-3</v>
      </c>
    </row>
    <row r="162" spans="1:69" s="207" customFormat="1" ht="22.35" customHeight="1" x14ac:dyDescent="0.2">
      <c r="A162" s="216" t="s">
        <v>220</v>
      </c>
      <c r="B162" s="216" t="s">
        <v>221</v>
      </c>
      <c r="C162" s="216" t="s">
        <v>225</v>
      </c>
      <c r="D162" s="217">
        <v>1.1783439328888901</v>
      </c>
      <c r="E162" s="218"/>
      <c r="F162" s="219">
        <v>0.05</v>
      </c>
      <c r="G162" s="219">
        <v>0.04</v>
      </c>
      <c r="H162" s="220"/>
      <c r="I162" s="221">
        <v>5</v>
      </c>
      <c r="J162" s="221">
        <v>5</v>
      </c>
      <c r="K162" s="218"/>
      <c r="L162" s="222">
        <v>1061.19625</v>
      </c>
      <c r="M162" s="222">
        <v>534.88809000000003</v>
      </c>
      <c r="N162" s="222">
        <v>1596.0843400000001</v>
      </c>
      <c r="O162" s="217">
        <v>1354.51483684136</v>
      </c>
      <c r="P162" s="223">
        <v>224.79599999999999</v>
      </c>
      <c r="Q162" s="229">
        <v>6.0255290878901802</v>
      </c>
      <c r="R162" s="230">
        <v>1306.8277330104399</v>
      </c>
      <c r="S162" s="219">
        <v>0.01</v>
      </c>
      <c r="T162" s="219">
        <v>0.01</v>
      </c>
      <c r="U162" s="226">
        <v>0</v>
      </c>
      <c r="V162" s="227">
        <v>0</v>
      </c>
      <c r="W162" s="218"/>
      <c r="X162" s="226">
        <v>555.61907499999995</v>
      </c>
      <c r="Y162" s="217">
        <v>471.52538362701603</v>
      </c>
      <c r="Z162" s="228">
        <v>573</v>
      </c>
      <c r="AA162" s="239">
        <v>0.82290642866843899</v>
      </c>
      <c r="AB162" s="222">
        <v>-181.68957731150499</v>
      </c>
      <c r="AC162" s="219"/>
      <c r="AD162" s="219"/>
      <c r="AE162" s="227">
        <v>120</v>
      </c>
      <c r="AF162" s="227">
        <v>255</v>
      </c>
      <c r="AG162" s="218"/>
      <c r="AH162" s="231">
        <v>81.400000000000006</v>
      </c>
      <c r="AI162" s="217">
        <v>69.080000947122102</v>
      </c>
      <c r="AJ162" s="232" t="s">
        <v>53</v>
      </c>
      <c r="AK162" s="229">
        <v>1.0965079515416201</v>
      </c>
      <c r="AL162" s="230">
        <v>0.33465079297593497</v>
      </c>
      <c r="AM162" s="219">
        <v>0.02</v>
      </c>
      <c r="AN162" s="219">
        <v>0.01</v>
      </c>
      <c r="AO162" s="227">
        <v>0</v>
      </c>
      <c r="AP162" s="227">
        <v>8</v>
      </c>
      <c r="AQ162" s="218"/>
      <c r="AR162" s="231">
        <v>9.6</v>
      </c>
      <c r="AS162" s="217">
        <v>8.14702713872693</v>
      </c>
      <c r="AT162" s="232" t="s">
        <v>54</v>
      </c>
      <c r="AU162" s="224">
        <v>0.50918919617043301</v>
      </c>
      <c r="AV162" s="225">
        <v>-10.9880251954347</v>
      </c>
      <c r="AW162" s="219"/>
      <c r="AX162" s="219"/>
      <c r="AY162" s="227">
        <v>10</v>
      </c>
      <c r="AZ162" s="227">
        <v>14</v>
      </c>
      <c r="BA162" s="218"/>
      <c r="BB162" s="235">
        <v>46.4</v>
      </c>
      <c r="BC162" s="231">
        <v>39.377297837180201</v>
      </c>
      <c r="BD162" s="232" t="s">
        <v>55</v>
      </c>
      <c r="BE162" s="229">
        <v>1.23054055741188</v>
      </c>
      <c r="BF162" s="230">
        <v>5.2239496091306297</v>
      </c>
      <c r="BG162" s="219">
        <v>0.02</v>
      </c>
      <c r="BH162" s="219">
        <v>0.02</v>
      </c>
      <c r="BI162" s="227">
        <v>0</v>
      </c>
      <c r="BJ162" s="227">
        <v>0</v>
      </c>
      <c r="BK162" s="220"/>
      <c r="BL162" s="236">
        <v>0.8</v>
      </c>
      <c r="BM162" s="233">
        <v>0.83</v>
      </c>
      <c r="BN162" s="237">
        <v>1.1249999999999999E-3</v>
      </c>
      <c r="BO162" s="238">
        <v>0.95</v>
      </c>
      <c r="BP162" s="229">
        <v>1</v>
      </c>
      <c r="BQ162" s="237">
        <v>2.5000000000000001E-3</v>
      </c>
    </row>
    <row r="163" spans="1:69" s="207" customFormat="1" ht="22.35" customHeight="1" x14ac:dyDescent="0.2">
      <c r="A163" s="216" t="s">
        <v>220</v>
      </c>
      <c r="B163" s="216" t="s">
        <v>221</v>
      </c>
      <c r="C163" s="216" t="s">
        <v>226</v>
      </c>
      <c r="D163" s="217">
        <v>3.1786816065555601</v>
      </c>
      <c r="E163" s="218"/>
      <c r="F163" s="219">
        <v>0.08</v>
      </c>
      <c r="G163" s="219">
        <v>0.08</v>
      </c>
      <c r="H163" s="220"/>
      <c r="I163" s="221">
        <v>6</v>
      </c>
      <c r="J163" s="221">
        <v>6</v>
      </c>
      <c r="K163" s="218"/>
      <c r="L163" s="222">
        <v>3230.8780900000002</v>
      </c>
      <c r="M163" s="222">
        <v>-286.78075000000001</v>
      </c>
      <c r="N163" s="222">
        <v>2944.0973399999998</v>
      </c>
      <c r="O163" s="217">
        <v>926.20076635805196</v>
      </c>
      <c r="P163" s="223">
        <v>239.25899999999999</v>
      </c>
      <c r="Q163" s="229">
        <v>3.8711219488422701</v>
      </c>
      <c r="R163" s="230">
        <v>2113.60056470686</v>
      </c>
      <c r="S163" s="219">
        <v>0.01</v>
      </c>
      <c r="T163" s="219">
        <v>0.01</v>
      </c>
      <c r="U163" s="226">
        <v>0</v>
      </c>
      <c r="V163" s="227">
        <v>0</v>
      </c>
      <c r="W163" s="218"/>
      <c r="X163" s="226">
        <v>2544.5034099999998</v>
      </c>
      <c r="Y163" s="217">
        <v>800.49017956134503</v>
      </c>
      <c r="Z163" s="228">
        <v>573</v>
      </c>
      <c r="AA163" s="229">
        <v>1.39701602017687</v>
      </c>
      <c r="AB163" s="230">
        <v>555.55146987248202</v>
      </c>
      <c r="AC163" s="219">
        <v>0.02</v>
      </c>
      <c r="AD163" s="219">
        <v>0.02</v>
      </c>
      <c r="AE163" s="227">
        <v>0</v>
      </c>
      <c r="AF163" s="227">
        <v>0</v>
      </c>
      <c r="AG163" s="218"/>
      <c r="AH163" s="231">
        <v>303.89999999999998</v>
      </c>
      <c r="AI163" s="217">
        <v>95.605674809723496</v>
      </c>
      <c r="AJ163" s="232" t="s">
        <v>53</v>
      </c>
      <c r="AK163" s="229">
        <v>1.51755039380514</v>
      </c>
      <c r="AL163" s="230">
        <v>85.2194201954037</v>
      </c>
      <c r="AM163" s="219">
        <v>0.02</v>
      </c>
      <c r="AN163" s="219">
        <v>0.02</v>
      </c>
      <c r="AO163" s="227">
        <v>0</v>
      </c>
      <c r="AP163" s="227">
        <v>0</v>
      </c>
      <c r="AQ163" s="218"/>
      <c r="AR163" s="231">
        <v>63.3</v>
      </c>
      <c r="AS163" s="217">
        <v>19.913916470732101</v>
      </c>
      <c r="AT163" s="232" t="s">
        <v>54</v>
      </c>
      <c r="AU163" s="229">
        <v>1.2446197794207601</v>
      </c>
      <c r="AV163" s="230">
        <v>7.7620749702612599</v>
      </c>
      <c r="AW163" s="219">
        <v>0.01</v>
      </c>
      <c r="AX163" s="219">
        <v>0.01</v>
      </c>
      <c r="AY163" s="227">
        <v>0</v>
      </c>
      <c r="AZ163" s="227">
        <v>0</v>
      </c>
      <c r="BA163" s="218"/>
      <c r="BB163" s="235">
        <v>198.2</v>
      </c>
      <c r="BC163" s="231">
        <v>62.3528948578059</v>
      </c>
      <c r="BD163" s="232" t="s">
        <v>55</v>
      </c>
      <c r="BE163" s="229">
        <v>1.9485279643064299</v>
      </c>
      <c r="BF163" s="230">
        <v>87.1241499405225</v>
      </c>
      <c r="BG163" s="219">
        <v>0.02</v>
      </c>
      <c r="BH163" s="219">
        <v>0.02</v>
      </c>
      <c r="BI163" s="227">
        <v>0</v>
      </c>
      <c r="BJ163" s="227">
        <v>0</v>
      </c>
      <c r="BK163" s="220"/>
      <c r="BL163" s="236">
        <v>0.8</v>
      </c>
      <c r="BM163" s="239">
        <v>0.78</v>
      </c>
      <c r="BN163" s="237"/>
      <c r="BO163" s="238">
        <v>0.95</v>
      </c>
      <c r="BP163" s="229">
        <v>1</v>
      </c>
      <c r="BQ163" s="237">
        <v>2.5000000000000001E-3</v>
      </c>
    </row>
    <row r="164" spans="1:69" s="207" customFormat="1" ht="22.35" customHeight="1" x14ac:dyDescent="0.2">
      <c r="A164" s="216" t="s">
        <v>220</v>
      </c>
      <c r="B164" s="216" t="s">
        <v>221</v>
      </c>
      <c r="C164" s="216" t="s">
        <v>227</v>
      </c>
      <c r="D164" s="217">
        <v>3.7074923414444401</v>
      </c>
      <c r="E164" s="218"/>
      <c r="F164" s="219">
        <v>2.3E-2</v>
      </c>
      <c r="G164" s="219">
        <v>1.2999999999999999E-2</v>
      </c>
      <c r="H164" s="220"/>
      <c r="I164" s="221">
        <v>3</v>
      </c>
      <c r="J164" s="221">
        <v>3</v>
      </c>
      <c r="K164" s="218"/>
      <c r="L164" s="222">
        <v>1870.79556</v>
      </c>
      <c r="M164" s="222">
        <v>-111.55054</v>
      </c>
      <c r="N164" s="222">
        <v>1759.2450200000001</v>
      </c>
      <c r="O164" s="217">
        <v>474.51076306595797</v>
      </c>
      <c r="P164" s="223">
        <v>272.85399999999998</v>
      </c>
      <c r="Q164" s="229">
        <v>1.7390647125054399</v>
      </c>
      <c r="R164" s="230">
        <v>654.57332605693</v>
      </c>
      <c r="S164" s="219">
        <v>0.01</v>
      </c>
      <c r="T164" s="219">
        <v>0.01</v>
      </c>
      <c r="U164" s="226">
        <v>0</v>
      </c>
      <c r="V164" s="227">
        <v>0</v>
      </c>
      <c r="W164" s="218"/>
      <c r="X164" s="226">
        <v>1846.7188699999999</v>
      </c>
      <c r="Y164" s="217">
        <v>498.10456770371002</v>
      </c>
      <c r="Z164" s="228">
        <v>573</v>
      </c>
      <c r="AA164" s="239">
        <v>0.86929243927348998</v>
      </c>
      <c r="AB164" s="222">
        <v>-473.11840791924902</v>
      </c>
      <c r="AC164" s="219"/>
      <c r="AD164" s="219"/>
      <c r="AE164" s="227">
        <v>278</v>
      </c>
      <c r="AF164" s="227">
        <v>703</v>
      </c>
      <c r="AG164" s="218"/>
      <c r="AH164" s="231">
        <v>91.2</v>
      </c>
      <c r="AI164" s="217">
        <v>24.5988370577371</v>
      </c>
      <c r="AJ164" s="232" t="s">
        <v>53</v>
      </c>
      <c r="AK164" s="224">
        <v>0.39045773107519199</v>
      </c>
      <c r="AL164" s="225">
        <v>-163.86064312201199</v>
      </c>
      <c r="AM164" s="219"/>
      <c r="AN164" s="219"/>
      <c r="AO164" s="227">
        <v>143</v>
      </c>
      <c r="AP164" s="227">
        <v>190</v>
      </c>
      <c r="AQ164" s="218"/>
      <c r="AR164" s="231">
        <v>31.8</v>
      </c>
      <c r="AS164" s="217">
        <v>8.5772260793425303</v>
      </c>
      <c r="AT164" s="232" t="s">
        <v>54</v>
      </c>
      <c r="AU164" s="224">
        <v>0.53607662995890804</v>
      </c>
      <c r="AV164" s="225">
        <v>-32.977306189717297</v>
      </c>
      <c r="AW164" s="219"/>
      <c r="AX164" s="219"/>
      <c r="AY164" s="227">
        <v>28</v>
      </c>
      <c r="AZ164" s="227">
        <v>40</v>
      </c>
      <c r="BA164" s="218"/>
      <c r="BB164" s="235">
        <v>122</v>
      </c>
      <c r="BC164" s="231">
        <v>32.9063390465342</v>
      </c>
      <c r="BD164" s="232" t="s">
        <v>55</v>
      </c>
      <c r="BE164" s="233">
        <v>1.02832309520419</v>
      </c>
      <c r="BF164" s="234">
        <v>-7.5546123794345004</v>
      </c>
      <c r="BG164" s="219">
        <v>1.2999999999999999E-2</v>
      </c>
      <c r="BH164" s="219">
        <v>3.0000000000000001E-3</v>
      </c>
      <c r="BI164" s="227">
        <v>0</v>
      </c>
      <c r="BJ164" s="227">
        <v>21</v>
      </c>
      <c r="BK164" s="220"/>
      <c r="BL164" s="236">
        <v>0.8</v>
      </c>
      <c r="BM164" s="239">
        <v>0.72</v>
      </c>
      <c r="BN164" s="237"/>
      <c r="BO164" s="238">
        <v>0.95</v>
      </c>
      <c r="BP164" s="229">
        <v>1</v>
      </c>
      <c r="BQ164" s="237">
        <v>2.5000000000000001E-3</v>
      </c>
    </row>
    <row r="165" spans="1:69" s="207" customFormat="1" ht="22.35" customHeight="1" x14ac:dyDescent="0.2">
      <c r="A165" s="216" t="s">
        <v>220</v>
      </c>
      <c r="B165" s="216" t="s">
        <v>221</v>
      </c>
      <c r="C165" s="216" t="s">
        <v>228</v>
      </c>
      <c r="D165" s="217">
        <v>3.59068721</v>
      </c>
      <c r="E165" s="218"/>
      <c r="F165" s="219">
        <v>1.4E-2</v>
      </c>
      <c r="G165" s="219">
        <v>0.01</v>
      </c>
      <c r="H165" s="220"/>
      <c r="I165" s="221">
        <v>3</v>
      </c>
      <c r="J165" s="221">
        <v>2</v>
      </c>
      <c r="K165" s="218"/>
      <c r="L165" s="222">
        <v>611.86848999999995</v>
      </c>
      <c r="M165" s="222">
        <v>831.32452999999998</v>
      </c>
      <c r="N165" s="222">
        <v>1443.1930199999999</v>
      </c>
      <c r="O165" s="217">
        <v>401.926688568342</v>
      </c>
      <c r="P165" s="223">
        <v>244.22499999999999</v>
      </c>
      <c r="Q165" s="229">
        <v>1.64572295452285</v>
      </c>
      <c r="R165" s="230">
        <v>485.579362422423</v>
      </c>
      <c r="S165" s="219">
        <v>0.01</v>
      </c>
      <c r="T165" s="219">
        <v>0.01</v>
      </c>
      <c r="U165" s="226">
        <v>0</v>
      </c>
      <c r="V165" s="227">
        <v>0</v>
      </c>
      <c r="W165" s="218"/>
      <c r="X165" s="226">
        <v>1729.8518449999999</v>
      </c>
      <c r="Y165" s="217">
        <v>481.76066135262198</v>
      </c>
      <c r="Z165" s="228">
        <v>573</v>
      </c>
      <c r="AA165" s="239">
        <v>0.840769042500212</v>
      </c>
      <c r="AB165" s="222">
        <v>-516.89859329236003</v>
      </c>
      <c r="AC165" s="219"/>
      <c r="AD165" s="219"/>
      <c r="AE165" s="227">
        <v>328</v>
      </c>
      <c r="AF165" s="227">
        <v>740</v>
      </c>
      <c r="AG165" s="218"/>
      <c r="AH165" s="231">
        <v>163.30000000000001</v>
      </c>
      <c r="AI165" s="217">
        <v>45.478759482366598</v>
      </c>
      <c r="AJ165" s="232" t="s">
        <v>53</v>
      </c>
      <c r="AK165" s="224">
        <v>0.72188507114867595</v>
      </c>
      <c r="AL165" s="225">
        <v>-83.724917299159998</v>
      </c>
      <c r="AM165" s="219"/>
      <c r="AN165" s="219"/>
      <c r="AO165" s="227">
        <v>63</v>
      </c>
      <c r="AP165" s="227">
        <v>109</v>
      </c>
      <c r="AQ165" s="218"/>
      <c r="AR165" s="231">
        <v>29.4</v>
      </c>
      <c r="AS165" s="217">
        <v>8.1878476961517297</v>
      </c>
      <c r="AT165" s="232" t="s">
        <v>54</v>
      </c>
      <c r="AU165" s="224">
        <v>0.51174048100948299</v>
      </c>
      <c r="AV165" s="225">
        <v>-33.33648693312</v>
      </c>
      <c r="AW165" s="219"/>
      <c r="AX165" s="219"/>
      <c r="AY165" s="227">
        <v>29</v>
      </c>
      <c r="AZ165" s="227">
        <v>40</v>
      </c>
      <c r="BA165" s="218"/>
      <c r="BB165" s="235">
        <v>108.6</v>
      </c>
      <c r="BC165" s="231">
        <v>30.244906795989099</v>
      </c>
      <c r="BD165" s="232" t="s">
        <v>55</v>
      </c>
      <c r="BE165" s="233">
        <v>0.94515333737465801</v>
      </c>
      <c r="BF165" s="234">
        <v>-16.872973866239999</v>
      </c>
      <c r="BG165" s="219">
        <v>4.0000000000000001E-3</v>
      </c>
      <c r="BH165" s="219"/>
      <c r="BI165" s="227">
        <v>7</v>
      </c>
      <c r="BJ165" s="227">
        <v>30</v>
      </c>
      <c r="BK165" s="220"/>
      <c r="BL165" s="236">
        <v>0.8</v>
      </c>
      <c r="BM165" s="239">
        <v>0.78</v>
      </c>
      <c r="BN165" s="237"/>
      <c r="BO165" s="238">
        <v>0.95</v>
      </c>
      <c r="BP165" s="229">
        <v>1</v>
      </c>
      <c r="BQ165" s="237">
        <v>2.5000000000000001E-3</v>
      </c>
    </row>
    <row r="166" spans="1:69" s="207" customFormat="1" ht="22.35" customHeight="1" x14ac:dyDescent="0.2">
      <c r="A166" s="216" t="s">
        <v>220</v>
      </c>
      <c r="B166" s="216" t="s">
        <v>221</v>
      </c>
      <c r="C166" s="216" t="s">
        <v>229</v>
      </c>
      <c r="D166" s="217">
        <v>8.2706296171111102</v>
      </c>
      <c r="E166" s="218"/>
      <c r="F166" s="219">
        <v>4.4999999999999998E-2</v>
      </c>
      <c r="G166" s="219">
        <v>3.1E-2</v>
      </c>
      <c r="H166" s="220"/>
      <c r="I166" s="221">
        <v>5</v>
      </c>
      <c r="J166" s="221">
        <v>4</v>
      </c>
      <c r="K166" s="218"/>
      <c r="L166" s="222">
        <v>12902.40545</v>
      </c>
      <c r="M166" s="222">
        <v>201.77823000000001</v>
      </c>
      <c r="N166" s="222">
        <v>13104.18368</v>
      </c>
      <c r="O166" s="217">
        <v>1584.4239539984701</v>
      </c>
      <c r="P166" s="223">
        <v>224.79599999999999</v>
      </c>
      <c r="Q166" s="229">
        <v>7.0482746756991697</v>
      </c>
      <c r="R166" s="230">
        <v>11073.9324146943</v>
      </c>
      <c r="S166" s="219">
        <v>0.01</v>
      </c>
      <c r="T166" s="219">
        <v>0.01</v>
      </c>
      <c r="U166" s="226">
        <v>0</v>
      </c>
      <c r="V166" s="227">
        <v>0</v>
      </c>
      <c r="W166" s="218"/>
      <c r="X166" s="226">
        <v>4739.8393800000003</v>
      </c>
      <c r="Y166" s="217">
        <v>573.09293239220199</v>
      </c>
      <c r="Z166" s="228">
        <v>573</v>
      </c>
      <c r="AA166" s="233">
        <v>1.0001621856757501</v>
      </c>
      <c r="AB166" s="234">
        <v>-435.225901500296</v>
      </c>
      <c r="AC166" s="219">
        <v>0.01</v>
      </c>
      <c r="AD166" s="219">
        <v>1E-3</v>
      </c>
      <c r="AE166" s="227">
        <v>0</v>
      </c>
      <c r="AF166" s="227">
        <v>948</v>
      </c>
      <c r="AG166" s="218"/>
      <c r="AH166" s="231">
        <v>498</v>
      </c>
      <c r="AI166" s="217">
        <v>60.213069990425801</v>
      </c>
      <c r="AJ166" s="232" t="s">
        <v>53</v>
      </c>
      <c r="AK166" s="233">
        <v>0.95576301572104505</v>
      </c>
      <c r="AL166" s="234">
        <v>-70.986235138775996</v>
      </c>
      <c r="AM166" s="219">
        <v>5.0000000000000001E-3</v>
      </c>
      <c r="AN166" s="219"/>
      <c r="AO166" s="227">
        <v>24</v>
      </c>
      <c r="AP166" s="227">
        <v>128</v>
      </c>
      <c r="AQ166" s="218"/>
      <c r="AR166" s="231">
        <v>95.6</v>
      </c>
      <c r="AS166" s="217">
        <v>11.5589748816962</v>
      </c>
      <c r="AT166" s="232" t="s">
        <v>54</v>
      </c>
      <c r="AU166" s="224">
        <v>0.72243593010601204</v>
      </c>
      <c r="AV166" s="225">
        <v>-48.9044406701653</v>
      </c>
      <c r="AW166" s="219"/>
      <c r="AX166" s="219"/>
      <c r="AY166" s="227">
        <v>37</v>
      </c>
      <c r="AZ166" s="227">
        <v>64</v>
      </c>
      <c r="BA166" s="218"/>
      <c r="BB166" s="235">
        <v>360</v>
      </c>
      <c r="BC166" s="231">
        <v>43.527520475006597</v>
      </c>
      <c r="BD166" s="232" t="s">
        <v>55</v>
      </c>
      <c r="BE166" s="229">
        <v>1.3602350148439599</v>
      </c>
      <c r="BF166" s="230">
        <v>70.991118659669297</v>
      </c>
      <c r="BG166" s="219">
        <v>0.02</v>
      </c>
      <c r="BH166" s="219">
        <v>0.02</v>
      </c>
      <c r="BI166" s="227">
        <v>0</v>
      </c>
      <c r="BJ166" s="227">
        <v>0</v>
      </c>
      <c r="BK166" s="220"/>
      <c r="BL166" s="236">
        <v>0.8</v>
      </c>
      <c r="BM166" s="239">
        <v>0.74</v>
      </c>
      <c r="BN166" s="237"/>
      <c r="BO166" s="238">
        <v>0.95</v>
      </c>
      <c r="BP166" s="229">
        <v>1</v>
      </c>
      <c r="BQ166" s="237">
        <v>2.5000000000000001E-3</v>
      </c>
    </row>
    <row r="167" spans="1:69" s="207" customFormat="1" ht="22.35" customHeight="1" x14ac:dyDescent="0.2">
      <c r="A167" s="216" t="s">
        <v>220</v>
      </c>
      <c r="B167" s="216" t="s">
        <v>221</v>
      </c>
      <c r="C167" s="216" t="s">
        <v>230</v>
      </c>
      <c r="D167" s="217">
        <v>2.0619326908888902</v>
      </c>
      <c r="E167" s="218"/>
      <c r="F167" s="219">
        <v>3.5999999999999997E-2</v>
      </c>
      <c r="G167" s="219">
        <v>1.7999999999999999E-2</v>
      </c>
      <c r="H167" s="220"/>
      <c r="I167" s="221">
        <v>3</v>
      </c>
      <c r="J167" s="221">
        <v>3</v>
      </c>
      <c r="K167" s="218"/>
      <c r="L167" s="222">
        <v>-8166.7360500000004</v>
      </c>
      <c r="M167" s="222">
        <v>784.15520000000004</v>
      </c>
      <c r="N167" s="222">
        <v>-7382.5808500000003</v>
      </c>
      <c r="O167" s="217">
        <v>-3580.4179654464901</v>
      </c>
      <c r="P167" s="223">
        <v>225.90199999999999</v>
      </c>
      <c r="Q167" s="224">
        <v>-15.8494301309705</v>
      </c>
      <c r="R167" s="225">
        <v>-7891.2286828610004</v>
      </c>
      <c r="S167" s="219"/>
      <c r="T167" s="219"/>
      <c r="U167" s="226">
        <v>7849</v>
      </c>
      <c r="V167" s="227">
        <v>7942</v>
      </c>
      <c r="W167" s="218"/>
      <c r="X167" s="226">
        <v>883.646885</v>
      </c>
      <c r="Y167" s="217">
        <v>428.55273060298799</v>
      </c>
      <c r="Z167" s="228">
        <v>573</v>
      </c>
      <c r="AA167" s="239">
        <v>0.74791052461254404</v>
      </c>
      <c r="AB167" s="222">
        <v>-406.53739061223303</v>
      </c>
      <c r="AC167" s="219"/>
      <c r="AD167" s="219"/>
      <c r="AE167" s="227">
        <v>298</v>
      </c>
      <c r="AF167" s="227">
        <v>535</v>
      </c>
      <c r="AG167" s="218"/>
      <c r="AH167" s="231">
        <v>146.25</v>
      </c>
      <c r="AI167" s="217">
        <v>70.928600456376898</v>
      </c>
      <c r="AJ167" s="232" t="s">
        <v>53</v>
      </c>
      <c r="AK167" s="229">
        <v>1.12585080089487</v>
      </c>
      <c r="AL167" s="230">
        <v>4.3972785976079098</v>
      </c>
      <c r="AM167" s="219">
        <v>0.02</v>
      </c>
      <c r="AN167" s="219">
        <v>1.2999999999999999E-2</v>
      </c>
      <c r="AO167" s="227">
        <v>0</v>
      </c>
      <c r="AP167" s="227">
        <v>10</v>
      </c>
      <c r="AQ167" s="218"/>
      <c r="AR167" s="231">
        <v>23.1</v>
      </c>
      <c r="AS167" s="217">
        <v>11.203081507981601</v>
      </c>
      <c r="AT167" s="232" t="s">
        <v>54</v>
      </c>
      <c r="AU167" s="224">
        <v>0.70019259424884805</v>
      </c>
      <c r="AV167" s="225">
        <v>-12.926087975210701</v>
      </c>
      <c r="AW167" s="219"/>
      <c r="AX167" s="219"/>
      <c r="AY167" s="227">
        <v>10</v>
      </c>
      <c r="AZ167" s="227">
        <v>17</v>
      </c>
      <c r="BA167" s="218"/>
      <c r="BB167" s="235">
        <v>69.400000000000006</v>
      </c>
      <c r="BC167" s="231">
        <v>33.657742712290997</v>
      </c>
      <c r="BD167" s="232" t="s">
        <v>55</v>
      </c>
      <c r="BE167" s="233">
        <v>1.0518044597590901</v>
      </c>
      <c r="BF167" s="234">
        <v>-2.65217595042138</v>
      </c>
      <c r="BG167" s="219">
        <v>1.6E-2</v>
      </c>
      <c r="BH167" s="219">
        <v>5.0000000000000001E-3</v>
      </c>
      <c r="BI167" s="227">
        <v>0</v>
      </c>
      <c r="BJ167" s="227">
        <v>10</v>
      </c>
      <c r="BK167" s="220"/>
      <c r="BL167" s="236">
        <v>0.8</v>
      </c>
      <c r="BM167" s="224"/>
      <c r="BN167" s="237"/>
      <c r="BO167" s="238">
        <v>0.95</v>
      </c>
      <c r="BP167" s="229">
        <v>1</v>
      </c>
      <c r="BQ167" s="237">
        <v>2.5000000000000001E-3</v>
      </c>
    </row>
    <row r="168" spans="1:69" s="207" customFormat="1" ht="22.35" customHeight="1" x14ac:dyDescent="0.2">
      <c r="A168" s="216" t="s">
        <v>220</v>
      </c>
      <c r="B168" s="216" t="s">
        <v>221</v>
      </c>
      <c r="C168" s="216" t="s">
        <v>231</v>
      </c>
      <c r="D168" s="217">
        <v>2.0199468106666698</v>
      </c>
      <c r="E168" s="218"/>
      <c r="F168" s="219">
        <v>0.05</v>
      </c>
      <c r="G168" s="219">
        <v>0.05</v>
      </c>
      <c r="H168" s="220"/>
      <c r="I168" s="221">
        <v>4</v>
      </c>
      <c r="J168" s="221">
        <v>4</v>
      </c>
      <c r="K168" s="218"/>
      <c r="L168" s="222">
        <v>2445.0452399999999</v>
      </c>
      <c r="M168" s="222">
        <v>484.65165999999999</v>
      </c>
      <c r="N168" s="222">
        <v>2929.6968999999999</v>
      </c>
      <c r="O168" s="217">
        <v>1450.3831905519701</v>
      </c>
      <c r="P168" s="223">
        <v>258.548</v>
      </c>
      <c r="Q168" s="229">
        <v>5.60972504351985</v>
      </c>
      <c r="R168" s="230">
        <v>2359.3963968593598</v>
      </c>
      <c r="S168" s="219">
        <v>0.01</v>
      </c>
      <c r="T168" s="219">
        <v>0.01</v>
      </c>
      <c r="U168" s="226">
        <v>0</v>
      </c>
      <c r="V168" s="227">
        <v>0</v>
      </c>
      <c r="W168" s="218"/>
      <c r="X168" s="226">
        <v>1794.4673250000001</v>
      </c>
      <c r="Y168" s="217">
        <v>888.37355296882799</v>
      </c>
      <c r="Z168" s="228">
        <v>573</v>
      </c>
      <c r="AA168" s="229">
        <v>1.5503901447972599</v>
      </c>
      <c r="AB168" s="230">
        <v>530.554286416894</v>
      </c>
      <c r="AC168" s="219">
        <v>0.02</v>
      </c>
      <c r="AD168" s="219">
        <v>0.02</v>
      </c>
      <c r="AE168" s="227">
        <v>0</v>
      </c>
      <c r="AF168" s="227">
        <v>0</v>
      </c>
      <c r="AG168" s="218"/>
      <c r="AH168" s="231">
        <v>114.85</v>
      </c>
      <c r="AI168" s="217">
        <v>56.857932789871199</v>
      </c>
      <c r="AJ168" s="232" t="s">
        <v>53</v>
      </c>
      <c r="AK168" s="239">
        <v>0.90250686968049498</v>
      </c>
      <c r="AL168" s="222">
        <v>-24.1142607866243</v>
      </c>
      <c r="AM168" s="219"/>
      <c r="AN168" s="219"/>
      <c r="AO168" s="227">
        <v>13</v>
      </c>
      <c r="AP168" s="227">
        <v>38</v>
      </c>
      <c r="AQ168" s="218"/>
      <c r="AR168" s="231">
        <v>23.8</v>
      </c>
      <c r="AS168" s="217">
        <v>11.7824884666864</v>
      </c>
      <c r="AT168" s="232" t="s">
        <v>54</v>
      </c>
      <c r="AU168" s="239">
        <v>0.73640552916790103</v>
      </c>
      <c r="AV168" s="222">
        <v>-11.4925106759681</v>
      </c>
      <c r="AW168" s="219"/>
      <c r="AX168" s="219"/>
      <c r="AY168" s="227">
        <v>9</v>
      </c>
      <c r="AZ168" s="227">
        <v>15</v>
      </c>
      <c r="BA168" s="218"/>
      <c r="BB168" s="235">
        <v>104</v>
      </c>
      <c r="BC168" s="231">
        <v>51.486504224175903</v>
      </c>
      <c r="BD168" s="232" t="s">
        <v>55</v>
      </c>
      <c r="BE168" s="229">
        <v>1.6089532570055001</v>
      </c>
      <c r="BF168" s="230">
        <v>33.414978648063901</v>
      </c>
      <c r="BG168" s="219">
        <v>0.02</v>
      </c>
      <c r="BH168" s="219">
        <v>0.02</v>
      </c>
      <c r="BI168" s="227">
        <v>0</v>
      </c>
      <c r="BJ168" s="227">
        <v>0</v>
      </c>
      <c r="BK168" s="220"/>
      <c r="BL168" s="236">
        <v>0.8</v>
      </c>
      <c r="BM168" s="239">
        <v>0.76</v>
      </c>
      <c r="BN168" s="237"/>
      <c r="BO168" s="238">
        <v>0.95</v>
      </c>
      <c r="BP168" s="229">
        <v>1</v>
      </c>
      <c r="BQ168" s="237">
        <v>2.5000000000000001E-3</v>
      </c>
    </row>
    <row r="169" spans="1:69" s="207" customFormat="1" ht="22.35" customHeight="1" x14ac:dyDescent="0.2">
      <c r="A169" s="216" t="s">
        <v>220</v>
      </c>
      <c r="B169" s="216" t="s">
        <v>221</v>
      </c>
      <c r="C169" s="216" t="s">
        <v>232</v>
      </c>
      <c r="D169" s="217">
        <v>1.8614832398888901</v>
      </c>
      <c r="E169" s="218"/>
      <c r="F169" s="219">
        <v>4.5999999999999999E-2</v>
      </c>
      <c r="G169" s="219">
        <v>0.04</v>
      </c>
      <c r="H169" s="220"/>
      <c r="I169" s="221">
        <v>5</v>
      </c>
      <c r="J169" s="221">
        <v>4</v>
      </c>
      <c r="K169" s="218"/>
      <c r="L169" s="222">
        <v>1295.2726700000001</v>
      </c>
      <c r="M169" s="222">
        <v>678.41827999999998</v>
      </c>
      <c r="N169" s="222">
        <v>1973.6909499999999</v>
      </c>
      <c r="O169" s="217">
        <v>1060.27865720554</v>
      </c>
      <c r="P169" s="223">
        <v>266.29899999999998</v>
      </c>
      <c r="Q169" s="229">
        <v>3.9815345052198499</v>
      </c>
      <c r="R169" s="230">
        <v>1432.3744011732999</v>
      </c>
      <c r="S169" s="219">
        <v>0.01</v>
      </c>
      <c r="T169" s="219">
        <v>0.01</v>
      </c>
      <c r="U169" s="226">
        <v>0</v>
      </c>
      <c r="V169" s="227">
        <v>0</v>
      </c>
      <c r="W169" s="218"/>
      <c r="X169" s="226">
        <v>1028.2102050000001</v>
      </c>
      <c r="Y169" s="217">
        <v>552.360710516724</v>
      </c>
      <c r="Z169" s="228">
        <v>573</v>
      </c>
      <c r="AA169" s="233">
        <v>0.96398029758590598</v>
      </c>
      <c r="AB169" s="234">
        <v>-136.54964193031699</v>
      </c>
      <c r="AC169" s="219">
        <v>6.0000000000000001E-3</v>
      </c>
      <c r="AD169" s="219"/>
      <c r="AE169" s="227">
        <v>39</v>
      </c>
      <c r="AF169" s="227">
        <v>252</v>
      </c>
      <c r="AG169" s="218"/>
      <c r="AH169" s="231">
        <v>106.1</v>
      </c>
      <c r="AI169" s="217">
        <v>56.997558573953697</v>
      </c>
      <c r="AJ169" s="232" t="s">
        <v>53</v>
      </c>
      <c r="AK169" s="239">
        <v>0.90472315196751896</v>
      </c>
      <c r="AL169" s="222">
        <v>-21.9626009713961</v>
      </c>
      <c r="AM169" s="219"/>
      <c r="AN169" s="219"/>
      <c r="AO169" s="227">
        <v>12</v>
      </c>
      <c r="AP169" s="227">
        <v>35</v>
      </c>
      <c r="AQ169" s="218"/>
      <c r="AR169" s="231">
        <v>47.6</v>
      </c>
      <c r="AS169" s="217">
        <v>25.571006485581499</v>
      </c>
      <c r="AT169" s="232" t="s">
        <v>54</v>
      </c>
      <c r="AU169" s="229">
        <v>1.5981879053488399</v>
      </c>
      <c r="AV169" s="230">
        <v>15.0761648326613</v>
      </c>
      <c r="AW169" s="219">
        <v>0.01</v>
      </c>
      <c r="AX169" s="219">
        <v>0.01</v>
      </c>
      <c r="AY169" s="227">
        <v>0</v>
      </c>
      <c r="AZ169" s="227">
        <v>0</v>
      </c>
      <c r="BA169" s="218"/>
      <c r="BB169" s="235">
        <v>94</v>
      </c>
      <c r="BC169" s="231">
        <v>50.497365748837403</v>
      </c>
      <c r="BD169" s="232" t="s">
        <v>55</v>
      </c>
      <c r="BE169" s="229">
        <v>1.57804267965117</v>
      </c>
      <c r="BF169" s="230">
        <v>28.952329665322601</v>
      </c>
      <c r="BG169" s="219">
        <v>0.02</v>
      </c>
      <c r="BH169" s="219">
        <v>0.02</v>
      </c>
      <c r="BI169" s="227">
        <v>0</v>
      </c>
      <c r="BJ169" s="227">
        <v>0</v>
      </c>
      <c r="BK169" s="220"/>
      <c r="BL169" s="236">
        <v>0.8</v>
      </c>
      <c r="BM169" s="239">
        <v>0.76</v>
      </c>
      <c r="BN169" s="237"/>
      <c r="BO169" s="238">
        <v>0.95</v>
      </c>
      <c r="BP169" s="229">
        <v>1</v>
      </c>
      <c r="BQ169" s="237">
        <v>2.5000000000000001E-3</v>
      </c>
    </row>
    <row r="170" spans="1:69" s="207" customFormat="1" ht="22.35" customHeight="1" x14ac:dyDescent="0.2">
      <c r="A170" s="216" t="s">
        <v>220</v>
      </c>
      <c r="B170" s="216" t="s">
        <v>221</v>
      </c>
      <c r="C170" s="216" t="s">
        <v>233</v>
      </c>
      <c r="D170" s="217">
        <v>10.3992394423333</v>
      </c>
      <c r="E170" s="218"/>
      <c r="F170" s="219">
        <v>0.06</v>
      </c>
      <c r="G170" s="219">
        <v>0.06</v>
      </c>
      <c r="H170" s="220"/>
      <c r="I170" s="221">
        <v>5</v>
      </c>
      <c r="J170" s="221">
        <v>5</v>
      </c>
      <c r="K170" s="218"/>
      <c r="L170" s="222">
        <v>9145.5505599999997</v>
      </c>
      <c r="M170" s="222">
        <v>5923.8511600000002</v>
      </c>
      <c r="N170" s="222">
        <v>15069.40172</v>
      </c>
      <c r="O170" s="217">
        <v>1449.0869071304701</v>
      </c>
      <c r="P170" s="223">
        <v>287.5</v>
      </c>
      <c r="Q170" s="229">
        <v>5.0403022856712001</v>
      </c>
      <c r="R170" s="230">
        <v>11804.560497079499</v>
      </c>
      <c r="S170" s="219">
        <v>0.01</v>
      </c>
      <c r="T170" s="219">
        <v>0.01</v>
      </c>
      <c r="U170" s="226">
        <v>0</v>
      </c>
      <c r="V170" s="227">
        <v>0</v>
      </c>
      <c r="W170" s="218"/>
      <c r="X170" s="226">
        <v>4151.0401000000002</v>
      </c>
      <c r="Y170" s="217">
        <v>399.16766250249998</v>
      </c>
      <c r="Z170" s="228">
        <v>573</v>
      </c>
      <c r="AA170" s="224">
        <v>0.696627683250436</v>
      </c>
      <c r="AB170" s="225">
        <v>-2355.93040689904</v>
      </c>
      <c r="AC170" s="219"/>
      <c r="AD170" s="219"/>
      <c r="AE170" s="227">
        <v>1808</v>
      </c>
      <c r="AF170" s="227">
        <v>3000</v>
      </c>
      <c r="AG170" s="218"/>
      <c r="AH170" s="231">
        <v>850.8</v>
      </c>
      <c r="AI170" s="217">
        <v>81.813675386351306</v>
      </c>
      <c r="AJ170" s="232" t="s">
        <v>53</v>
      </c>
      <c r="AK170" s="229">
        <v>1.29862976803732</v>
      </c>
      <c r="AL170" s="230">
        <v>135.37392332523601</v>
      </c>
      <c r="AM170" s="219">
        <v>0.02</v>
      </c>
      <c r="AN170" s="219">
        <v>0.02</v>
      </c>
      <c r="AO170" s="227">
        <v>0</v>
      </c>
      <c r="AP170" s="227">
        <v>0</v>
      </c>
      <c r="AQ170" s="218"/>
      <c r="AR170" s="231">
        <v>413.2</v>
      </c>
      <c r="AS170" s="217">
        <v>39.733674976069999</v>
      </c>
      <c r="AT170" s="232" t="s">
        <v>54</v>
      </c>
      <c r="AU170" s="229">
        <v>2.48335468600437</v>
      </c>
      <c r="AV170" s="230">
        <v>231.50448846355201</v>
      </c>
      <c r="AW170" s="219">
        <v>0.01</v>
      </c>
      <c r="AX170" s="219">
        <v>0.01</v>
      </c>
      <c r="AY170" s="227">
        <v>0</v>
      </c>
      <c r="AZ170" s="227">
        <v>0</v>
      </c>
      <c r="BA170" s="218"/>
      <c r="BB170" s="235">
        <v>782</v>
      </c>
      <c r="BC170" s="231">
        <v>75.197806948902993</v>
      </c>
      <c r="BD170" s="232" t="s">
        <v>55</v>
      </c>
      <c r="BE170" s="229">
        <v>2.3499314671532199</v>
      </c>
      <c r="BF170" s="230">
        <v>418.60897692710398</v>
      </c>
      <c r="BG170" s="219">
        <v>0.02</v>
      </c>
      <c r="BH170" s="219">
        <v>0.02</v>
      </c>
      <c r="BI170" s="227">
        <v>0</v>
      </c>
      <c r="BJ170" s="227">
        <v>0</v>
      </c>
      <c r="BK170" s="220"/>
      <c r="BL170" s="236">
        <v>0.8</v>
      </c>
      <c r="BM170" s="239">
        <v>0.75</v>
      </c>
      <c r="BN170" s="237"/>
      <c r="BO170" s="238">
        <v>0.95</v>
      </c>
      <c r="BP170" s="229">
        <v>1</v>
      </c>
      <c r="BQ170" s="237">
        <v>2.5000000000000001E-3</v>
      </c>
    </row>
    <row r="171" spans="1:69" s="207" customFormat="1" ht="22.35" customHeight="1" x14ac:dyDescent="0.2">
      <c r="A171" s="216" t="s">
        <v>220</v>
      </c>
      <c r="B171" s="216" t="s">
        <v>221</v>
      </c>
      <c r="C171" s="216" t="s">
        <v>234</v>
      </c>
      <c r="D171" s="217">
        <v>4.7502856914444402</v>
      </c>
      <c r="E171" s="218"/>
      <c r="F171" s="219">
        <v>2.7E-2</v>
      </c>
      <c r="G171" s="219">
        <v>1.6E-2</v>
      </c>
      <c r="H171" s="220"/>
      <c r="I171" s="221">
        <v>3</v>
      </c>
      <c r="J171" s="221">
        <v>3</v>
      </c>
      <c r="K171" s="218"/>
      <c r="L171" s="222">
        <v>1660.1143099999999</v>
      </c>
      <c r="M171" s="222">
        <v>1296.6723500000001</v>
      </c>
      <c r="N171" s="222">
        <v>2956.7866600000002</v>
      </c>
      <c r="O171" s="217">
        <v>622.44396485991399</v>
      </c>
      <c r="P171" s="223">
        <v>266.29899999999998</v>
      </c>
      <c r="Q171" s="229">
        <v>2.33738754129724</v>
      </c>
      <c r="R171" s="230">
        <v>1575.41066835421</v>
      </c>
      <c r="S171" s="219">
        <v>0.01</v>
      </c>
      <c r="T171" s="219">
        <v>0.01</v>
      </c>
      <c r="U171" s="226">
        <v>0</v>
      </c>
      <c r="V171" s="227">
        <v>0</v>
      </c>
      <c r="W171" s="218"/>
      <c r="X171" s="226">
        <v>2123.9812449999999</v>
      </c>
      <c r="Y171" s="217">
        <v>447.12705360551701</v>
      </c>
      <c r="Z171" s="228">
        <v>573</v>
      </c>
      <c r="AA171" s="239">
        <v>0.78032644608292601</v>
      </c>
      <c r="AB171" s="222">
        <v>-848.34851670784894</v>
      </c>
      <c r="AC171" s="219"/>
      <c r="AD171" s="219"/>
      <c r="AE171" s="227">
        <v>598</v>
      </c>
      <c r="AF171" s="227">
        <v>1143</v>
      </c>
      <c r="AG171" s="218"/>
      <c r="AH171" s="231">
        <v>218.8</v>
      </c>
      <c r="AI171" s="217">
        <v>46.060387566598799</v>
      </c>
      <c r="AJ171" s="232" t="s">
        <v>53</v>
      </c>
      <c r="AK171" s="239">
        <v>0.73111726296188595</v>
      </c>
      <c r="AL171" s="222">
        <v>-108.00065442861199</v>
      </c>
      <c r="AM171" s="219"/>
      <c r="AN171" s="219"/>
      <c r="AO171" s="227">
        <v>81</v>
      </c>
      <c r="AP171" s="227">
        <v>141</v>
      </c>
      <c r="AQ171" s="218"/>
      <c r="AR171" s="231">
        <v>48.3</v>
      </c>
      <c r="AS171" s="217">
        <v>10.1678095039612</v>
      </c>
      <c r="AT171" s="232" t="s">
        <v>54</v>
      </c>
      <c r="AU171" s="224">
        <v>0.635488093997578</v>
      </c>
      <c r="AV171" s="225">
        <v>-34.696991600917301</v>
      </c>
      <c r="AW171" s="219"/>
      <c r="AX171" s="219"/>
      <c r="AY171" s="227">
        <v>28</v>
      </c>
      <c r="AZ171" s="227">
        <v>43</v>
      </c>
      <c r="BA171" s="218"/>
      <c r="BB171" s="235">
        <v>161.19999999999999</v>
      </c>
      <c r="BC171" s="231">
        <v>33.934801077402803</v>
      </c>
      <c r="BD171" s="232" t="s">
        <v>55</v>
      </c>
      <c r="BE171" s="233">
        <v>1.06046253366884</v>
      </c>
      <c r="BF171" s="234">
        <v>-4.7939832018345196</v>
      </c>
      <c r="BG171" s="219">
        <v>1.7000000000000001E-2</v>
      </c>
      <c r="BH171" s="219">
        <v>6.0000000000000001E-3</v>
      </c>
      <c r="BI171" s="227">
        <v>0</v>
      </c>
      <c r="BJ171" s="227">
        <v>22</v>
      </c>
      <c r="BK171" s="220"/>
      <c r="BL171" s="236">
        <v>0.8</v>
      </c>
      <c r="BM171" s="239">
        <v>0.74</v>
      </c>
      <c r="BN171" s="237"/>
      <c r="BO171" s="238">
        <v>0.95</v>
      </c>
      <c r="BP171" s="229">
        <v>1</v>
      </c>
      <c r="BQ171" s="237">
        <v>2.5000000000000001E-3</v>
      </c>
    </row>
    <row r="172" spans="1:69" s="207" customFormat="1" ht="22.35" customHeight="1" x14ac:dyDescent="0.2">
      <c r="A172" s="216" t="s">
        <v>220</v>
      </c>
      <c r="B172" s="216" t="s">
        <v>221</v>
      </c>
      <c r="C172" s="216" t="s">
        <v>235</v>
      </c>
      <c r="D172" s="217">
        <v>3.3012442740000001</v>
      </c>
      <c r="E172" s="218"/>
      <c r="F172" s="219">
        <v>0.04</v>
      </c>
      <c r="G172" s="219">
        <v>3.3000000000000002E-2</v>
      </c>
      <c r="H172" s="220"/>
      <c r="I172" s="221">
        <v>4</v>
      </c>
      <c r="J172" s="221">
        <v>4</v>
      </c>
      <c r="K172" s="218"/>
      <c r="L172" s="222">
        <v>-160.31943000000001</v>
      </c>
      <c r="M172" s="222">
        <v>3099.4711299999999</v>
      </c>
      <c r="N172" s="222">
        <v>2939.1516999999999</v>
      </c>
      <c r="O172" s="217">
        <v>890.31633410112204</v>
      </c>
      <c r="P172" s="223">
        <v>263.185</v>
      </c>
      <c r="Q172" s="229">
        <v>3.38285363565979</v>
      </c>
      <c r="R172" s="230">
        <v>1990.38063211606</v>
      </c>
      <c r="S172" s="219">
        <v>0.01</v>
      </c>
      <c r="T172" s="219">
        <v>0.01</v>
      </c>
      <c r="U172" s="226">
        <v>0</v>
      </c>
      <c r="V172" s="227">
        <v>0</v>
      </c>
      <c r="W172" s="218"/>
      <c r="X172" s="226">
        <v>1594.5323149999999</v>
      </c>
      <c r="Y172" s="217">
        <v>483.00949056034602</v>
      </c>
      <c r="Z172" s="228">
        <v>573</v>
      </c>
      <c r="AA172" s="239">
        <v>0.84294850010531597</v>
      </c>
      <c r="AB172" s="222">
        <v>-471.10904715018398</v>
      </c>
      <c r="AC172" s="219"/>
      <c r="AD172" s="219"/>
      <c r="AE172" s="227">
        <v>298</v>
      </c>
      <c r="AF172" s="227">
        <v>676</v>
      </c>
      <c r="AG172" s="218"/>
      <c r="AH172" s="231">
        <v>162.80000000000001</v>
      </c>
      <c r="AI172" s="217">
        <v>49.314739076469799</v>
      </c>
      <c r="AJ172" s="232" t="s">
        <v>53</v>
      </c>
      <c r="AK172" s="239">
        <v>0.78277363613444095</v>
      </c>
      <c r="AL172" s="222">
        <v>-64.312401074104002</v>
      </c>
      <c r="AM172" s="219"/>
      <c r="AN172" s="219"/>
      <c r="AO172" s="227">
        <v>46</v>
      </c>
      <c r="AP172" s="227">
        <v>87</v>
      </c>
      <c r="AQ172" s="218"/>
      <c r="AR172" s="231">
        <v>66.8</v>
      </c>
      <c r="AS172" s="217">
        <v>20.234794657912701</v>
      </c>
      <c r="AT172" s="232" t="s">
        <v>54</v>
      </c>
      <c r="AU172" s="229">
        <v>1.26467466611954</v>
      </c>
      <c r="AV172" s="230">
        <v>9.1206600446719897</v>
      </c>
      <c r="AW172" s="219">
        <v>0.01</v>
      </c>
      <c r="AX172" s="219">
        <v>0.01</v>
      </c>
      <c r="AY172" s="227">
        <v>0</v>
      </c>
      <c r="AZ172" s="227">
        <v>0</v>
      </c>
      <c r="BA172" s="218"/>
      <c r="BB172" s="235">
        <v>119.8</v>
      </c>
      <c r="BC172" s="231">
        <v>36.289347305657699</v>
      </c>
      <c r="BD172" s="232" t="s">
        <v>55</v>
      </c>
      <c r="BE172" s="229">
        <v>1.1340421033018</v>
      </c>
      <c r="BF172" s="230">
        <v>4.4413200893439901</v>
      </c>
      <c r="BG172" s="219">
        <v>0.02</v>
      </c>
      <c r="BH172" s="219">
        <v>1.2999999999999999E-2</v>
      </c>
      <c r="BI172" s="227">
        <v>0</v>
      </c>
      <c r="BJ172" s="227">
        <v>7</v>
      </c>
      <c r="BK172" s="220"/>
      <c r="BL172" s="236">
        <v>0.8</v>
      </c>
      <c r="BM172" s="239">
        <v>0.75</v>
      </c>
      <c r="BN172" s="237"/>
      <c r="BO172" s="238">
        <v>0.95</v>
      </c>
      <c r="BP172" s="229">
        <v>1</v>
      </c>
      <c r="BQ172" s="237">
        <v>2.5000000000000001E-3</v>
      </c>
    </row>
    <row r="173" spans="1:69" s="207" customFormat="1" ht="22.35" customHeight="1" x14ac:dyDescent="0.2">
      <c r="A173" s="216" t="s">
        <v>220</v>
      </c>
      <c r="B173" s="216" t="s">
        <v>221</v>
      </c>
      <c r="C173" s="216" t="s">
        <v>236</v>
      </c>
      <c r="D173" s="217">
        <v>3.9852030364444402</v>
      </c>
      <c r="E173" s="218"/>
      <c r="F173" s="219">
        <v>1.4E-2</v>
      </c>
      <c r="G173" s="219">
        <v>0.01</v>
      </c>
      <c r="H173" s="220"/>
      <c r="I173" s="221">
        <v>3</v>
      </c>
      <c r="J173" s="221">
        <v>2</v>
      </c>
      <c r="K173" s="218"/>
      <c r="L173" s="222">
        <v>1912.05888</v>
      </c>
      <c r="M173" s="222">
        <v>-623.57795999999996</v>
      </c>
      <c r="N173" s="222">
        <v>1288.48092</v>
      </c>
      <c r="O173" s="217">
        <v>323.31625470946398</v>
      </c>
      <c r="P173" s="223">
        <v>254.727</v>
      </c>
      <c r="Q173" s="229">
        <v>1.2692657421846301</v>
      </c>
      <c r="R173" s="230">
        <v>179.94933526009399</v>
      </c>
      <c r="S173" s="219">
        <v>0.01</v>
      </c>
      <c r="T173" s="219">
        <v>0.01</v>
      </c>
      <c r="U173" s="226">
        <v>0</v>
      </c>
      <c r="V173" s="227">
        <v>0</v>
      </c>
      <c r="W173" s="218"/>
      <c r="X173" s="226">
        <v>1279.9856400000001</v>
      </c>
      <c r="Y173" s="217">
        <v>321.18454901660101</v>
      </c>
      <c r="Z173" s="228">
        <v>573</v>
      </c>
      <c r="AA173" s="224">
        <v>0.56053149915637301</v>
      </c>
      <c r="AB173" s="225">
        <v>-1213.6196631518701</v>
      </c>
      <c r="AC173" s="219"/>
      <c r="AD173" s="219"/>
      <c r="AE173" s="227">
        <v>1004</v>
      </c>
      <c r="AF173" s="227">
        <v>1461</v>
      </c>
      <c r="AG173" s="218"/>
      <c r="AH173" s="231">
        <v>139</v>
      </c>
      <c r="AI173" s="217">
        <v>34.879025918843602</v>
      </c>
      <c r="AJ173" s="232" t="s">
        <v>53</v>
      </c>
      <c r="AK173" s="224">
        <v>0.55363533204513604</v>
      </c>
      <c r="AL173" s="225">
        <v>-135.16602809523201</v>
      </c>
      <c r="AM173" s="219"/>
      <c r="AN173" s="219"/>
      <c r="AO173" s="227">
        <v>113</v>
      </c>
      <c r="AP173" s="227">
        <v>163</v>
      </c>
      <c r="AQ173" s="218"/>
      <c r="AR173" s="231">
        <v>49.5</v>
      </c>
      <c r="AS173" s="217">
        <v>12.4209480790126</v>
      </c>
      <c r="AT173" s="232" t="s">
        <v>54</v>
      </c>
      <c r="AU173" s="239">
        <v>0.77630925493828995</v>
      </c>
      <c r="AV173" s="222">
        <v>-20.1294674527573</v>
      </c>
      <c r="AW173" s="219"/>
      <c r="AX173" s="219"/>
      <c r="AY173" s="227">
        <v>15</v>
      </c>
      <c r="AZ173" s="227">
        <v>28</v>
      </c>
      <c r="BA173" s="218"/>
      <c r="BB173" s="235">
        <v>120.4</v>
      </c>
      <c r="BC173" s="231">
        <v>30.2117605800631</v>
      </c>
      <c r="BD173" s="232" t="s">
        <v>55</v>
      </c>
      <c r="BE173" s="233">
        <v>0.94411751812697198</v>
      </c>
      <c r="BF173" s="234">
        <v>-18.858934905514499</v>
      </c>
      <c r="BG173" s="219">
        <v>4.0000000000000001E-3</v>
      </c>
      <c r="BH173" s="219"/>
      <c r="BI173" s="227">
        <v>8</v>
      </c>
      <c r="BJ173" s="227">
        <v>33</v>
      </c>
      <c r="BK173" s="220"/>
      <c r="BL173" s="236">
        <v>0.8</v>
      </c>
      <c r="BM173" s="239">
        <v>0.73</v>
      </c>
      <c r="BN173" s="237"/>
      <c r="BO173" s="238">
        <v>0.95</v>
      </c>
      <c r="BP173" s="229">
        <v>1</v>
      </c>
      <c r="BQ173" s="237">
        <v>2.5000000000000001E-3</v>
      </c>
    </row>
    <row r="174" spans="1:69" s="207" customFormat="1" ht="22.35" customHeight="1" x14ac:dyDescent="0.2">
      <c r="A174" s="216" t="s">
        <v>220</v>
      </c>
      <c r="B174" s="216" t="s">
        <v>221</v>
      </c>
      <c r="C174" s="216" t="s">
        <v>237</v>
      </c>
      <c r="D174" s="217">
        <v>3.0016649496666701</v>
      </c>
      <c r="E174" s="218"/>
      <c r="F174" s="219">
        <v>0.03</v>
      </c>
      <c r="G174" s="219">
        <v>0.03</v>
      </c>
      <c r="H174" s="220"/>
      <c r="I174" s="221">
        <v>3</v>
      </c>
      <c r="J174" s="221">
        <v>3</v>
      </c>
      <c r="K174" s="218"/>
      <c r="L174" s="222">
        <v>1080.3042600000001</v>
      </c>
      <c r="M174" s="222">
        <v>1682.3215499999999</v>
      </c>
      <c r="N174" s="222">
        <v>2762.62581</v>
      </c>
      <c r="O174" s="217">
        <v>920.36448315352095</v>
      </c>
      <c r="P174" s="223">
        <v>242.02199999999999</v>
      </c>
      <c r="Q174" s="229">
        <v>3.8028133109945399</v>
      </c>
      <c r="R174" s="230">
        <v>1969.3217117425399</v>
      </c>
      <c r="S174" s="219">
        <v>0.01</v>
      </c>
      <c r="T174" s="219">
        <v>0.01</v>
      </c>
      <c r="U174" s="226">
        <v>0</v>
      </c>
      <c r="V174" s="227">
        <v>0</v>
      </c>
      <c r="W174" s="218"/>
      <c r="X174" s="226">
        <v>1194.6413299999999</v>
      </c>
      <c r="Y174" s="217">
        <v>397.99289728610898</v>
      </c>
      <c r="Z174" s="228">
        <v>573</v>
      </c>
      <c r="AA174" s="224">
        <v>0.69457748217471105</v>
      </c>
      <c r="AB174" s="225">
        <v>-683.54845564563004</v>
      </c>
      <c r="AC174" s="219"/>
      <c r="AD174" s="219"/>
      <c r="AE174" s="227">
        <v>526</v>
      </c>
      <c r="AF174" s="227">
        <v>870</v>
      </c>
      <c r="AG174" s="218"/>
      <c r="AH174" s="231">
        <v>124.4</v>
      </c>
      <c r="AI174" s="217">
        <v>41.443666127298599</v>
      </c>
      <c r="AJ174" s="232" t="s">
        <v>53</v>
      </c>
      <c r="AK174" s="224">
        <v>0.65783597027458096</v>
      </c>
      <c r="AL174" s="225">
        <v>-82.102541877268195</v>
      </c>
      <c r="AM174" s="219"/>
      <c r="AN174" s="219"/>
      <c r="AO174" s="227">
        <v>65</v>
      </c>
      <c r="AP174" s="227">
        <v>103</v>
      </c>
      <c r="AQ174" s="218"/>
      <c r="AR174" s="231">
        <v>25.4</v>
      </c>
      <c r="AS174" s="217">
        <v>8.4619704150593709</v>
      </c>
      <c r="AT174" s="232" t="s">
        <v>54</v>
      </c>
      <c r="AU174" s="224">
        <v>0.52887315094121101</v>
      </c>
      <c r="AV174" s="225">
        <v>-27.045090000576099</v>
      </c>
      <c r="AW174" s="219"/>
      <c r="AX174" s="219"/>
      <c r="AY174" s="227">
        <v>23</v>
      </c>
      <c r="AZ174" s="227">
        <v>33</v>
      </c>
      <c r="BA174" s="218"/>
      <c r="BB174" s="235">
        <v>121.2</v>
      </c>
      <c r="BC174" s="231">
        <v>40.3775911143778</v>
      </c>
      <c r="BD174" s="232" t="s">
        <v>55</v>
      </c>
      <c r="BE174" s="229">
        <v>1.26179972232431</v>
      </c>
      <c r="BF174" s="230">
        <v>16.3098199988479</v>
      </c>
      <c r="BG174" s="219">
        <v>0.02</v>
      </c>
      <c r="BH174" s="219">
        <v>0.02</v>
      </c>
      <c r="BI174" s="227">
        <v>0</v>
      </c>
      <c r="BJ174" s="227">
        <v>0</v>
      </c>
      <c r="BK174" s="220"/>
      <c r="BL174" s="236">
        <v>0.8</v>
      </c>
      <c r="BM174" s="239">
        <v>0.78</v>
      </c>
      <c r="BN174" s="237"/>
      <c r="BO174" s="238">
        <v>0.95</v>
      </c>
      <c r="BP174" s="229">
        <v>1</v>
      </c>
      <c r="BQ174" s="237">
        <v>2.5000000000000001E-3</v>
      </c>
    </row>
    <row r="175" spans="1:69" s="207" customFormat="1" ht="22.35" customHeight="1" x14ac:dyDescent="0.2">
      <c r="A175" s="216" t="s">
        <v>220</v>
      </c>
      <c r="B175" s="216" t="s">
        <v>221</v>
      </c>
      <c r="C175" s="216" t="s">
        <v>238</v>
      </c>
      <c r="D175" s="217">
        <v>2.70658970644444</v>
      </c>
      <c r="E175" s="218"/>
      <c r="F175" s="219">
        <v>6.8500000000000005E-2</v>
      </c>
      <c r="G175" s="219">
        <v>4.8000000000000001E-2</v>
      </c>
      <c r="H175" s="220"/>
      <c r="I175" s="221">
        <v>6</v>
      </c>
      <c r="J175" s="221">
        <v>5</v>
      </c>
      <c r="K175" s="218"/>
      <c r="L175" s="222">
        <v>1337.0304599999999</v>
      </c>
      <c r="M175" s="222">
        <v>741.23098000000005</v>
      </c>
      <c r="N175" s="222">
        <v>2078.2614400000002</v>
      </c>
      <c r="O175" s="217">
        <v>767.85241407355397</v>
      </c>
      <c r="P175" s="223">
        <v>222.28899999999999</v>
      </c>
      <c r="Q175" s="229">
        <v>3.4542978468280201</v>
      </c>
      <c r="R175" s="230">
        <v>1421.2649697726399</v>
      </c>
      <c r="S175" s="219">
        <v>0.01</v>
      </c>
      <c r="T175" s="219">
        <v>0.01</v>
      </c>
      <c r="U175" s="226">
        <v>0</v>
      </c>
      <c r="V175" s="227">
        <v>0</v>
      </c>
      <c r="W175" s="218"/>
      <c r="X175" s="226">
        <v>1766.9174949999999</v>
      </c>
      <c r="Y175" s="217">
        <v>652.82059219871201</v>
      </c>
      <c r="Z175" s="228">
        <v>573</v>
      </c>
      <c r="AA175" s="229">
        <v>1.1393029532263701</v>
      </c>
      <c r="AB175" s="230">
        <v>73.361010242411098</v>
      </c>
      <c r="AC175" s="219">
        <v>0.02</v>
      </c>
      <c r="AD175" s="219">
        <v>1.4E-2</v>
      </c>
      <c r="AE175" s="227">
        <v>0</v>
      </c>
      <c r="AF175" s="227">
        <v>95</v>
      </c>
      <c r="AG175" s="218"/>
      <c r="AH175" s="231">
        <v>177.85</v>
      </c>
      <c r="AI175" s="217">
        <v>65.709996449234794</v>
      </c>
      <c r="AJ175" s="232" t="s">
        <v>53</v>
      </c>
      <c r="AK175" s="233">
        <v>1.04301581665452</v>
      </c>
      <c r="AL175" s="234">
        <v>-8.35254544455168</v>
      </c>
      <c r="AM175" s="219">
        <v>1.4999999999999999E-2</v>
      </c>
      <c r="AN175" s="219">
        <v>4.0000000000000001E-3</v>
      </c>
      <c r="AO175" s="227">
        <v>0</v>
      </c>
      <c r="AP175" s="227">
        <v>27</v>
      </c>
      <c r="AQ175" s="218"/>
      <c r="AR175" s="231">
        <v>42.1</v>
      </c>
      <c r="AS175" s="217">
        <v>15.5546294659139</v>
      </c>
      <c r="AT175" s="232" t="s">
        <v>54</v>
      </c>
      <c r="AU175" s="233">
        <v>0.97216434161961796</v>
      </c>
      <c r="AV175" s="234">
        <v>-5.1895353509972502</v>
      </c>
      <c r="AW175" s="219">
        <v>3.5000000000000001E-3</v>
      </c>
      <c r="AX175" s="219"/>
      <c r="AY175" s="227">
        <v>2</v>
      </c>
      <c r="AZ175" s="227">
        <v>10</v>
      </c>
      <c r="BA175" s="218"/>
      <c r="BB175" s="235">
        <v>113.8</v>
      </c>
      <c r="BC175" s="231">
        <v>42.045530480308798</v>
      </c>
      <c r="BD175" s="232" t="s">
        <v>55</v>
      </c>
      <c r="BE175" s="229">
        <v>1.3139228275096499</v>
      </c>
      <c r="BF175" s="230">
        <v>19.220929298005501</v>
      </c>
      <c r="BG175" s="219">
        <v>0.02</v>
      </c>
      <c r="BH175" s="219">
        <v>0.02</v>
      </c>
      <c r="BI175" s="227">
        <v>0</v>
      </c>
      <c r="BJ175" s="227">
        <v>0</v>
      </c>
      <c r="BK175" s="220"/>
      <c r="BL175" s="236">
        <v>0.8</v>
      </c>
      <c r="BM175" s="239">
        <v>0.76</v>
      </c>
      <c r="BN175" s="237"/>
      <c r="BO175" s="238">
        <v>0.95</v>
      </c>
      <c r="BP175" s="229">
        <v>1</v>
      </c>
      <c r="BQ175" s="237">
        <v>2.5000000000000001E-3</v>
      </c>
    </row>
    <row r="176" spans="1:69" s="207" customFormat="1" ht="22.35" customHeight="1" x14ac:dyDescent="0.2">
      <c r="A176" s="216" t="s">
        <v>220</v>
      </c>
      <c r="B176" s="216" t="s">
        <v>221</v>
      </c>
      <c r="C176" s="216" t="s">
        <v>239</v>
      </c>
      <c r="D176" s="217">
        <v>4.3740007442222204</v>
      </c>
      <c r="E176" s="218"/>
      <c r="F176" s="219">
        <v>3.9E-2</v>
      </c>
      <c r="G176" s="219">
        <v>3.4000000000000002E-2</v>
      </c>
      <c r="H176" s="220"/>
      <c r="I176" s="221">
        <v>4</v>
      </c>
      <c r="J176" s="221">
        <v>4</v>
      </c>
      <c r="K176" s="218"/>
      <c r="L176" s="222">
        <v>2529.1537899999998</v>
      </c>
      <c r="M176" s="222">
        <v>2452.5042699999999</v>
      </c>
      <c r="N176" s="222">
        <v>4981.6580599999998</v>
      </c>
      <c r="O176" s="217">
        <v>1138.9248313641599</v>
      </c>
      <c r="P176" s="223">
        <v>258.548</v>
      </c>
      <c r="Q176" s="229">
        <v>4.4050808026523498</v>
      </c>
      <c r="R176" s="230">
        <v>3746.7271142964501</v>
      </c>
      <c r="S176" s="219">
        <v>0.01</v>
      </c>
      <c r="T176" s="219">
        <v>0.01</v>
      </c>
      <c r="U176" s="226">
        <v>0</v>
      </c>
      <c r="V176" s="227">
        <v>0</v>
      </c>
      <c r="W176" s="218"/>
      <c r="X176" s="226">
        <v>2054.2890950000001</v>
      </c>
      <c r="Y176" s="217">
        <v>469.65906389329803</v>
      </c>
      <c r="Z176" s="228">
        <v>573</v>
      </c>
      <c r="AA176" s="239">
        <v>0.81964932616631503</v>
      </c>
      <c r="AB176" s="222">
        <v>-682.59315467174997</v>
      </c>
      <c r="AC176" s="219"/>
      <c r="AD176" s="219"/>
      <c r="AE176" s="227">
        <v>453</v>
      </c>
      <c r="AF176" s="227">
        <v>954</v>
      </c>
      <c r="AG176" s="218"/>
      <c r="AH176" s="231">
        <v>207.6</v>
      </c>
      <c r="AI176" s="217">
        <v>47.462269016352202</v>
      </c>
      <c r="AJ176" s="232" t="s">
        <v>53</v>
      </c>
      <c r="AK176" s="239">
        <v>0.75336934946590794</v>
      </c>
      <c r="AL176" s="222">
        <v>-93.313755199511903</v>
      </c>
      <c r="AM176" s="219"/>
      <c r="AN176" s="219"/>
      <c r="AO176" s="227">
        <v>68</v>
      </c>
      <c r="AP176" s="227">
        <v>124</v>
      </c>
      <c r="AQ176" s="218"/>
      <c r="AR176" s="231">
        <v>75.3</v>
      </c>
      <c r="AS176" s="217">
        <v>17.215360582520798</v>
      </c>
      <c r="AT176" s="232" t="s">
        <v>54</v>
      </c>
      <c r="AU176" s="233">
        <v>1.0759600364075499</v>
      </c>
      <c r="AV176" s="234">
        <v>-1.12254100305063</v>
      </c>
      <c r="AW176" s="219">
        <v>8.9999999999999993E-3</v>
      </c>
      <c r="AX176" s="219">
        <v>4.0000000000000001E-3</v>
      </c>
      <c r="AY176" s="227">
        <v>0</v>
      </c>
      <c r="AZ176" s="227">
        <v>9</v>
      </c>
      <c r="BA176" s="218"/>
      <c r="BB176" s="235">
        <v>186.8</v>
      </c>
      <c r="BC176" s="231">
        <v>42.706897168856401</v>
      </c>
      <c r="BD176" s="232" t="s">
        <v>55</v>
      </c>
      <c r="BE176" s="229">
        <v>1.3345905365267601</v>
      </c>
      <c r="BF176" s="230">
        <v>33.954917993898803</v>
      </c>
      <c r="BG176" s="219">
        <v>0.02</v>
      </c>
      <c r="BH176" s="219">
        <v>0.02</v>
      </c>
      <c r="BI176" s="227">
        <v>0</v>
      </c>
      <c r="BJ176" s="227">
        <v>0</v>
      </c>
      <c r="BK176" s="220"/>
      <c r="BL176" s="236">
        <v>0.8</v>
      </c>
      <c r="BM176" s="239">
        <v>0.71</v>
      </c>
      <c r="BN176" s="237"/>
      <c r="BO176" s="238">
        <v>0.95</v>
      </c>
      <c r="BP176" s="229">
        <v>1</v>
      </c>
      <c r="BQ176" s="237">
        <v>2.5000000000000001E-3</v>
      </c>
    </row>
    <row r="177" spans="1:69" s="207" customFormat="1" ht="22.35" customHeight="1" x14ac:dyDescent="0.2">
      <c r="A177" s="216" t="s">
        <v>220</v>
      </c>
      <c r="B177" s="216" t="s">
        <v>240</v>
      </c>
      <c r="C177" s="216" t="s">
        <v>241</v>
      </c>
      <c r="D177" s="217">
        <v>3.97523895733333</v>
      </c>
      <c r="E177" s="218"/>
      <c r="F177" s="219">
        <v>1.9E-2</v>
      </c>
      <c r="G177" s="219">
        <v>0.01</v>
      </c>
      <c r="H177" s="220"/>
      <c r="I177" s="221">
        <v>3</v>
      </c>
      <c r="J177" s="221">
        <v>2</v>
      </c>
      <c r="K177" s="218"/>
      <c r="L177" s="222">
        <v>3060.0559499999999</v>
      </c>
      <c r="M177" s="222">
        <v>-364.45735000000002</v>
      </c>
      <c r="N177" s="222">
        <v>2695.5985999999998</v>
      </c>
      <c r="O177" s="217">
        <v>678.09724872696904</v>
      </c>
      <c r="P177" s="223">
        <v>241.762</v>
      </c>
      <c r="Q177" s="229">
        <v>2.8048131994563601</v>
      </c>
      <c r="R177" s="230">
        <v>1646.11920088332</v>
      </c>
      <c r="S177" s="219">
        <v>0.01</v>
      </c>
      <c r="T177" s="219">
        <v>0.01</v>
      </c>
      <c r="U177" s="226">
        <v>0</v>
      </c>
      <c r="V177" s="227">
        <v>0</v>
      </c>
      <c r="W177" s="218"/>
      <c r="X177" s="226">
        <v>2252.4365400000002</v>
      </c>
      <c r="Y177" s="217">
        <v>566.6166396978</v>
      </c>
      <c r="Z177" s="228">
        <v>573</v>
      </c>
      <c r="AA177" s="233">
        <v>0.98885975514450297</v>
      </c>
      <c r="AB177" s="234">
        <v>-234.93407942678101</v>
      </c>
      <c r="AC177" s="219">
        <v>8.9999999999999993E-3</v>
      </c>
      <c r="AD177" s="219"/>
      <c r="AE177" s="227">
        <v>26</v>
      </c>
      <c r="AF177" s="227">
        <v>481</v>
      </c>
      <c r="AG177" s="218"/>
      <c r="AH177" s="231">
        <v>181</v>
      </c>
      <c r="AI177" s="217">
        <v>45.531854045176303</v>
      </c>
      <c r="AJ177" s="232" t="s">
        <v>53</v>
      </c>
      <c r="AK177" s="224">
        <v>0.72272784198692497</v>
      </c>
      <c r="AL177" s="225">
        <v>-92.480539308703797</v>
      </c>
      <c r="AM177" s="219"/>
      <c r="AN177" s="219"/>
      <c r="AO177" s="227">
        <v>70</v>
      </c>
      <c r="AP177" s="227">
        <v>120</v>
      </c>
      <c r="AQ177" s="218"/>
      <c r="AR177" s="231">
        <v>32.799999999999997</v>
      </c>
      <c r="AS177" s="217">
        <v>8.2510763131590092</v>
      </c>
      <c r="AT177" s="232" t="s">
        <v>54</v>
      </c>
      <c r="AU177" s="224">
        <v>0.51569226957243797</v>
      </c>
      <c r="AV177" s="225">
        <v>-36.655375062527902</v>
      </c>
      <c r="AW177" s="219"/>
      <c r="AX177" s="219"/>
      <c r="AY177" s="227">
        <v>31</v>
      </c>
      <c r="AZ177" s="227">
        <v>44</v>
      </c>
      <c r="BA177" s="218"/>
      <c r="BB177" s="235">
        <v>94.2</v>
      </c>
      <c r="BC177" s="231">
        <v>23.696688679865201</v>
      </c>
      <c r="BD177" s="232" t="s">
        <v>55</v>
      </c>
      <c r="BE177" s="239">
        <v>0.74052152124578796</v>
      </c>
      <c r="BF177" s="222">
        <v>-44.710750125055903</v>
      </c>
      <c r="BG177" s="219"/>
      <c r="BH177" s="219"/>
      <c r="BI177" s="227">
        <v>34</v>
      </c>
      <c r="BJ177" s="227">
        <v>59</v>
      </c>
      <c r="BK177" s="220"/>
      <c r="BL177" s="236">
        <v>0.8</v>
      </c>
      <c r="BM177" s="239">
        <v>0.77</v>
      </c>
      <c r="BN177" s="237"/>
      <c r="BO177" s="238">
        <v>0.95</v>
      </c>
      <c r="BP177" s="229">
        <v>1</v>
      </c>
      <c r="BQ177" s="237">
        <v>2.5000000000000001E-3</v>
      </c>
    </row>
    <row r="178" spans="1:69" s="207" customFormat="1" ht="22.35" customHeight="1" x14ac:dyDescent="0.2">
      <c r="A178" s="216" t="s">
        <v>220</v>
      </c>
      <c r="B178" s="216" t="s">
        <v>240</v>
      </c>
      <c r="C178" s="216" t="s">
        <v>242</v>
      </c>
      <c r="D178" s="217">
        <v>2.6208074601111102</v>
      </c>
      <c r="E178" s="218"/>
      <c r="F178" s="219">
        <v>5.9499999999999997E-2</v>
      </c>
      <c r="G178" s="219">
        <v>5.45E-2</v>
      </c>
      <c r="H178" s="220"/>
      <c r="I178" s="221">
        <v>5</v>
      </c>
      <c r="J178" s="221">
        <v>5</v>
      </c>
      <c r="K178" s="218"/>
      <c r="L178" s="222">
        <v>999.25806</v>
      </c>
      <c r="M178" s="222">
        <v>1326.9303500000001</v>
      </c>
      <c r="N178" s="222">
        <v>2326.1884100000002</v>
      </c>
      <c r="O178" s="217">
        <v>887.58462626681501</v>
      </c>
      <c r="P178" s="223">
        <v>238.04499999999999</v>
      </c>
      <c r="Q178" s="229">
        <v>3.7286421738193001</v>
      </c>
      <c r="R178" s="230">
        <v>1644.9222478683701</v>
      </c>
      <c r="S178" s="219">
        <v>0.01</v>
      </c>
      <c r="T178" s="219">
        <v>0.01</v>
      </c>
      <c r="U178" s="226">
        <v>0</v>
      </c>
      <c r="V178" s="227">
        <v>0</v>
      </c>
      <c r="W178" s="218"/>
      <c r="X178" s="226">
        <v>1209.2613100000001</v>
      </c>
      <c r="Y178" s="217">
        <v>461.407916607782</v>
      </c>
      <c r="Z178" s="228">
        <v>573</v>
      </c>
      <c r="AA178" s="239">
        <v>0.80524941816366802</v>
      </c>
      <c r="AB178" s="222">
        <v>-430.61985071088299</v>
      </c>
      <c r="AC178" s="219"/>
      <c r="AD178" s="219"/>
      <c r="AE178" s="227">
        <v>293</v>
      </c>
      <c r="AF178" s="227">
        <v>593</v>
      </c>
      <c r="AG178" s="218"/>
      <c r="AH178" s="231">
        <v>205.8</v>
      </c>
      <c r="AI178" s="217">
        <v>78.525417502922906</v>
      </c>
      <c r="AJ178" s="232" t="s">
        <v>53</v>
      </c>
      <c r="AK178" s="229">
        <v>1.24643519845909</v>
      </c>
      <c r="AL178" s="230">
        <v>25.498929974196098</v>
      </c>
      <c r="AM178" s="219">
        <v>0.02</v>
      </c>
      <c r="AN178" s="219">
        <v>0.02</v>
      </c>
      <c r="AO178" s="227">
        <v>0</v>
      </c>
      <c r="AP178" s="227">
        <v>0</v>
      </c>
      <c r="AQ178" s="218"/>
      <c r="AR178" s="231">
        <v>45.5</v>
      </c>
      <c r="AS178" s="217">
        <v>17.3610616928231</v>
      </c>
      <c r="AT178" s="232" t="s">
        <v>54</v>
      </c>
      <c r="AU178" s="233">
        <v>1.08506635580144</v>
      </c>
      <c r="AV178" s="234">
        <v>-0.29074794306131202</v>
      </c>
      <c r="AW178" s="219">
        <v>9.4999999999999998E-3</v>
      </c>
      <c r="AX178" s="219">
        <v>4.4999999999999997E-3</v>
      </c>
      <c r="AY178" s="227">
        <v>0</v>
      </c>
      <c r="AZ178" s="227">
        <v>5</v>
      </c>
      <c r="BA178" s="218"/>
      <c r="BB178" s="235">
        <v>137.19999999999999</v>
      </c>
      <c r="BC178" s="231">
        <v>52.350278335281899</v>
      </c>
      <c r="BD178" s="232" t="s">
        <v>55</v>
      </c>
      <c r="BE178" s="229">
        <v>1.63594619797756</v>
      </c>
      <c r="BF178" s="230">
        <v>45.6185041138774</v>
      </c>
      <c r="BG178" s="219">
        <v>0.02</v>
      </c>
      <c r="BH178" s="219">
        <v>0.02</v>
      </c>
      <c r="BI178" s="227">
        <v>0</v>
      </c>
      <c r="BJ178" s="227">
        <v>0</v>
      </c>
      <c r="BK178" s="220"/>
      <c r="BL178" s="236">
        <v>0.8</v>
      </c>
      <c r="BM178" s="239">
        <v>0.71</v>
      </c>
      <c r="BN178" s="237"/>
      <c r="BO178" s="238">
        <v>0.95</v>
      </c>
      <c r="BP178" s="229">
        <v>1</v>
      </c>
      <c r="BQ178" s="237">
        <v>2.5000000000000001E-3</v>
      </c>
    </row>
    <row r="179" spans="1:69" s="207" customFormat="1" ht="22.35" customHeight="1" x14ac:dyDescent="0.2">
      <c r="A179" s="216" t="s">
        <v>220</v>
      </c>
      <c r="B179" s="216" t="s">
        <v>240</v>
      </c>
      <c r="C179" s="216" t="s">
        <v>243</v>
      </c>
      <c r="D179" s="217">
        <v>3.17144203944444</v>
      </c>
      <c r="E179" s="218"/>
      <c r="F179" s="219">
        <v>2.7E-2</v>
      </c>
      <c r="G179" s="219">
        <v>1.6E-2</v>
      </c>
      <c r="H179" s="220"/>
      <c r="I179" s="221">
        <v>3</v>
      </c>
      <c r="J179" s="221">
        <v>3</v>
      </c>
      <c r="K179" s="218"/>
      <c r="L179" s="222">
        <v>2236.6645600000002</v>
      </c>
      <c r="M179" s="222">
        <v>2273.11411</v>
      </c>
      <c r="N179" s="222">
        <v>4509.7786699999997</v>
      </c>
      <c r="O179" s="217">
        <v>1421.99624458216</v>
      </c>
      <c r="P179" s="223">
        <v>247.75800000000001</v>
      </c>
      <c r="Q179" s="229">
        <v>5.7394564235349002</v>
      </c>
      <c r="R179" s="230">
        <v>3651.73952060493</v>
      </c>
      <c r="S179" s="219">
        <v>0.01</v>
      </c>
      <c r="T179" s="219">
        <v>0.01</v>
      </c>
      <c r="U179" s="226">
        <v>0</v>
      </c>
      <c r="V179" s="227">
        <v>0</v>
      </c>
      <c r="W179" s="218"/>
      <c r="X179" s="226">
        <v>1933.2929200000001</v>
      </c>
      <c r="Y179" s="217">
        <v>609.59427791991504</v>
      </c>
      <c r="Z179" s="228">
        <v>573</v>
      </c>
      <c r="AA179" s="233">
        <v>1.06386435937158</v>
      </c>
      <c r="AB179" s="234">
        <v>-51.1291071530175</v>
      </c>
      <c r="AC179" s="219">
        <v>1.7000000000000001E-2</v>
      </c>
      <c r="AD179" s="219">
        <v>6.0000000000000001E-3</v>
      </c>
      <c r="AE179" s="227">
        <v>0</v>
      </c>
      <c r="AF179" s="227">
        <v>248</v>
      </c>
      <c r="AG179" s="218"/>
      <c r="AH179" s="231">
        <v>161</v>
      </c>
      <c r="AI179" s="217">
        <v>50.765550181141897</v>
      </c>
      <c r="AJ179" s="232" t="s">
        <v>53</v>
      </c>
      <c r="AK179" s="239">
        <v>0.80580238382764902</v>
      </c>
      <c r="AL179" s="222">
        <v>-57.182526545619702</v>
      </c>
      <c r="AM179" s="219"/>
      <c r="AN179" s="219"/>
      <c r="AO179" s="227">
        <v>39</v>
      </c>
      <c r="AP179" s="227">
        <v>79</v>
      </c>
      <c r="AQ179" s="218"/>
      <c r="AR179" s="231">
        <v>28</v>
      </c>
      <c r="AS179" s="217">
        <v>8.8287913358507701</v>
      </c>
      <c r="AT179" s="232" t="s">
        <v>54</v>
      </c>
      <c r="AU179" s="224">
        <v>0.55179945849067302</v>
      </c>
      <c r="AV179" s="225">
        <v>-27.4114353131733</v>
      </c>
      <c r="AW179" s="219"/>
      <c r="AX179" s="219"/>
      <c r="AY179" s="227">
        <v>23</v>
      </c>
      <c r="AZ179" s="227">
        <v>33</v>
      </c>
      <c r="BA179" s="218"/>
      <c r="BB179" s="235">
        <v>92</v>
      </c>
      <c r="BC179" s="231">
        <v>29.008885817795399</v>
      </c>
      <c r="BD179" s="232" t="s">
        <v>55</v>
      </c>
      <c r="BE179" s="239">
        <v>0.90652768180610499</v>
      </c>
      <c r="BF179" s="222">
        <v>-18.8228706263465</v>
      </c>
      <c r="BG179" s="219">
        <v>0</v>
      </c>
      <c r="BH179" s="219"/>
      <c r="BI179" s="227">
        <v>10</v>
      </c>
      <c r="BJ179" s="227">
        <v>30</v>
      </c>
      <c r="BK179" s="220"/>
      <c r="BL179" s="236">
        <v>0.8</v>
      </c>
      <c r="BM179" s="224">
        <v>0.69</v>
      </c>
      <c r="BN179" s="237"/>
      <c r="BO179" s="238">
        <v>0.95</v>
      </c>
      <c r="BP179" s="229">
        <v>1</v>
      </c>
      <c r="BQ179" s="237">
        <v>2.5000000000000001E-3</v>
      </c>
    </row>
    <row r="180" spans="1:69" s="207" customFormat="1" ht="22.35" customHeight="1" x14ac:dyDescent="0.2">
      <c r="A180" s="216" t="s">
        <v>220</v>
      </c>
      <c r="B180" s="216" t="s">
        <v>240</v>
      </c>
      <c r="C180" s="216" t="s">
        <v>244</v>
      </c>
      <c r="D180" s="217">
        <v>3.4906875204444399</v>
      </c>
      <c r="E180" s="218"/>
      <c r="F180" s="219">
        <v>0.01</v>
      </c>
      <c r="G180" s="219">
        <v>0.01</v>
      </c>
      <c r="H180" s="220"/>
      <c r="I180" s="221">
        <v>3</v>
      </c>
      <c r="J180" s="221">
        <v>3</v>
      </c>
      <c r="K180" s="218"/>
      <c r="L180" s="222">
        <v>955.09996999999998</v>
      </c>
      <c r="M180" s="222">
        <v>498.13069000000002</v>
      </c>
      <c r="N180" s="222">
        <v>1453.2306599999999</v>
      </c>
      <c r="O180" s="217">
        <v>416.31645671193502</v>
      </c>
      <c r="P180" s="223">
        <v>247.167</v>
      </c>
      <c r="Q180" s="229">
        <v>1.68435291406998</v>
      </c>
      <c r="R180" s="230">
        <v>511.07188349666598</v>
      </c>
      <c r="S180" s="219">
        <v>0.01</v>
      </c>
      <c r="T180" s="219">
        <v>0.01</v>
      </c>
      <c r="U180" s="226">
        <v>0</v>
      </c>
      <c r="V180" s="227">
        <v>0</v>
      </c>
      <c r="W180" s="218"/>
      <c r="X180" s="226">
        <v>1321.425915</v>
      </c>
      <c r="Y180" s="217">
        <v>378.55749254569503</v>
      </c>
      <c r="Z180" s="228">
        <v>573</v>
      </c>
      <c r="AA180" s="224">
        <v>0.66065880025426804</v>
      </c>
      <c r="AB180" s="225">
        <v>-862.75311754241295</v>
      </c>
      <c r="AC180" s="219"/>
      <c r="AD180" s="219"/>
      <c r="AE180" s="227">
        <v>679</v>
      </c>
      <c r="AF180" s="227">
        <v>1079</v>
      </c>
      <c r="AG180" s="218"/>
      <c r="AH180" s="231">
        <v>180.4</v>
      </c>
      <c r="AI180" s="217">
        <v>51.680363522493401</v>
      </c>
      <c r="AJ180" s="232" t="s">
        <v>53</v>
      </c>
      <c r="AK180" s="239">
        <v>0.82032323051576805</v>
      </c>
      <c r="AL180" s="222">
        <v>-59.745338656495697</v>
      </c>
      <c r="AM180" s="219"/>
      <c r="AN180" s="219"/>
      <c r="AO180" s="227">
        <v>40</v>
      </c>
      <c r="AP180" s="227">
        <v>84</v>
      </c>
      <c r="AQ180" s="218"/>
      <c r="AR180" s="231">
        <v>24.8</v>
      </c>
      <c r="AS180" s="217">
        <v>7.1046176017618397</v>
      </c>
      <c r="AT180" s="232" t="s">
        <v>54</v>
      </c>
      <c r="AU180" s="224">
        <v>0.44403860011011498</v>
      </c>
      <c r="AV180" s="225">
        <v>-36.189292357205296</v>
      </c>
      <c r="AW180" s="219"/>
      <c r="AX180" s="219"/>
      <c r="AY180" s="227">
        <v>32</v>
      </c>
      <c r="AZ180" s="227">
        <v>43</v>
      </c>
      <c r="BA180" s="218"/>
      <c r="BB180" s="235">
        <v>79.2</v>
      </c>
      <c r="BC180" s="231">
        <v>22.6889400830459</v>
      </c>
      <c r="BD180" s="232" t="s">
        <v>55</v>
      </c>
      <c r="BE180" s="224">
        <v>0.70902937759518403</v>
      </c>
      <c r="BF180" s="225">
        <v>-42.778584714410499</v>
      </c>
      <c r="BG180" s="219"/>
      <c r="BH180" s="219"/>
      <c r="BI180" s="227">
        <v>33</v>
      </c>
      <c r="BJ180" s="227">
        <v>55</v>
      </c>
      <c r="BK180" s="220"/>
      <c r="BL180" s="236">
        <v>0.8</v>
      </c>
      <c r="BM180" s="233">
        <v>0.86</v>
      </c>
      <c r="BN180" s="237">
        <v>2.2499999999999998E-3</v>
      </c>
      <c r="BO180" s="238">
        <v>0.95</v>
      </c>
      <c r="BP180" s="229">
        <v>1</v>
      </c>
      <c r="BQ180" s="237">
        <v>2.5000000000000001E-3</v>
      </c>
    </row>
    <row r="181" spans="1:69" s="207" customFormat="1" ht="22.35" customHeight="1" x14ac:dyDescent="0.2">
      <c r="A181" s="216" t="s">
        <v>220</v>
      </c>
      <c r="B181" s="216" t="s">
        <v>240</v>
      </c>
      <c r="C181" s="216" t="s">
        <v>245</v>
      </c>
      <c r="D181" s="217">
        <v>2.5343313424444398</v>
      </c>
      <c r="E181" s="218"/>
      <c r="F181" s="219">
        <v>7.0000000000000007E-2</v>
      </c>
      <c r="G181" s="219">
        <v>5.5E-2</v>
      </c>
      <c r="H181" s="220"/>
      <c r="I181" s="221">
        <v>5</v>
      </c>
      <c r="J181" s="221">
        <v>5</v>
      </c>
      <c r="K181" s="218"/>
      <c r="L181" s="222">
        <v>1950.9815100000001</v>
      </c>
      <c r="M181" s="222">
        <v>677.34222999999997</v>
      </c>
      <c r="N181" s="222">
        <v>2628.3237399999998</v>
      </c>
      <c r="O181" s="217">
        <v>1037.0876514769</v>
      </c>
      <c r="P181" s="223">
        <v>233.029</v>
      </c>
      <c r="Q181" s="229">
        <v>4.4504660427539102</v>
      </c>
      <c r="R181" s="230">
        <v>1983.4183533488499</v>
      </c>
      <c r="S181" s="219">
        <v>0.01</v>
      </c>
      <c r="T181" s="219">
        <v>0.01</v>
      </c>
      <c r="U181" s="226">
        <v>0</v>
      </c>
      <c r="V181" s="227">
        <v>0</v>
      </c>
      <c r="W181" s="218"/>
      <c r="X181" s="226">
        <v>1588.9842599999999</v>
      </c>
      <c r="Y181" s="217">
        <v>626.98362814207803</v>
      </c>
      <c r="Z181" s="228">
        <v>573</v>
      </c>
      <c r="AA181" s="229">
        <v>1.0942122655184601</v>
      </c>
      <c r="AB181" s="230">
        <v>3.21258973103477</v>
      </c>
      <c r="AC181" s="219">
        <v>0.02</v>
      </c>
      <c r="AD181" s="219">
        <v>8.9999999999999993E-3</v>
      </c>
      <c r="AE181" s="227">
        <v>0</v>
      </c>
      <c r="AF181" s="227">
        <v>154</v>
      </c>
      <c r="AG181" s="218"/>
      <c r="AH181" s="231">
        <v>185.4</v>
      </c>
      <c r="AI181" s="217">
        <v>73.155390889486299</v>
      </c>
      <c r="AJ181" s="232" t="s">
        <v>53</v>
      </c>
      <c r="AK181" s="229">
        <v>1.1611966807855001</v>
      </c>
      <c r="AL181" s="230">
        <v>11.048140965192299</v>
      </c>
      <c r="AM181" s="219">
        <v>0.02</v>
      </c>
      <c r="AN181" s="219">
        <v>1.6E-2</v>
      </c>
      <c r="AO181" s="227">
        <v>0</v>
      </c>
      <c r="AP181" s="227">
        <v>7</v>
      </c>
      <c r="AQ181" s="218"/>
      <c r="AR181" s="231">
        <v>26.7</v>
      </c>
      <c r="AS181" s="217">
        <v>10.5353232834374</v>
      </c>
      <c r="AT181" s="232" t="s">
        <v>54</v>
      </c>
      <c r="AU181" s="224">
        <v>0.65845770521483404</v>
      </c>
      <c r="AV181" s="225">
        <v>-17.579837215189301</v>
      </c>
      <c r="AW181" s="219"/>
      <c r="AX181" s="219"/>
      <c r="AY181" s="227">
        <v>14</v>
      </c>
      <c r="AZ181" s="227">
        <v>22</v>
      </c>
      <c r="BA181" s="218"/>
      <c r="BB181" s="235">
        <v>116.6</v>
      </c>
      <c r="BC181" s="231">
        <v>46.0081908183069</v>
      </c>
      <c r="BD181" s="232" t="s">
        <v>55</v>
      </c>
      <c r="BE181" s="229">
        <v>1.43775596307209</v>
      </c>
      <c r="BF181" s="230">
        <v>28.040325569621501</v>
      </c>
      <c r="BG181" s="219">
        <v>0.02</v>
      </c>
      <c r="BH181" s="219">
        <v>0.02</v>
      </c>
      <c r="BI181" s="227">
        <v>0</v>
      </c>
      <c r="BJ181" s="227">
        <v>0</v>
      </c>
      <c r="BK181" s="220"/>
      <c r="BL181" s="236">
        <v>0.8</v>
      </c>
      <c r="BM181" s="239">
        <v>0.73</v>
      </c>
      <c r="BN181" s="237"/>
      <c r="BO181" s="238">
        <v>0.95</v>
      </c>
      <c r="BP181" s="229">
        <v>1</v>
      </c>
      <c r="BQ181" s="237">
        <v>2.5000000000000001E-3</v>
      </c>
    </row>
    <row r="182" spans="1:69" s="207" customFormat="1" ht="22.35" customHeight="1" x14ac:dyDescent="0.2">
      <c r="A182" s="216" t="s">
        <v>220</v>
      </c>
      <c r="B182" s="216" t="s">
        <v>240</v>
      </c>
      <c r="C182" s="216" t="s">
        <v>246</v>
      </c>
      <c r="D182" s="217">
        <v>3.7290475793333302</v>
      </c>
      <c r="E182" s="218"/>
      <c r="F182" s="219">
        <v>1.6E-2</v>
      </c>
      <c r="G182" s="219">
        <v>0.01</v>
      </c>
      <c r="H182" s="220"/>
      <c r="I182" s="221">
        <v>3</v>
      </c>
      <c r="J182" s="221">
        <v>2</v>
      </c>
      <c r="K182" s="218"/>
      <c r="L182" s="222">
        <v>1657.7635299999999</v>
      </c>
      <c r="M182" s="222">
        <v>2326.5126500000001</v>
      </c>
      <c r="N182" s="222">
        <v>3984.2761799999998</v>
      </c>
      <c r="O182" s="217">
        <v>1068.4433746786101</v>
      </c>
      <c r="P182" s="223">
        <v>254.047</v>
      </c>
      <c r="Q182" s="229">
        <v>4.2056917604955402</v>
      </c>
      <c r="R182" s="230">
        <v>2949.7663213775099</v>
      </c>
      <c r="S182" s="219">
        <v>0.01</v>
      </c>
      <c r="T182" s="219">
        <v>0.01</v>
      </c>
      <c r="U182" s="226">
        <v>0</v>
      </c>
      <c r="V182" s="227">
        <v>0</v>
      </c>
      <c r="W182" s="218"/>
      <c r="X182" s="226">
        <v>1846.50242</v>
      </c>
      <c r="Y182" s="217">
        <v>495.16729961651799</v>
      </c>
      <c r="Z182" s="228">
        <v>573</v>
      </c>
      <c r="AA182" s="239">
        <v>0.86416631695727397</v>
      </c>
      <c r="AB182" s="222">
        <v>-486.82231515013399</v>
      </c>
      <c r="AC182" s="219"/>
      <c r="AD182" s="219"/>
      <c r="AE182" s="227">
        <v>291</v>
      </c>
      <c r="AF182" s="227">
        <v>718</v>
      </c>
      <c r="AG182" s="218"/>
      <c r="AH182" s="231">
        <v>204.3</v>
      </c>
      <c r="AI182" s="217">
        <v>54.786107083279397</v>
      </c>
      <c r="AJ182" s="232" t="s">
        <v>53</v>
      </c>
      <c r="AK182" s="239">
        <v>0.86962074735364203</v>
      </c>
      <c r="AL182" s="222">
        <v>-52.243557267815802</v>
      </c>
      <c r="AM182" s="219"/>
      <c r="AN182" s="219"/>
      <c r="AO182" s="227">
        <v>31</v>
      </c>
      <c r="AP182" s="227">
        <v>78</v>
      </c>
      <c r="AQ182" s="218"/>
      <c r="AR182" s="231">
        <v>26.8</v>
      </c>
      <c r="AS182" s="217">
        <v>7.1868216829754701</v>
      </c>
      <c r="AT182" s="232" t="s">
        <v>54</v>
      </c>
      <c r="AU182" s="224">
        <v>0.44917635518596699</v>
      </c>
      <c r="AV182" s="225">
        <v>-38.353919306111997</v>
      </c>
      <c r="AW182" s="219"/>
      <c r="AX182" s="219"/>
      <c r="AY182" s="227">
        <v>33</v>
      </c>
      <c r="AZ182" s="227">
        <v>45</v>
      </c>
      <c r="BA182" s="218"/>
      <c r="BB182" s="235">
        <v>115</v>
      </c>
      <c r="BC182" s="231">
        <v>30.838973639633501</v>
      </c>
      <c r="BD182" s="232" t="s">
        <v>55</v>
      </c>
      <c r="BE182" s="233">
        <v>0.96371792623854802</v>
      </c>
      <c r="BF182" s="234">
        <v>-15.3078386122239</v>
      </c>
      <c r="BG182" s="219">
        <v>6.0000000000000001E-3</v>
      </c>
      <c r="BH182" s="219"/>
      <c r="BI182" s="227">
        <v>5</v>
      </c>
      <c r="BJ182" s="227">
        <v>29</v>
      </c>
      <c r="BK182" s="220"/>
      <c r="BL182" s="236">
        <v>0.8</v>
      </c>
      <c r="BM182" s="239">
        <v>0.79</v>
      </c>
      <c r="BN182" s="237"/>
      <c r="BO182" s="238">
        <v>0.95</v>
      </c>
      <c r="BP182" s="229">
        <v>1</v>
      </c>
      <c r="BQ182" s="237">
        <v>2.5000000000000001E-3</v>
      </c>
    </row>
    <row r="183" spans="1:69" s="207" customFormat="1" ht="22.35" customHeight="1" x14ac:dyDescent="0.2">
      <c r="A183" s="216" t="s">
        <v>220</v>
      </c>
      <c r="B183" s="216" t="s">
        <v>240</v>
      </c>
      <c r="C183" s="216" t="s">
        <v>247</v>
      </c>
      <c r="D183" s="217">
        <v>4.4497067784444404</v>
      </c>
      <c r="E183" s="218"/>
      <c r="F183" s="219">
        <v>0.01</v>
      </c>
      <c r="G183" s="219">
        <v>8.5000000000000006E-3</v>
      </c>
      <c r="H183" s="220"/>
      <c r="I183" s="221">
        <v>2</v>
      </c>
      <c r="J183" s="221">
        <v>2</v>
      </c>
      <c r="K183" s="218"/>
      <c r="L183" s="222">
        <v>1618.9907000000001</v>
      </c>
      <c r="M183" s="222">
        <v>-487.3759</v>
      </c>
      <c r="N183" s="222">
        <v>1131.6148000000001</v>
      </c>
      <c r="O183" s="217">
        <v>254.31221793800901</v>
      </c>
      <c r="P183" s="223">
        <v>217.155</v>
      </c>
      <c r="Q183" s="229">
        <v>1.1711091982133</v>
      </c>
      <c r="R183" s="230">
        <v>76.441325583372205</v>
      </c>
      <c r="S183" s="219">
        <v>0.01</v>
      </c>
      <c r="T183" s="219">
        <v>8.5000000000000006E-3</v>
      </c>
      <c r="U183" s="226">
        <v>0</v>
      </c>
      <c r="V183" s="227">
        <v>28</v>
      </c>
      <c r="W183" s="218"/>
      <c r="X183" s="226">
        <v>2197.5763149999998</v>
      </c>
      <c r="Y183" s="217">
        <v>493.86991647306701</v>
      </c>
      <c r="Z183" s="228">
        <v>573</v>
      </c>
      <c r="AA183" s="239">
        <v>0.86190212298964597</v>
      </c>
      <c r="AB183" s="222">
        <v>-586.676411581141</v>
      </c>
      <c r="AC183" s="219"/>
      <c r="AD183" s="219"/>
      <c r="AE183" s="227">
        <v>353</v>
      </c>
      <c r="AF183" s="227">
        <v>863</v>
      </c>
      <c r="AG183" s="218"/>
      <c r="AH183" s="231">
        <v>185.75</v>
      </c>
      <c r="AI183" s="217">
        <v>41.744323670903903</v>
      </c>
      <c r="AJ183" s="232" t="s">
        <v>53</v>
      </c>
      <c r="AK183" s="224">
        <v>0.66260831223657002</v>
      </c>
      <c r="AL183" s="225">
        <v>-120.372027529864</v>
      </c>
      <c r="AM183" s="219"/>
      <c r="AN183" s="219"/>
      <c r="AO183" s="227">
        <v>95</v>
      </c>
      <c r="AP183" s="227">
        <v>151</v>
      </c>
      <c r="AQ183" s="218"/>
      <c r="AR183" s="231">
        <v>29.4</v>
      </c>
      <c r="AS183" s="217">
        <v>6.60717693633688</v>
      </c>
      <c r="AT183" s="232" t="s">
        <v>54</v>
      </c>
      <c r="AU183" s="224">
        <v>0.412948558521055</v>
      </c>
      <c r="AV183" s="225">
        <v>-48.345276832981199</v>
      </c>
      <c r="AW183" s="219"/>
      <c r="AX183" s="219"/>
      <c r="AY183" s="227">
        <v>42</v>
      </c>
      <c r="AZ183" s="227">
        <v>57</v>
      </c>
      <c r="BA183" s="218"/>
      <c r="BB183" s="235">
        <v>117.8</v>
      </c>
      <c r="BC183" s="231">
        <v>26.4736545272273</v>
      </c>
      <c r="BD183" s="232" t="s">
        <v>55</v>
      </c>
      <c r="BE183" s="239">
        <v>0.82730170397585501</v>
      </c>
      <c r="BF183" s="222">
        <v>-37.690553665962497</v>
      </c>
      <c r="BG183" s="219"/>
      <c r="BH183" s="219"/>
      <c r="BI183" s="227">
        <v>25</v>
      </c>
      <c r="BJ183" s="227">
        <v>54</v>
      </c>
      <c r="BK183" s="220"/>
      <c r="BL183" s="236">
        <v>0.8</v>
      </c>
      <c r="BM183" s="239">
        <v>0.75</v>
      </c>
      <c r="BN183" s="237"/>
      <c r="BO183" s="238">
        <v>0.95</v>
      </c>
      <c r="BP183" s="229">
        <v>1</v>
      </c>
      <c r="BQ183" s="237">
        <v>2.5000000000000001E-3</v>
      </c>
    </row>
    <row r="184" spans="1:69" s="207" customFormat="1" ht="22.35" customHeight="1" x14ac:dyDescent="0.2">
      <c r="A184" s="216" t="s">
        <v>220</v>
      </c>
      <c r="B184" s="216" t="s">
        <v>240</v>
      </c>
      <c r="C184" s="216" t="s">
        <v>248</v>
      </c>
      <c r="D184" s="217">
        <v>4.5199524895555596</v>
      </c>
      <c r="E184" s="218"/>
      <c r="F184" s="219">
        <v>1.4E-2</v>
      </c>
      <c r="G184" s="219">
        <v>0.01</v>
      </c>
      <c r="H184" s="220"/>
      <c r="I184" s="221">
        <v>3</v>
      </c>
      <c r="J184" s="221">
        <v>2</v>
      </c>
      <c r="K184" s="218"/>
      <c r="L184" s="222">
        <v>1371.45063</v>
      </c>
      <c r="M184" s="222">
        <v>1653.1752899999999</v>
      </c>
      <c r="N184" s="222">
        <v>3024.62592</v>
      </c>
      <c r="O184" s="217">
        <v>669.17206032344995</v>
      </c>
      <c r="P184" s="223">
        <v>287.5</v>
      </c>
      <c r="Q184" s="229">
        <v>2.3275549924293899</v>
      </c>
      <c r="R184" s="230">
        <v>1605.5868359040301</v>
      </c>
      <c r="S184" s="219">
        <v>0.01</v>
      </c>
      <c r="T184" s="219">
        <v>0.01</v>
      </c>
      <c r="U184" s="226">
        <v>0</v>
      </c>
      <c r="V184" s="227">
        <v>0</v>
      </c>
      <c r="W184" s="218"/>
      <c r="X184" s="226">
        <v>1735.282305</v>
      </c>
      <c r="Y184" s="217">
        <v>383.916049783662</v>
      </c>
      <c r="Z184" s="228">
        <v>573</v>
      </c>
      <c r="AA184" s="224">
        <v>0.67001055808667098</v>
      </c>
      <c r="AB184" s="225">
        <v>-1092.92428695475</v>
      </c>
      <c r="AC184" s="219"/>
      <c r="AD184" s="219"/>
      <c r="AE184" s="227">
        <v>855</v>
      </c>
      <c r="AF184" s="227">
        <v>1373</v>
      </c>
      <c r="AG184" s="218"/>
      <c r="AH184" s="231">
        <v>171.6</v>
      </c>
      <c r="AI184" s="217">
        <v>37.965000826119997</v>
      </c>
      <c r="AJ184" s="232" t="s">
        <v>53</v>
      </c>
      <c r="AK184" s="224">
        <v>0.60261906073206395</v>
      </c>
      <c r="AL184" s="225">
        <v>-139.354651471464</v>
      </c>
      <c r="AM184" s="219"/>
      <c r="AN184" s="219"/>
      <c r="AO184" s="227">
        <v>114</v>
      </c>
      <c r="AP184" s="227">
        <v>171</v>
      </c>
      <c r="AQ184" s="218"/>
      <c r="AR184" s="231">
        <v>42.4</v>
      </c>
      <c r="AS184" s="217">
        <v>9.3806295747522697</v>
      </c>
      <c r="AT184" s="232" t="s">
        <v>54</v>
      </c>
      <c r="AU184" s="224">
        <v>0.58628934842201696</v>
      </c>
      <c r="AV184" s="225">
        <v>-36.572609897514702</v>
      </c>
      <c r="AW184" s="219"/>
      <c r="AX184" s="219"/>
      <c r="AY184" s="227">
        <v>30</v>
      </c>
      <c r="AZ184" s="227">
        <v>45</v>
      </c>
      <c r="BA184" s="218"/>
      <c r="BB184" s="235">
        <v>137</v>
      </c>
      <c r="BC184" s="231">
        <v>30.310053107100501</v>
      </c>
      <c r="BD184" s="232" t="s">
        <v>55</v>
      </c>
      <c r="BE184" s="233">
        <v>0.94718915959688998</v>
      </c>
      <c r="BF184" s="234">
        <v>-20.945219795029502</v>
      </c>
      <c r="BG184" s="219">
        <v>4.0000000000000001E-3</v>
      </c>
      <c r="BH184" s="219"/>
      <c r="BI184" s="227">
        <v>8</v>
      </c>
      <c r="BJ184" s="227">
        <v>37</v>
      </c>
      <c r="BK184" s="220"/>
      <c r="BL184" s="236">
        <v>0.8</v>
      </c>
      <c r="BM184" s="224">
        <v>0.68</v>
      </c>
      <c r="BN184" s="237"/>
      <c r="BO184" s="238">
        <v>0.95</v>
      </c>
      <c r="BP184" s="229">
        <v>1</v>
      </c>
      <c r="BQ184" s="237">
        <v>2.5000000000000001E-3</v>
      </c>
    </row>
    <row r="185" spans="1:69" s="207" customFormat="1" ht="22.35" customHeight="1" x14ac:dyDescent="0.2">
      <c r="A185" s="216" t="s">
        <v>220</v>
      </c>
      <c r="B185" s="216" t="s">
        <v>240</v>
      </c>
      <c r="C185" s="216" t="s">
        <v>249</v>
      </c>
      <c r="D185" s="217">
        <v>3.0343497082222202</v>
      </c>
      <c r="E185" s="218"/>
      <c r="F185" s="219">
        <v>0.01</v>
      </c>
      <c r="G185" s="219">
        <v>0.01</v>
      </c>
      <c r="H185" s="220"/>
      <c r="I185" s="221">
        <v>2</v>
      </c>
      <c r="J185" s="221">
        <v>2</v>
      </c>
      <c r="K185" s="218"/>
      <c r="L185" s="222">
        <v>1776.29377</v>
      </c>
      <c r="M185" s="222">
        <v>1537.1536900000001</v>
      </c>
      <c r="N185" s="222">
        <v>3313.4474599999999</v>
      </c>
      <c r="O185" s="217">
        <v>1091.97942841641</v>
      </c>
      <c r="P185" s="223">
        <v>243.29900000000001</v>
      </c>
      <c r="Q185" s="229">
        <v>4.4882199615140603</v>
      </c>
      <c r="R185" s="230">
        <v>2507.2738193704499</v>
      </c>
      <c r="S185" s="219">
        <v>0.01</v>
      </c>
      <c r="T185" s="219">
        <v>0.01</v>
      </c>
      <c r="U185" s="226">
        <v>0</v>
      </c>
      <c r="V185" s="227">
        <v>0</v>
      </c>
      <c r="W185" s="218"/>
      <c r="X185" s="226">
        <v>1070.296705</v>
      </c>
      <c r="Y185" s="217">
        <v>352.72687986483601</v>
      </c>
      <c r="Z185" s="228">
        <v>573</v>
      </c>
      <c r="AA185" s="224">
        <v>0.61557919697179098</v>
      </c>
      <c r="AB185" s="225">
        <v>-828.34445702997505</v>
      </c>
      <c r="AC185" s="219"/>
      <c r="AD185" s="219"/>
      <c r="AE185" s="227">
        <v>669</v>
      </c>
      <c r="AF185" s="227">
        <v>1017</v>
      </c>
      <c r="AG185" s="218"/>
      <c r="AH185" s="231">
        <v>112.8</v>
      </c>
      <c r="AI185" s="217">
        <v>37.174357225320499</v>
      </c>
      <c r="AJ185" s="232" t="s">
        <v>53</v>
      </c>
      <c r="AK185" s="224">
        <v>0.59006916230667505</v>
      </c>
      <c r="AL185" s="225">
        <v>-95.951122526855897</v>
      </c>
      <c r="AM185" s="219"/>
      <c r="AN185" s="219"/>
      <c r="AO185" s="227">
        <v>79</v>
      </c>
      <c r="AP185" s="227">
        <v>117</v>
      </c>
      <c r="AQ185" s="218"/>
      <c r="AR185" s="231">
        <v>36.799999999999997</v>
      </c>
      <c r="AS185" s="217">
        <v>12.1278044848563</v>
      </c>
      <c r="AT185" s="232" t="s">
        <v>54</v>
      </c>
      <c r="AU185" s="239">
        <v>0.75798778030352099</v>
      </c>
      <c r="AV185" s="222">
        <v>-16.2161581020586</v>
      </c>
      <c r="AW185" s="219"/>
      <c r="AX185" s="219"/>
      <c r="AY185" s="227">
        <v>12</v>
      </c>
      <c r="AZ185" s="227">
        <v>22</v>
      </c>
      <c r="BA185" s="218"/>
      <c r="BB185" s="235">
        <v>76</v>
      </c>
      <c r="BC185" s="231">
        <v>25.0465527404642</v>
      </c>
      <c r="BD185" s="232" t="s">
        <v>55</v>
      </c>
      <c r="BE185" s="239">
        <v>0.78270477313950604</v>
      </c>
      <c r="BF185" s="222">
        <v>-30.032316204117301</v>
      </c>
      <c r="BG185" s="219"/>
      <c r="BH185" s="219"/>
      <c r="BI185" s="227">
        <v>22</v>
      </c>
      <c r="BJ185" s="227">
        <v>41</v>
      </c>
      <c r="BK185" s="220"/>
      <c r="BL185" s="236">
        <v>0.8</v>
      </c>
      <c r="BM185" s="239">
        <v>0.7</v>
      </c>
      <c r="BN185" s="237"/>
      <c r="BO185" s="238">
        <v>0.95</v>
      </c>
      <c r="BP185" s="229">
        <v>1</v>
      </c>
      <c r="BQ185" s="237">
        <v>2.5000000000000001E-3</v>
      </c>
    </row>
    <row r="186" spans="1:69" s="207" customFormat="1" ht="22.35" customHeight="1" x14ac:dyDescent="0.2">
      <c r="A186" s="216" t="s">
        <v>220</v>
      </c>
      <c r="B186" s="216" t="s">
        <v>240</v>
      </c>
      <c r="C186" s="216" t="s">
        <v>250</v>
      </c>
      <c r="D186" s="217">
        <v>3.9243355210000002</v>
      </c>
      <c r="E186" s="218"/>
      <c r="F186" s="219">
        <v>0.04</v>
      </c>
      <c r="G186" s="219">
        <v>3.4500000000000003E-2</v>
      </c>
      <c r="H186" s="220"/>
      <c r="I186" s="221">
        <v>5</v>
      </c>
      <c r="J186" s="221">
        <v>5</v>
      </c>
      <c r="K186" s="218"/>
      <c r="L186" s="222">
        <v>3829.44112</v>
      </c>
      <c r="M186" s="222">
        <v>3152.0190299999999</v>
      </c>
      <c r="N186" s="222">
        <v>6981.4601499999999</v>
      </c>
      <c r="O186" s="217">
        <v>1779.0171387335899</v>
      </c>
      <c r="P186" s="223">
        <v>285.27300000000002</v>
      </c>
      <c r="Q186" s="229">
        <v>6.2361917837776097</v>
      </c>
      <c r="R186" s="230">
        <v>5758.9585419462001</v>
      </c>
      <c r="S186" s="219">
        <v>0.01</v>
      </c>
      <c r="T186" s="219">
        <v>0.01</v>
      </c>
      <c r="U186" s="226">
        <v>0</v>
      </c>
      <c r="V186" s="227">
        <v>0</v>
      </c>
      <c r="W186" s="218"/>
      <c r="X186" s="226">
        <v>1871.66551</v>
      </c>
      <c r="Y186" s="217">
        <v>476.93819755836302</v>
      </c>
      <c r="Z186" s="228">
        <v>573</v>
      </c>
      <c r="AA186" s="239">
        <v>0.83235287532000501</v>
      </c>
      <c r="AB186" s="222">
        <v>-583.85401485803595</v>
      </c>
      <c r="AC186" s="219"/>
      <c r="AD186" s="219"/>
      <c r="AE186" s="227">
        <v>377</v>
      </c>
      <c r="AF186" s="227">
        <v>827</v>
      </c>
      <c r="AG186" s="218"/>
      <c r="AH186" s="231">
        <v>183.9</v>
      </c>
      <c r="AI186" s="217">
        <v>46.861436545348802</v>
      </c>
      <c r="AJ186" s="232" t="s">
        <v>53</v>
      </c>
      <c r="AK186" s="239">
        <v>0.74383232611664796</v>
      </c>
      <c r="AL186" s="222">
        <v>-86.078586502716007</v>
      </c>
      <c r="AM186" s="219"/>
      <c r="AN186" s="219"/>
      <c r="AO186" s="227">
        <v>64</v>
      </c>
      <c r="AP186" s="227">
        <v>113</v>
      </c>
      <c r="AQ186" s="218"/>
      <c r="AR186" s="231">
        <v>68.599999999999994</v>
      </c>
      <c r="AS186" s="217">
        <v>17.480666378525999</v>
      </c>
      <c r="AT186" s="232" t="s">
        <v>54</v>
      </c>
      <c r="AU186" s="229">
        <v>1.0925416486578701</v>
      </c>
      <c r="AV186" s="230">
        <v>3.4009777088002097E-2</v>
      </c>
      <c r="AW186" s="219">
        <v>0.01</v>
      </c>
      <c r="AX186" s="219">
        <v>4.4999999999999997E-3</v>
      </c>
      <c r="AY186" s="227">
        <v>0</v>
      </c>
      <c r="AZ186" s="227">
        <v>7</v>
      </c>
      <c r="BA186" s="218"/>
      <c r="BB186" s="235">
        <v>206.6</v>
      </c>
      <c r="BC186" s="231">
        <v>52.645855303257598</v>
      </c>
      <c r="BD186" s="232" t="s">
        <v>55</v>
      </c>
      <c r="BE186" s="229">
        <v>1.6451829782267999</v>
      </c>
      <c r="BF186" s="230">
        <v>69.468019554175996</v>
      </c>
      <c r="BG186" s="219">
        <v>0.02</v>
      </c>
      <c r="BH186" s="219">
        <v>0.02</v>
      </c>
      <c r="BI186" s="227">
        <v>0</v>
      </c>
      <c r="BJ186" s="227">
        <v>0</v>
      </c>
      <c r="BK186" s="220"/>
      <c r="BL186" s="236">
        <v>0.8</v>
      </c>
      <c r="BM186" s="233">
        <v>0.81</v>
      </c>
      <c r="BN186" s="237">
        <v>3.7500000000000001E-4</v>
      </c>
      <c r="BO186" s="238">
        <v>0.95</v>
      </c>
      <c r="BP186" s="229">
        <v>1</v>
      </c>
      <c r="BQ186" s="237">
        <v>2.5000000000000001E-3</v>
      </c>
    </row>
    <row r="187" spans="1:69" s="207" customFormat="1" ht="22.35" customHeight="1" x14ac:dyDescent="0.2">
      <c r="A187" s="216" t="s">
        <v>220</v>
      </c>
      <c r="B187" s="216" t="s">
        <v>240</v>
      </c>
      <c r="C187" s="216" t="s">
        <v>251</v>
      </c>
      <c r="D187" s="217">
        <v>1.82888188633333</v>
      </c>
      <c r="E187" s="218"/>
      <c r="F187" s="219">
        <v>7.0000000000000007E-2</v>
      </c>
      <c r="G187" s="219">
        <v>6.7000000000000004E-2</v>
      </c>
      <c r="H187" s="220"/>
      <c r="I187" s="221">
        <v>5</v>
      </c>
      <c r="J187" s="221">
        <v>5</v>
      </c>
      <c r="K187" s="218"/>
      <c r="L187" s="222">
        <v>487.84399000000002</v>
      </c>
      <c r="M187" s="222">
        <v>17.241050000000001</v>
      </c>
      <c r="N187" s="222">
        <v>505.08503999999999</v>
      </c>
      <c r="O187" s="217">
        <v>276.17149241530802</v>
      </c>
      <c r="P187" s="223">
        <v>243.29900000000001</v>
      </c>
      <c r="Q187" s="229">
        <v>1.1351114982606101</v>
      </c>
      <c r="R187" s="230">
        <v>19.183113603190002</v>
      </c>
      <c r="S187" s="219">
        <v>0.01</v>
      </c>
      <c r="T187" s="219">
        <v>7.0000000000000001E-3</v>
      </c>
      <c r="U187" s="226">
        <v>0</v>
      </c>
      <c r="V187" s="227">
        <v>29</v>
      </c>
      <c r="W187" s="218"/>
      <c r="X187" s="226">
        <v>1254.1994549999999</v>
      </c>
      <c r="Y187" s="217">
        <v>685.77389517182201</v>
      </c>
      <c r="Z187" s="228">
        <v>573</v>
      </c>
      <c r="AA187" s="229">
        <v>1.1968130805791</v>
      </c>
      <c r="AB187" s="230">
        <v>109.83879661105399</v>
      </c>
      <c r="AC187" s="219">
        <v>0.02</v>
      </c>
      <c r="AD187" s="219">
        <v>0.02</v>
      </c>
      <c r="AE187" s="227">
        <v>0</v>
      </c>
      <c r="AF187" s="227">
        <v>4</v>
      </c>
      <c r="AG187" s="218"/>
      <c r="AH187" s="231">
        <v>157.19999999999999</v>
      </c>
      <c r="AI187" s="217">
        <v>85.954156566756296</v>
      </c>
      <c r="AJ187" s="232" t="s">
        <v>53</v>
      </c>
      <c r="AK187" s="229">
        <v>1.36435169153581</v>
      </c>
      <c r="AL187" s="230">
        <v>31.3802417478122</v>
      </c>
      <c r="AM187" s="219">
        <v>0.02</v>
      </c>
      <c r="AN187" s="219">
        <v>0.02</v>
      </c>
      <c r="AO187" s="227">
        <v>0</v>
      </c>
      <c r="AP187" s="227">
        <v>0</v>
      </c>
      <c r="AQ187" s="218"/>
      <c r="AR187" s="231">
        <v>17.600000000000001</v>
      </c>
      <c r="AS187" s="217">
        <v>9.6233661296113997</v>
      </c>
      <c r="AT187" s="232" t="s">
        <v>54</v>
      </c>
      <c r="AU187" s="224">
        <v>0.60146038310071204</v>
      </c>
      <c r="AV187" s="225">
        <v>-14.3542243180159</v>
      </c>
      <c r="AW187" s="219"/>
      <c r="AX187" s="219"/>
      <c r="AY187" s="227">
        <v>12</v>
      </c>
      <c r="AZ187" s="227">
        <v>18</v>
      </c>
      <c r="BA187" s="218"/>
      <c r="BB187" s="235">
        <v>85</v>
      </c>
      <c r="BC187" s="231">
        <v>46.476484148691398</v>
      </c>
      <c r="BD187" s="232" t="s">
        <v>55</v>
      </c>
      <c r="BE187" s="229">
        <v>1.45239012964661</v>
      </c>
      <c r="BF187" s="230">
        <v>21.091551363968101</v>
      </c>
      <c r="BG187" s="219">
        <v>0.02</v>
      </c>
      <c r="BH187" s="219">
        <v>0.02</v>
      </c>
      <c r="BI187" s="227">
        <v>0</v>
      </c>
      <c r="BJ187" s="227">
        <v>0</v>
      </c>
      <c r="BK187" s="220"/>
      <c r="BL187" s="236">
        <v>0.8</v>
      </c>
      <c r="BM187" s="239">
        <v>0.75</v>
      </c>
      <c r="BN187" s="237"/>
      <c r="BO187" s="238">
        <v>0.95</v>
      </c>
      <c r="BP187" s="229">
        <v>1</v>
      </c>
      <c r="BQ187" s="237">
        <v>2.5000000000000001E-3</v>
      </c>
    </row>
    <row r="188" spans="1:69" s="207" customFormat="1" ht="22.35" customHeight="1" x14ac:dyDescent="0.2">
      <c r="A188" s="216" t="s">
        <v>220</v>
      </c>
      <c r="B188" s="216" t="s">
        <v>240</v>
      </c>
      <c r="C188" s="216" t="s">
        <v>252</v>
      </c>
      <c r="D188" s="217">
        <v>3.0121534749999999</v>
      </c>
      <c r="E188" s="218"/>
      <c r="F188" s="219">
        <v>3.5000000000000003E-2</v>
      </c>
      <c r="G188" s="219">
        <v>1.9E-2</v>
      </c>
      <c r="H188" s="220"/>
      <c r="I188" s="221">
        <v>4</v>
      </c>
      <c r="J188" s="221">
        <v>3</v>
      </c>
      <c r="K188" s="218"/>
      <c r="L188" s="222">
        <v>1238.89231</v>
      </c>
      <c r="M188" s="222">
        <v>459.20697999999999</v>
      </c>
      <c r="N188" s="222">
        <v>1698.0992900000001</v>
      </c>
      <c r="O188" s="217">
        <v>563.74925915751999</v>
      </c>
      <c r="P188" s="223">
        <v>262.53800000000001</v>
      </c>
      <c r="Q188" s="229">
        <v>2.1473053773454498</v>
      </c>
      <c r="R188" s="230">
        <v>834.54050407065097</v>
      </c>
      <c r="S188" s="219">
        <v>0.01</v>
      </c>
      <c r="T188" s="219">
        <v>0.01</v>
      </c>
      <c r="U188" s="226">
        <v>0</v>
      </c>
      <c r="V188" s="227">
        <v>0</v>
      </c>
      <c r="W188" s="218"/>
      <c r="X188" s="226">
        <v>1875.136645</v>
      </c>
      <c r="Y188" s="217">
        <v>622.52360663661102</v>
      </c>
      <c r="Z188" s="228">
        <v>573</v>
      </c>
      <c r="AA188" s="233">
        <v>1.0864286328736701</v>
      </c>
      <c r="AB188" s="234">
        <v>-9.6159787631002001</v>
      </c>
      <c r="AC188" s="219">
        <v>1.9E-2</v>
      </c>
      <c r="AD188" s="219">
        <v>8.9999999999999993E-3</v>
      </c>
      <c r="AE188" s="227">
        <v>0</v>
      </c>
      <c r="AF188" s="227">
        <v>197</v>
      </c>
      <c r="AG188" s="218"/>
      <c r="AH188" s="231">
        <v>157.69999999999999</v>
      </c>
      <c r="AI188" s="217">
        <v>52.354570014066098</v>
      </c>
      <c r="AJ188" s="232" t="s">
        <v>53</v>
      </c>
      <c r="AK188" s="239">
        <v>0.83102492085819202</v>
      </c>
      <c r="AL188" s="222">
        <v>-49.524110466099998</v>
      </c>
      <c r="AM188" s="219"/>
      <c r="AN188" s="219"/>
      <c r="AO188" s="227">
        <v>33</v>
      </c>
      <c r="AP188" s="227">
        <v>71</v>
      </c>
      <c r="AQ188" s="218"/>
      <c r="AR188" s="231">
        <v>17</v>
      </c>
      <c r="AS188" s="217">
        <v>5.64380272821258</v>
      </c>
      <c r="AT188" s="232" t="s">
        <v>54</v>
      </c>
      <c r="AU188" s="224">
        <v>0.35273767051328597</v>
      </c>
      <c r="AV188" s="225">
        <v>-35.628345515200003</v>
      </c>
      <c r="AW188" s="219"/>
      <c r="AX188" s="219"/>
      <c r="AY188" s="227">
        <v>32</v>
      </c>
      <c r="AZ188" s="227">
        <v>41</v>
      </c>
      <c r="BA188" s="218"/>
      <c r="BB188" s="235">
        <v>93</v>
      </c>
      <c r="BC188" s="231">
        <v>30.874920807280599</v>
      </c>
      <c r="BD188" s="232" t="s">
        <v>55</v>
      </c>
      <c r="BE188" s="233">
        <v>0.96484127522751795</v>
      </c>
      <c r="BF188" s="234">
        <v>-12.256691030400001</v>
      </c>
      <c r="BG188" s="219">
        <v>6.0000000000000001E-3</v>
      </c>
      <c r="BH188" s="219"/>
      <c r="BI188" s="227">
        <v>4</v>
      </c>
      <c r="BJ188" s="227">
        <v>23</v>
      </c>
      <c r="BK188" s="220"/>
      <c r="BL188" s="236">
        <v>0.8</v>
      </c>
      <c r="BM188" s="239">
        <v>0.74</v>
      </c>
      <c r="BN188" s="237"/>
      <c r="BO188" s="238">
        <v>0.95</v>
      </c>
      <c r="BP188" s="229">
        <v>1</v>
      </c>
      <c r="BQ188" s="237">
        <v>2.5000000000000001E-3</v>
      </c>
    </row>
    <row r="189" spans="1:69" s="207" customFormat="1" ht="22.35" customHeight="1" x14ac:dyDescent="0.2">
      <c r="A189" s="216" t="s">
        <v>220</v>
      </c>
      <c r="B189" s="216" t="s">
        <v>240</v>
      </c>
      <c r="C189" s="216" t="s">
        <v>253</v>
      </c>
      <c r="D189" s="217">
        <v>2.69738168433333</v>
      </c>
      <c r="E189" s="218"/>
      <c r="F189" s="219">
        <v>0.04</v>
      </c>
      <c r="G189" s="219">
        <v>1.7999999999999999E-2</v>
      </c>
      <c r="H189" s="220"/>
      <c r="I189" s="221">
        <v>6</v>
      </c>
      <c r="J189" s="221">
        <v>5</v>
      </c>
      <c r="K189" s="218"/>
      <c r="L189" s="222">
        <v>2734.70064</v>
      </c>
      <c r="M189" s="222">
        <v>1755.0765899999999</v>
      </c>
      <c r="N189" s="222">
        <v>4489.7772299999997</v>
      </c>
      <c r="O189" s="217">
        <v>1664.49459343373</v>
      </c>
      <c r="P189" s="223">
        <v>243.27799999999999</v>
      </c>
      <c r="Q189" s="229">
        <v>6.8419445795909599</v>
      </c>
      <c r="R189" s="230">
        <v>3773.1919554298402</v>
      </c>
      <c r="S189" s="219">
        <v>0.01</v>
      </c>
      <c r="T189" s="219">
        <v>0.01</v>
      </c>
      <c r="U189" s="226">
        <v>0</v>
      </c>
      <c r="V189" s="227">
        <v>0</v>
      </c>
      <c r="W189" s="218"/>
      <c r="X189" s="226">
        <v>1580.3884499999999</v>
      </c>
      <c r="Y189" s="217">
        <v>585.89722736647002</v>
      </c>
      <c r="Z189" s="228">
        <v>573</v>
      </c>
      <c r="AA189" s="233">
        <v>1.0225082502032601</v>
      </c>
      <c r="AB189" s="234">
        <v>-107.406427994314</v>
      </c>
      <c r="AC189" s="219">
        <v>1.2E-2</v>
      </c>
      <c r="AD189" s="219">
        <v>2E-3</v>
      </c>
      <c r="AE189" s="227">
        <v>0</v>
      </c>
      <c r="AF189" s="227">
        <v>275</v>
      </c>
      <c r="AG189" s="218"/>
      <c r="AH189" s="231">
        <v>157.85</v>
      </c>
      <c r="AI189" s="217">
        <v>58.519712251628597</v>
      </c>
      <c r="AJ189" s="232" t="s">
        <v>53</v>
      </c>
      <c r="AK189" s="233">
        <v>0.92888432145442201</v>
      </c>
      <c r="AL189" s="234">
        <v>-27.7190703553958</v>
      </c>
      <c r="AM189" s="219">
        <v>2E-3</v>
      </c>
      <c r="AN189" s="219"/>
      <c r="AO189" s="227">
        <v>13</v>
      </c>
      <c r="AP189" s="227">
        <v>47</v>
      </c>
      <c r="AQ189" s="218"/>
      <c r="AR189" s="231">
        <v>24.5</v>
      </c>
      <c r="AS189" s="217">
        <v>9.0828821676585392</v>
      </c>
      <c r="AT189" s="232" t="s">
        <v>54</v>
      </c>
      <c r="AU189" s="224">
        <v>0.56768013547865903</v>
      </c>
      <c r="AV189" s="225">
        <v>-22.6286527886719</v>
      </c>
      <c r="AW189" s="219"/>
      <c r="AX189" s="219"/>
      <c r="AY189" s="227">
        <v>19</v>
      </c>
      <c r="AZ189" s="227">
        <v>28</v>
      </c>
      <c r="BA189" s="218"/>
      <c r="BB189" s="235">
        <v>91.4</v>
      </c>
      <c r="BC189" s="231">
        <v>33.884711433632297</v>
      </c>
      <c r="BD189" s="232" t="s">
        <v>55</v>
      </c>
      <c r="BE189" s="233">
        <v>1.05889723230101</v>
      </c>
      <c r="BF189" s="234">
        <v>-2.85730557734388</v>
      </c>
      <c r="BG189" s="219">
        <v>1.6E-2</v>
      </c>
      <c r="BH189" s="219">
        <v>6.0000000000000001E-3</v>
      </c>
      <c r="BI189" s="227">
        <v>0</v>
      </c>
      <c r="BJ189" s="227">
        <v>13</v>
      </c>
      <c r="BK189" s="220"/>
      <c r="BL189" s="236">
        <v>0.8</v>
      </c>
      <c r="BM189" s="233">
        <v>0.86</v>
      </c>
      <c r="BN189" s="237">
        <v>2.2499999999999998E-3</v>
      </c>
      <c r="BO189" s="238">
        <v>0.95</v>
      </c>
      <c r="BP189" s="229">
        <v>1</v>
      </c>
      <c r="BQ189" s="237">
        <v>2.5000000000000001E-3</v>
      </c>
    </row>
    <row r="190" spans="1:69" s="207" customFormat="1" ht="22.35" customHeight="1" x14ac:dyDescent="0.2">
      <c r="A190" s="216" t="s">
        <v>220</v>
      </c>
      <c r="B190" s="216" t="s">
        <v>240</v>
      </c>
      <c r="C190" s="216" t="s">
        <v>254</v>
      </c>
      <c r="D190" s="217">
        <v>2.5112282917777802</v>
      </c>
      <c r="E190" s="218"/>
      <c r="F190" s="219">
        <v>7.0000000000000007E-2</v>
      </c>
      <c r="G190" s="219">
        <v>7.0000000000000007E-2</v>
      </c>
      <c r="H190" s="220"/>
      <c r="I190" s="221">
        <v>5</v>
      </c>
      <c r="J190" s="221">
        <v>5</v>
      </c>
      <c r="K190" s="218"/>
      <c r="L190" s="222">
        <v>322.61516</v>
      </c>
      <c r="M190" s="222">
        <v>-93.955659999999995</v>
      </c>
      <c r="N190" s="222">
        <v>228.65950000000001</v>
      </c>
      <c r="O190" s="217">
        <v>91.054843858152296</v>
      </c>
      <c r="P190" s="223">
        <v>233.029</v>
      </c>
      <c r="Q190" s="224">
        <v>0.39074468782062399</v>
      </c>
      <c r="R190" s="225">
        <v>-410.36690722431501</v>
      </c>
      <c r="S190" s="219"/>
      <c r="T190" s="219"/>
      <c r="U190" s="226">
        <v>357</v>
      </c>
      <c r="V190" s="227">
        <v>474</v>
      </c>
      <c r="W190" s="218"/>
      <c r="X190" s="226">
        <v>2053.2168799999999</v>
      </c>
      <c r="Y190" s="217">
        <v>817.61458594688895</v>
      </c>
      <c r="Z190" s="228">
        <v>573</v>
      </c>
      <c r="AA190" s="229">
        <v>1.42690154615513</v>
      </c>
      <c r="AB190" s="230">
        <v>481.90115818197398</v>
      </c>
      <c r="AC190" s="219">
        <v>0.02</v>
      </c>
      <c r="AD190" s="219">
        <v>0.02</v>
      </c>
      <c r="AE190" s="227">
        <v>0</v>
      </c>
      <c r="AF190" s="227">
        <v>0</v>
      </c>
      <c r="AG190" s="218"/>
      <c r="AH190" s="231">
        <v>198.8</v>
      </c>
      <c r="AI190" s="217">
        <v>79.164447394491205</v>
      </c>
      <c r="AJ190" s="232" t="s">
        <v>53</v>
      </c>
      <c r="AK190" s="229">
        <v>1.2565785300712899</v>
      </c>
      <c r="AL190" s="230">
        <v>26.037538438855801</v>
      </c>
      <c r="AM190" s="219">
        <v>0.02</v>
      </c>
      <c r="AN190" s="219">
        <v>0.02</v>
      </c>
      <c r="AO190" s="227">
        <v>0</v>
      </c>
      <c r="AP190" s="227">
        <v>0</v>
      </c>
      <c r="AQ190" s="218"/>
      <c r="AR190" s="231">
        <v>49.4</v>
      </c>
      <c r="AS190" s="217">
        <v>19.671648396820199</v>
      </c>
      <c r="AT190" s="232" t="s">
        <v>54</v>
      </c>
      <c r="AU190" s="229">
        <v>1.22947802480127</v>
      </c>
      <c r="AV190" s="230">
        <v>5.5238192860586199</v>
      </c>
      <c r="AW190" s="219">
        <v>0.01</v>
      </c>
      <c r="AX190" s="219">
        <v>0.01</v>
      </c>
      <c r="AY190" s="227">
        <v>0</v>
      </c>
      <c r="AZ190" s="227">
        <v>0</v>
      </c>
      <c r="BA190" s="218"/>
      <c r="BB190" s="235">
        <v>138.19999999999999</v>
      </c>
      <c r="BC190" s="231">
        <v>55.0328301303757</v>
      </c>
      <c r="BD190" s="232" t="s">
        <v>55</v>
      </c>
      <c r="BE190" s="229">
        <v>1.71977594157424</v>
      </c>
      <c r="BF190" s="230">
        <v>50.447638572117299</v>
      </c>
      <c r="BG190" s="219">
        <v>0.02</v>
      </c>
      <c r="BH190" s="219">
        <v>0.02</v>
      </c>
      <c r="BI190" s="227">
        <v>0</v>
      </c>
      <c r="BJ190" s="227">
        <v>0</v>
      </c>
      <c r="BK190" s="220"/>
      <c r="BL190" s="236">
        <v>0.8</v>
      </c>
      <c r="BM190" s="239">
        <v>0.78</v>
      </c>
      <c r="BN190" s="237"/>
      <c r="BO190" s="238">
        <v>0.95</v>
      </c>
      <c r="BP190" s="229">
        <v>1</v>
      </c>
      <c r="BQ190" s="237">
        <v>2.5000000000000001E-3</v>
      </c>
    </row>
    <row r="191" spans="1:69" s="207" customFormat="1" ht="22.35" customHeight="1" x14ac:dyDescent="0.2">
      <c r="A191" s="216" t="s">
        <v>220</v>
      </c>
      <c r="B191" s="216" t="s">
        <v>240</v>
      </c>
      <c r="C191" s="216" t="s">
        <v>255</v>
      </c>
      <c r="D191" s="217">
        <v>3.5167137564444402</v>
      </c>
      <c r="E191" s="218"/>
      <c r="F191" s="219">
        <v>0.01</v>
      </c>
      <c r="G191" s="219">
        <v>0.01</v>
      </c>
      <c r="H191" s="220"/>
      <c r="I191" s="221">
        <v>3</v>
      </c>
      <c r="J191" s="221">
        <v>3</v>
      </c>
      <c r="K191" s="218"/>
      <c r="L191" s="222">
        <v>1691.1969899999999</v>
      </c>
      <c r="M191" s="222">
        <v>264.1585</v>
      </c>
      <c r="N191" s="222">
        <v>1955.3554899999999</v>
      </c>
      <c r="O191" s="217">
        <v>556.01781248666396</v>
      </c>
      <c r="P191" s="223">
        <v>232.833</v>
      </c>
      <c r="Q191" s="229">
        <v>2.38805415248983</v>
      </c>
      <c r="R191" s="230">
        <v>1061.21823065278</v>
      </c>
      <c r="S191" s="219">
        <v>0.01</v>
      </c>
      <c r="T191" s="219">
        <v>0.01</v>
      </c>
      <c r="U191" s="226">
        <v>0</v>
      </c>
      <c r="V191" s="227">
        <v>0</v>
      </c>
      <c r="W191" s="218"/>
      <c r="X191" s="226">
        <v>1460.09935</v>
      </c>
      <c r="Y191" s="217">
        <v>415.188568396942</v>
      </c>
      <c r="Z191" s="228">
        <v>573</v>
      </c>
      <c r="AA191" s="239">
        <v>0.72458737940129403</v>
      </c>
      <c r="AB191" s="222">
        <v>-740.36471482738898</v>
      </c>
      <c r="AC191" s="219"/>
      <c r="AD191" s="219"/>
      <c r="AE191" s="227">
        <v>555</v>
      </c>
      <c r="AF191" s="227">
        <v>958</v>
      </c>
      <c r="AG191" s="218"/>
      <c r="AH191" s="231">
        <v>134.80000000000001</v>
      </c>
      <c r="AI191" s="217">
        <v>38.331240281634102</v>
      </c>
      <c r="AJ191" s="232" t="s">
        <v>53</v>
      </c>
      <c r="AK191" s="224">
        <v>0.60843238542276301</v>
      </c>
      <c r="AL191" s="225">
        <v>-107.135839588352</v>
      </c>
      <c r="AM191" s="219"/>
      <c r="AN191" s="219"/>
      <c r="AO191" s="227">
        <v>87</v>
      </c>
      <c r="AP191" s="227">
        <v>132</v>
      </c>
      <c r="AQ191" s="218"/>
      <c r="AR191" s="231">
        <v>31.4</v>
      </c>
      <c r="AS191" s="217">
        <v>8.9287903920126901</v>
      </c>
      <c r="AT191" s="232" t="s">
        <v>54</v>
      </c>
      <c r="AU191" s="224">
        <v>0.55804939950079302</v>
      </c>
      <c r="AV191" s="225">
        <v>-30.0440227525973</v>
      </c>
      <c r="AW191" s="219"/>
      <c r="AX191" s="219"/>
      <c r="AY191" s="227">
        <v>25</v>
      </c>
      <c r="AZ191" s="227">
        <v>37</v>
      </c>
      <c r="BA191" s="218"/>
      <c r="BB191" s="235">
        <v>101.4</v>
      </c>
      <c r="BC191" s="231">
        <v>28.833737125798901</v>
      </c>
      <c r="BD191" s="232" t="s">
        <v>55</v>
      </c>
      <c r="BE191" s="239">
        <v>0.901054285181217</v>
      </c>
      <c r="BF191" s="222">
        <v>-21.488045505194499</v>
      </c>
      <c r="BG191" s="219"/>
      <c r="BH191" s="219"/>
      <c r="BI191" s="227">
        <v>12</v>
      </c>
      <c r="BJ191" s="227">
        <v>34</v>
      </c>
      <c r="BK191" s="220"/>
      <c r="BL191" s="236">
        <v>0.8</v>
      </c>
      <c r="BM191" s="233">
        <v>0.86</v>
      </c>
      <c r="BN191" s="237">
        <v>2.2499999999999998E-3</v>
      </c>
      <c r="BO191" s="238">
        <v>0.95</v>
      </c>
      <c r="BP191" s="229">
        <v>1</v>
      </c>
      <c r="BQ191" s="237">
        <v>2.5000000000000001E-3</v>
      </c>
    </row>
    <row r="192" spans="1:69" s="207" customFormat="1" ht="22.35" customHeight="1" x14ac:dyDescent="0.2">
      <c r="A192" s="216" t="s">
        <v>220</v>
      </c>
      <c r="B192" s="216" t="s">
        <v>240</v>
      </c>
      <c r="C192" s="216" t="s">
        <v>256</v>
      </c>
      <c r="D192" s="217">
        <v>7.4460326411111097</v>
      </c>
      <c r="E192" s="218"/>
      <c r="F192" s="219">
        <v>3.6499999999999998E-2</v>
      </c>
      <c r="G192" s="219">
        <v>1.7999999999999999E-2</v>
      </c>
      <c r="H192" s="220"/>
      <c r="I192" s="221">
        <v>5</v>
      </c>
      <c r="J192" s="221">
        <v>3</v>
      </c>
      <c r="K192" s="218"/>
      <c r="L192" s="222">
        <v>5412.3044399999999</v>
      </c>
      <c r="M192" s="222">
        <v>3870.77934</v>
      </c>
      <c r="N192" s="222">
        <v>9283.0837800000008</v>
      </c>
      <c r="O192" s="217">
        <v>1246.71542919999</v>
      </c>
      <c r="P192" s="223">
        <v>247.167</v>
      </c>
      <c r="Q192" s="229">
        <v>5.0440205577604997</v>
      </c>
      <c r="R192" s="230">
        <v>7273.35218361238</v>
      </c>
      <c r="S192" s="219">
        <v>0.01</v>
      </c>
      <c r="T192" s="219">
        <v>0.01</v>
      </c>
      <c r="U192" s="226">
        <v>0</v>
      </c>
      <c r="V192" s="227">
        <v>0</v>
      </c>
      <c r="W192" s="218"/>
      <c r="X192" s="226">
        <v>4153.0347099999999</v>
      </c>
      <c r="Y192" s="217">
        <v>557.75134359070898</v>
      </c>
      <c r="Z192" s="228">
        <v>573</v>
      </c>
      <c r="AA192" s="233">
        <v>0.97338803418971898</v>
      </c>
      <c r="AB192" s="234">
        <v>-506.06705006547998</v>
      </c>
      <c r="AC192" s="219">
        <v>7.0000000000000001E-3</v>
      </c>
      <c r="AD192" s="219"/>
      <c r="AE192" s="227">
        <v>114</v>
      </c>
      <c r="AF192" s="227">
        <v>967</v>
      </c>
      <c r="AG192" s="218"/>
      <c r="AH192" s="231">
        <v>414</v>
      </c>
      <c r="AI192" s="217">
        <v>55.600078586040397</v>
      </c>
      <c r="AJ192" s="232" t="s">
        <v>53</v>
      </c>
      <c r="AK192" s="239">
        <v>0.88254092993715005</v>
      </c>
      <c r="AL192" s="222">
        <v>-98.257261577879902</v>
      </c>
      <c r="AM192" s="219"/>
      <c r="AN192" s="219"/>
      <c r="AO192" s="227">
        <v>56</v>
      </c>
      <c r="AP192" s="227">
        <v>149</v>
      </c>
      <c r="AQ192" s="218"/>
      <c r="AR192" s="231">
        <v>109.8</v>
      </c>
      <c r="AS192" s="217">
        <v>14.746107798906401</v>
      </c>
      <c r="AT192" s="232" t="s">
        <v>54</v>
      </c>
      <c r="AU192" s="233">
        <v>0.92163173743164795</v>
      </c>
      <c r="AV192" s="234">
        <v>-20.297082305493301</v>
      </c>
      <c r="AW192" s="219">
        <v>5.0000000000000001E-4</v>
      </c>
      <c r="AX192" s="219"/>
      <c r="AY192" s="227">
        <v>10</v>
      </c>
      <c r="AZ192" s="227">
        <v>34</v>
      </c>
      <c r="BA192" s="218"/>
      <c r="BB192" s="235">
        <v>258.39999999999998</v>
      </c>
      <c r="BC192" s="231">
        <v>34.703044218919899</v>
      </c>
      <c r="BD192" s="232" t="s">
        <v>55</v>
      </c>
      <c r="BE192" s="233">
        <v>1.08447013184125</v>
      </c>
      <c r="BF192" s="234">
        <v>-1.79416461098668</v>
      </c>
      <c r="BG192" s="219">
        <v>1.9E-2</v>
      </c>
      <c r="BH192" s="219">
        <v>8.0000000000000002E-3</v>
      </c>
      <c r="BI192" s="227">
        <v>0</v>
      </c>
      <c r="BJ192" s="227">
        <v>28</v>
      </c>
      <c r="BK192" s="220"/>
      <c r="BL192" s="236">
        <v>0.8</v>
      </c>
      <c r="BM192" s="239">
        <v>0.79</v>
      </c>
      <c r="BN192" s="237"/>
      <c r="BO192" s="238">
        <v>0.95</v>
      </c>
      <c r="BP192" s="229">
        <v>1</v>
      </c>
      <c r="BQ192" s="237">
        <v>2.5000000000000001E-3</v>
      </c>
    </row>
    <row r="193" spans="1:69" s="207" customFormat="1" ht="22.35" customHeight="1" x14ac:dyDescent="0.2">
      <c r="A193" s="216" t="s">
        <v>220</v>
      </c>
      <c r="B193" s="216" t="s">
        <v>240</v>
      </c>
      <c r="C193" s="216" t="s">
        <v>257</v>
      </c>
      <c r="D193" s="217">
        <v>10.895669111222199</v>
      </c>
      <c r="E193" s="218"/>
      <c r="F193" s="219">
        <v>0.08</v>
      </c>
      <c r="G193" s="219">
        <v>0.08</v>
      </c>
      <c r="H193" s="220"/>
      <c r="I193" s="221">
        <v>6</v>
      </c>
      <c r="J193" s="221">
        <v>6</v>
      </c>
      <c r="K193" s="218"/>
      <c r="L193" s="222">
        <v>10301.43117</v>
      </c>
      <c r="M193" s="222">
        <v>8405.4289700000008</v>
      </c>
      <c r="N193" s="222">
        <v>18706.860140000001</v>
      </c>
      <c r="O193" s="217">
        <v>1716.90787862973</v>
      </c>
      <c r="P193" s="223">
        <v>236.7</v>
      </c>
      <c r="Q193" s="229">
        <v>7.2535187098847898</v>
      </c>
      <c r="R193" s="230">
        <v>15890.586812540099</v>
      </c>
      <c r="S193" s="219">
        <v>0.01</v>
      </c>
      <c r="T193" s="219">
        <v>0.01</v>
      </c>
      <c r="U193" s="226">
        <v>0</v>
      </c>
      <c r="V193" s="227">
        <v>0</v>
      </c>
      <c r="W193" s="218"/>
      <c r="X193" s="226">
        <v>16623.468495000001</v>
      </c>
      <c r="Y193" s="217">
        <v>1525.6950560180201</v>
      </c>
      <c r="Z193" s="228">
        <v>573</v>
      </c>
      <c r="AA193" s="229">
        <v>2.6626440768202801</v>
      </c>
      <c r="AB193" s="230">
        <v>9805.8740014024806</v>
      </c>
      <c r="AC193" s="219">
        <v>0.02</v>
      </c>
      <c r="AD193" s="219">
        <v>0.02</v>
      </c>
      <c r="AE193" s="227">
        <v>0</v>
      </c>
      <c r="AF193" s="227">
        <v>0</v>
      </c>
      <c r="AG193" s="218"/>
      <c r="AH193" s="231">
        <v>2091.9</v>
      </c>
      <c r="AI193" s="217">
        <v>191.99371591097599</v>
      </c>
      <c r="AJ193" s="232" t="s">
        <v>53</v>
      </c>
      <c r="AK193" s="229">
        <v>3.04751930017422</v>
      </c>
      <c r="AL193" s="230">
        <v>1342.3215478243601</v>
      </c>
      <c r="AM193" s="219">
        <v>0.02</v>
      </c>
      <c r="AN193" s="219">
        <v>0.02</v>
      </c>
      <c r="AO193" s="227">
        <v>0</v>
      </c>
      <c r="AP193" s="227">
        <v>0</v>
      </c>
      <c r="AQ193" s="218"/>
      <c r="AR193" s="231">
        <v>719.7</v>
      </c>
      <c r="AS193" s="217">
        <v>66.053768029604498</v>
      </c>
      <c r="AT193" s="232" t="s">
        <v>54</v>
      </c>
      <c r="AU193" s="229">
        <v>4.1283605018502803</v>
      </c>
      <c r="AV193" s="230">
        <v>529.33086928872501</v>
      </c>
      <c r="AW193" s="219">
        <v>0.01</v>
      </c>
      <c r="AX193" s="219">
        <v>0.01</v>
      </c>
      <c r="AY193" s="227">
        <v>0</v>
      </c>
      <c r="AZ193" s="227">
        <v>0</v>
      </c>
      <c r="BA193" s="218"/>
      <c r="BB193" s="235">
        <v>1267.4000000000001</v>
      </c>
      <c r="BC193" s="231">
        <v>116.32144727069701</v>
      </c>
      <c r="BD193" s="232" t="s">
        <v>55</v>
      </c>
      <c r="BE193" s="229">
        <v>3.6350452272092801</v>
      </c>
      <c r="BF193" s="230">
        <v>886.66173857745105</v>
      </c>
      <c r="BG193" s="219">
        <v>0.02</v>
      </c>
      <c r="BH193" s="219">
        <v>0.02</v>
      </c>
      <c r="BI193" s="227">
        <v>0</v>
      </c>
      <c r="BJ193" s="227">
        <v>0</v>
      </c>
      <c r="BK193" s="220"/>
      <c r="BL193" s="236">
        <v>0.8</v>
      </c>
      <c r="BM193" s="239">
        <v>0.77</v>
      </c>
      <c r="BN193" s="237"/>
      <c r="BO193" s="238">
        <v>0.95</v>
      </c>
      <c r="BP193" s="229">
        <v>1</v>
      </c>
      <c r="BQ193" s="237">
        <v>2.5000000000000001E-3</v>
      </c>
    </row>
    <row r="194" spans="1:69" s="207" customFormat="1" ht="22.35" customHeight="1" x14ac:dyDescent="0.2">
      <c r="A194" s="216" t="s">
        <v>220</v>
      </c>
      <c r="B194" s="216" t="s">
        <v>240</v>
      </c>
      <c r="C194" s="216" t="s">
        <v>258</v>
      </c>
      <c r="D194" s="217">
        <v>1.7385762385555601</v>
      </c>
      <c r="E194" s="218"/>
      <c r="F194" s="219">
        <v>2.4E-2</v>
      </c>
      <c r="G194" s="219">
        <v>8.0000000000000002E-3</v>
      </c>
      <c r="H194" s="220"/>
      <c r="I194" s="221">
        <v>3</v>
      </c>
      <c r="J194" s="221">
        <v>3</v>
      </c>
      <c r="K194" s="218"/>
      <c r="L194" s="222">
        <v>677.33524</v>
      </c>
      <c r="M194" s="222">
        <v>-241.26714999999999</v>
      </c>
      <c r="N194" s="222">
        <v>436.06808999999998</v>
      </c>
      <c r="O194" s="217">
        <v>250.81907846750201</v>
      </c>
      <c r="P194" s="223">
        <v>236.7</v>
      </c>
      <c r="Q194" s="233">
        <v>1.05964967666879</v>
      </c>
      <c r="R194" s="234">
        <v>-13.312837267382299</v>
      </c>
      <c r="S194" s="219">
        <v>8.0000000000000002E-3</v>
      </c>
      <c r="T194" s="219">
        <v>3.0000000000000001E-3</v>
      </c>
      <c r="U194" s="226">
        <v>0</v>
      </c>
      <c r="V194" s="227">
        <v>58</v>
      </c>
      <c r="W194" s="218"/>
      <c r="X194" s="226">
        <v>1047.613605</v>
      </c>
      <c r="Y194" s="217">
        <v>602.56983948565801</v>
      </c>
      <c r="Z194" s="228">
        <v>573</v>
      </c>
      <c r="AA194" s="233">
        <v>1.05160530451249</v>
      </c>
      <c r="AB194" s="234">
        <v>-40.2413646840307</v>
      </c>
      <c r="AC194" s="219">
        <v>1.6E-2</v>
      </c>
      <c r="AD194" s="219">
        <v>5.0000000000000001E-3</v>
      </c>
      <c r="AE194" s="227">
        <v>0</v>
      </c>
      <c r="AF194" s="227">
        <v>148</v>
      </c>
      <c r="AG194" s="218"/>
      <c r="AH194" s="231">
        <v>77.650000000000006</v>
      </c>
      <c r="AI194" s="217">
        <v>44.662982432402998</v>
      </c>
      <c r="AJ194" s="232" t="s">
        <v>53</v>
      </c>
      <c r="AK194" s="224">
        <v>0.70893622908576104</v>
      </c>
      <c r="AL194" s="225">
        <v>-41.957090907668302</v>
      </c>
      <c r="AM194" s="219"/>
      <c r="AN194" s="219"/>
      <c r="AO194" s="227">
        <v>32</v>
      </c>
      <c r="AP194" s="227">
        <v>54</v>
      </c>
      <c r="AQ194" s="218"/>
      <c r="AR194" s="231">
        <v>8</v>
      </c>
      <c r="AS194" s="217">
        <v>4.6014663162810496</v>
      </c>
      <c r="AT194" s="232" t="s">
        <v>54</v>
      </c>
      <c r="AU194" s="224">
        <v>0.28759164476756599</v>
      </c>
      <c r="AV194" s="225">
        <v>-22.376404040042701</v>
      </c>
      <c r="AW194" s="219"/>
      <c r="AX194" s="219"/>
      <c r="AY194" s="227">
        <v>20</v>
      </c>
      <c r="AZ194" s="227">
        <v>26</v>
      </c>
      <c r="BA194" s="218"/>
      <c r="BB194" s="235">
        <v>50.6</v>
      </c>
      <c r="BC194" s="231">
        <v>29.1042744504777</v>
      </c>
      <c r="BD194" s="232" t="s">
        <v>55</v>
      </c>
      <c r="BE194" s="239">
        <v>0.90950857657742701</v>
      </c>
      <c r="BF194" s="222">
        <v>-10.152808080085499</v>
      </c>
      <c r="BG194" s="219">
        <v>0</v>
      </c>
      <c r="BH194" s="219"/>
      <c r="BI194" s="227">
        <v>6</v>
      </c>
      <c r="BJ194" s="227">
        <v>17</v>
      </c>
      <c r="BK194" s="220"/>
      <c r="BL194" s="236">
        <v>0.8</v>
      </c>
      <c r="BM194" s="239">
        <v>0.75</v>
      </c>
      <c r="BN194" s="237"/>
      <c r="BO194" s="238">
        <v>0.95</v>
      </c>
      <c r="BP194" s="229">
        <v>1</v>
      </c>
      <c r="BQ194" s="237">
        <v>2.5000000000000001E-3</v>
      </c>
    </row>
    <row r="195" spans="1:69" s="207" customFormat="1" ht="22.35" customHeight="1" x14ac:dyDescent="0.2">
      <c r="A195" s="216" t="s">
        <v>220</v>
      </c>
      <c r="B195" s="216" t="s">
        <v>240</v>
      </c>
      <c r="C195" s="216" t="s">
        <v>259</v>
      </c>
      <c r="D195" s="217">
        <v>4.5380946794444403</v>
      </c>
      <c r="E195" s="218"/>
      <c r="F195" s="219">
        <v>6.0999999999999999E-2</v>
      </c>
      <c r="G195" s="219">
        <v>4.1000000000000002E-2</v>
      </c>
      <c r="H195" s="220"/>
      <c r="I195" s="221">
        <v>5</v>
      </c>
      <c r="J195" s="221">
        <v>5</v>
      </c>
      <c r="K195" s="218"/>
      <c r="L195" s="222">
        <v>3767.9607900000001</v>
      </c>
      <c r="M195" s="222">
        <v>1546.2014200000001</v>
      </c>
      <c r="N195" s="222">
        <v>5314.1622100000004</v>
      </c>
      <c r="O195" s="217">
        <v>1171.0117539131099</v>
      </c>
      <c r="P195" s="223">
        <v>287.5</v>
      </c>
      <c r="Q195" s="229">
        <v>4.0730843614368997</v>
      </c>
      <c r="R195" s="230">
        <v>3889.4273853884201</v>
      </c>
      <c r="S195" s="219">
        <v>0.01</v>
      </c>
      <c r="T195" s="219">
        <v>0.01</v>
      </c>
      <c r="U195" s="226">
        <v>0</v>
      </c>
      <c r="V195" s="227">
        <v>0</v>
      </c>
      <c r="W195" s="218"/>
      <c r="X195" s="226">
        <v>2620.8349450000001</v>
      </c>
      <c r="Y195" s="217">
        <v>577.51878929966301</v>
      </c>
      <c r="Z195" s="228">
        <v>573</v>
      </c>
      <c r="AA195" s="233">
        <v>1.0078861942402499</v>
      </c>
      <c r="AB195" s="234">
        <v>-218.72350544325801</v>
      </c>
      <c r="AC195" s="219">
        <v>1.0999999999999999E-2</v>
      </c>
      <c r="AD195" s="219">
        <v>1E-3</v>
      </c>
      <c r="AE195" s="227">
        <v>0</v>
      </c>
      <c r="AF195" s="227">
        <v>500</v>
      </c>
      <c r="AG195" s="218"/>
      <c r="AH195" s="231">
        <v>314.05</v>
      </c>
      <c r="AI195" s="217">
        <v>69.203051541103207</v>
      </c>
      <c r="AJ195" s="232" t="s">
        <v>53</v>
      </c>
      <c r="AK195" s="229">
        <v>1.09846113557307</v>
      </c>
      <c r="AL195" s="230">
        <v>1.84723843294029</v>
      </c>
      <c r="AM195" s="219">
        <v>0.02</v>
      </c>
      <c r="AN195" s="219">
        <v>0.01</v>
      </c>
      <c r="AO195" s="227">
        <v>0</v>
      </c>
      <c r="AP195" s="227">
        <v>30</v>
      </c>
      <c r="AQ195" s="218"/>
      <c r="AR195" s="231">
        <v>60.4</v>
      </c>
      <c r="AS195" s="217">
        <v>13.3095504317231</v>
      </c>
      <c r="AT195" s="232" t="s">
        <v>54</v>
      </c>
      <c r="AU195" s="239">
        <v>0.83184690198269196</v>
      </c>
      <c r="AV195" s="222">
        <v>-18.889590239253302</v>
      </c>
      <c r="AW195" s="219"/>
      <c r="AX195" s="219"/>
      <c r="AY195" s="227">
        <v>13</v>
      </c>
      <c r="AZ195" s="227">
        <v>27</v>
      </c>
      <c r="BA195" s="218"/>
      <c r="BB195" s="235">
        <v>192.8</v>
      </c>
      <c r="BC195" s="231">
        <v>42.484790119804799</v>
      </c>
      <c r="BD195" s="232" t="s">
        <v>55</v>
      </c>
      <c r="BE195" s="229">
        <v>1.3276496912439</v>
      </c>
      <c r="BF195" s="230">
        <v>34.220819521493503</v>
      </c>
      <c r="BG195" s="219">
        <v>0.02</v>
      </c>
      <c r="BH195" s="219">
        <v>0.02</v>
      </c>
      <c r="BI195" s="227">
        <v>0</v>
      </c>
      <c r="BJ195" s="227">
        <v>0</v>
      </c>
      <c r="BK195" s="220"/>
      <c r="BL195" s="236">
        <v>0.8</v>
      </c>
      <c r="BM195" s="239">
        <v>0.73</v>
      </c>
      <c r="BN195" s="237"/>
      <c r="BO195" s="238">
        <v>0.95</v>
      </c>
      <c r="BP195" s="229">
        <v>1</v>
      </c>
      <c r="BQ195" s="237">
        <v>2.5000000000000001E-3</v>
      </c>
    </row>
    <row r="196" spans="1:69" s="207" customFormat="1" ht="22.35" customHeight="1" x14ac:dyDescent="0.2">
      <c r="A196" s="216" t="s">
        <v>220</v>
      </c>
      <c r="B196" s="216" t="s">
        <v>260</v>
      </c>
      <c r="C196" s="216" t="s">
        <v>261</v>
      </c>
      <c r="D196" s="217">
        <v>9.6008684323333302</v>
      </c>
      <c r="E196" s="218"/>
      <c r="F196" s="219">
        <v>2.5000000000000001E-2</v>
      </c>
      <c r="G196" s="219">
        <v>1.4999999999999999E-2</v>
      </c>
      <c r="H196" s="220"/>
      <c r="I196" s="221">
        <v>3</v>
      </c>
      <c r="J196" s="221">
        <v>3</v>
      </c>
      <c r="K196" s="218"/>
      <c r="L196" s="222">
        <v>5148.34238</v>
      </c>
      <c r="M196" s="222">
        <v>1734.13166</v>
      </c>
      <c r="N196" s="222">
        <v>6882.4740400000001</v>
      </c>
      <c r="O196" s="217">
        <v>716.85953083385004</v>
      </c>
      <c r="P196" s="223">
        <v>270.3</v>
      </c>
      <c r="Q196" s="229">
        <v>2.6520885343464702</v>
      </c>
      <c r="R196" s="230">
        <v>4048.60874691241</v>
      </c>
      <c r="S196" s="219">
        <v>0.01</v>
      </c>
      <c r="T196" s="219">
        <v>0.01</v>
      </c>
      <c r="U196" s="226">
        <v>0</v>
      </c>
      <c r="V196" s="227">
        <v>0</v>
      </c>
      <c r="W196" s="218"/>
      <c r="X196" s="226">
        <v>4931.3633250000003</v>
      </c>
      <c r="Y196" s="217">
        <v>513.63721519111698</v>
      </c>
      <c r="Z196" s="228">
        <v>573</v>
      </c>
      <c r="AA196" s="239">
        <v>0.89640002651154804</v>
      </c>
      <c r="AB196" s="222">
        <v>-1076.05366700588</v>
      </c>
      <c r="AC196" s="219"/>
      <c r="AD196" s="219"/>
      <c r="AE196" s="227">
        <v>570</v>
      </c>
      <c r="AF196" s="227">
        <v>1671</v>
      </c>
      <c r="AG196" s="218"/>
      <c r="AH196" s="231">
        <v>468.6</v>
      </c>
      <c r="AI196" s="217">
        <v>48.8080847376131</v>
      </c>
      <c r="AJ196" s="232" t="s">
        <v>53</v>
      </c>
      <c r="AK196" s="239">
        <v>0.77473150377163602</v>
      </c>
      <c r="AL196" s="222">
        <v>-191.90134467080401</v>
      </c>
      <c r="AM196" s="219"/>
      <c r="AN196" s="219"/>
      <c r="AO196" s="227">
        <v>137</v>
      </c>
      <c r="AP196" s="227">
        <v>258</v>
      </c>
      <c r="AQ196" s="218"/>
      <c r="AR196" s="231">
        <v>85.8</v>
      </c>
      <c r="AS196" s="217">
        <v>8.9366915716756399</v>
      </c>
      <c r="AT196" s="232" t="s">
        <v>54</v>
      </c>
      <c r="AU196" s="224">
        <v>0.55854322322972805</v>
      </c>
      <c r="AV196" s="225">
        <v>-81.946373249727998</v>
      </c>
      <c r="AW196" s="219"/>
      <c r="AX196" s="219"/>
      <c r="AY196" s="227">
        <v>68</v>
      </c>
      <c r="AZ196" s="227">
        <v>99</v>
      </c>
      <c r="BA196" s="218"/>
      <c r="BB196" s="235">
        <v>322.60000000000002</v>
      </c>
      <c r="BC196" s="231">
        <v>33.601127051544999</v>
      </c>
      <c r="BD196" s="232" t="s">
        <v>55</v>
      </c>
      <c r="BE196" s="233">
        <v>1.0500352203607799</v>
      </c>
      <c r="BF196" s="234">
        <v>-12.8927464994559</v>
      </c>
      <c r="BG196" s="219">
        <v>1.4999999999999999E-2</v>
      </c>
      <c r="BH196" s="219">
        <v>5.0000000000000001E-3</v>
      </c>
      <c r="BI196" s="227">
        <v>0</v>
      </c>
      <c r="BJ196" s="227">
        <v>47</v>
      </c>
      <c r="BK196" s="220"/>
      <c r="BL196" s="236">
        <v>0.8</v>
      </c>
      <c r="BM196" s="239">
        <v>0.71</v>
      </c>
      <c r="BN196" s="237"/>
      <c r="BO196" s="238">
        <v>0.95</v>
      </c>
      <c r="BP196" s="229">
        <v>1</v>
      </c>
      <c r="BQ196" s="237">
        <v>2.5000000000000001E-3</v>
      </c>
    </row>
    <row r="197" spans="1:69" s="207" customFormat="1" ht="22.35" customHeight="1" x14ac:dyDescent="0.2">
      <c r="A197" s="216" t="s">
        <v>220</v>
      </c>
      <c r="B197" s="216" t="s">
        <v>260</v>
      </c>
      <c r="C197" s="216" t="s">
        <v>262</v>
      </c>
      <c r="D197" s="217">
        <v>4.5932318577777798</v>
      </c>
      <c r="E197" s="218"/>
      <c r="F197" s="219">
        <v>2.1000000000000001E-2</v>
      </c>
      <c r="G197" s="219">
        <v>0.01</v>
      </c>
      <c r="H197" s="220"/>
      <c r="I197" s="221">
        <v>5</v>
      </c>
      <c r="J197" s="221">
        <v>3</v>
      </c>
      <c r="K197" s="218"/>
      <c r="L197" s="222">
        <v>1825.9501299999999</v>
      </c>
      <c r="M197" s="222">
        <v>2400.7129500000001</v>
      </c>
      <c r="N197" s="222">
        <v>4226.6630800000003</v>
      </c>
      <c r="O197" s="217">
        <v>920.193713461892</v>
      </c>
      <c r="P197" s="223">
        <v>214.857</v>
      </c>
      <c r="Q197" s="229">
        <v>4.2828193331466604</v>
      </c>
      <c r="R197" s="230">
        <v>3148.9813651449199</v>
      </c>
      <c r="S197" s="219">
        <v>0.01</v>
      </c>
      <c r="T197" s="219">
        <v>0.01</v>
      </c>
      <c r="U197" s="226">
        <v>0</v>
      </c>
      <c r="V197" s="227">
        <v>0</v>
      </c>
      <c r="W197" s="218"/>
      <c r="X197" s="226">
        <v>2609.2435650000002</v>
      </c>
      <c r="Y197" s="217">
        <v>568.062672599846</v>
      </c>
      <c r="Z197" s="228">
        <v>573</v>
      </c>
      <c r="AA197" s="233">
        <v>0.99138337277459998</v>
      </c>
      <c r="AB197" s="234">
        <v>-264.81510012128098</v>
      </c>
      <c r="AC197" s="219">
        <v>8.9999999999999993E-3</v>
      </c>
      <c r="AD197" s="219"/>
      <c r="AE197" s="227">
        <v>23</v>
      </c>
      <c r="AF197" s="227">
        <v>550</v>
      </c>
      <c r="AG197" s="218"/>
      <c r="AH197" s="231">
        <v>230.15</v>
      </c>
      <c r="AI197" s="217">
        <v>50.106331908824501</v>
      </c>
      <c r="AJ197" s="232" t="s">
        <v>53</v>
      </c>
      <c r="AK197" s="239">
        <v>0.79533860172737303</v>
      </c>
      <c r="AL197" s="222">
        <v>-85.845978887680104</v>
      </c>
      <c r="AM197" s="219"/>
      <c r="AN197" s="219"/>
      <c r="AO197" s="227">
        <v>60</v>
      </c>
      <c r="AP197" s="227">
        <v>118</v>
      </c>
      <c r="AQ197" s="218"/>
      <c r="AR197" s="231">
        <v>29.6</v>
      </c>
      <c r="AS197" s="217">
        <v>6.4442642819952498</v>
      </c>
      <c r="AT197" s="232" t="s">
        <v>54</v>
      </c>
      <c r="AU197" s="224">
        <v>0.402766517624703</v>
      </c>
      <c r="AV197" s="225">
        <v>-50.652947019093403</v>
      </c>
      <c r="AW197" s="219"/>
      <c r="AX197" s="219"/>
      <c r="AY197" s="227">
        <v>44</v>
      </c>
      <c r="AZ197" s="227">
        <v>59</v>
      </c>
      <c r="BA197" s="218"/>
      <c r="BB197" s="235">
        <v>136</v>
      </c>
      <c r="BC197" s="231">
        <v>29.6087818361944</v>
      </c>
      <c r="BD197" s="232" t="s">
        <v>55</v>
      </c>
      <c r="BE197" s="233">
        <v>0.92527443238107399</v>
      </c>
      <c r="BF197" s="234">
        <v>-24.5058940381867</v>
      </c>
      <c r="BG197" s="219">
        <v>2E-3</v>
      </c>
      <c r="BH197" s="219"/>
      <c r="BI197" s="227">
        <v>11</v>
      </c>
      <c r="BJ197" s="227">
        <v>41</v>
      </c>
      <c r="BK197" s="220"/>
      <c r="BL197" s="236">
        <v>0.8</v>
      </c>
      <c r="BM197" s="233">
        <v>0.81</v>
      </c>
      <c r="BN197" s="237">
        <v>3.7500000000000001E-4</v>
      </c>
      <c r="BO197" s="238">
        <v>0.95</v>
      </c>
      <c r="BP197" s="229">
        <v>1</v>
      </c>
      <c r="BQ197" s="237">
        <v>2.5000000000000001E-3</v>
      </c>
    </row>
    <row r="198" spans="1:69" s="207" customFormat="1" ht="22.35" customHeight="1" x14ac:dyDescent="0.2">
      <c r="A198" s="216" t="s">
        <v>220</v>
      </c>
      <c r="B198" s="216" t="s">
        <v>260</v>
      </c>
      <c r="C198" s="216" t="s">
        <v>263</v>
      </c>
      <c r="D198" s="217">
        <v>1.9563433723333301</v>
      </c>
      <c r="E198" s="218"/>
      <c r="F198" s="219">
        <v>4.3999999999999997E-2</v>
      </c>
      <c r="G198" s="219">
        <v>3.1E-2</v>
      </c>
      <c r="H198" s="220"/>
      <c r="I198" s="221">
        <v>5</v>
      </c>
      <c r="J198" s="221">
        <v>5</v>
      </c>
      <c r="K198" s="218"/>
      <c r="L198" s="222">
        <v>303.43943999999999</v>
      </c>
      <c r="M198" s="222">
        <v>1778.1423199999999</v>
      </c>
      <c r="N198" s="222">
        <v>2081.58176</v>
      </c>
      <c r="O198" s="217">
        <v>1064.0165675605799</v>
      </c>
      <c r="P198" s="223">
        <v>241.29400000000001</v>
      </c>
      <c r="Q198" s="229">
        <v>4.4096271252520998</v>
      </c>
      <c r="R198" s="230">
        <v>1566.0988818892899</v>
      </c>
      <c r="S198" s="219">
        <v>0.01</v>
      </c>
      <c r="T198" s="219">
        <v>0.01</v>
      </c>
      <c r="U198" s="226">
        <v>0</v>
      </c>
      <c r="V198" s="227">
        <v>0</v>
      </c>
      <c r="W198" s="218"/>
      <c r="X198" s="226">
        <v>1316.923225</v>
      </c>
      <c r="Y198" s="217">
        <v>673.15546116492999</v>
      </c>
      <c r="Z198" s="228">
        <v>573</v>
      </c>
      <c r="AA198" s="229">
        <v>1.17479138074159</v>
      </c>
      <c r="AB198" s="230">
        <v>92.807875437078096</v>
      </c>
      <c r="AC198" s="219">
        <v>0.02</v>
      </c>
      <c r="AD198" s="219">
        <v>1.7000000000000001E-2</v>
      </c>
      <c r="AE198" s="227">
        <v>0</v>
      </c>
      <c r="AF198" s="227">
        <v>29</v>
      </c>
      <c r="AG198" s="218"/>
      <c r="AH198" s="231">
        <v>103.8</v>
      </c>
      <c r="AI198" s="217">
        <v>53.0581703948002</v>
      </c>
      <c r="AJ198" s="232" t="s">
        <v>53</v>
      </c>
      <c r="AK198" s="239">
        <v>0.84219318086984396</v>
      </c>
      <c r="AL198" s="222">
        <v>-30.788598643043802</v>
      </c>
      <c r="AM198" s="219"/>
      <c r="AN198" s="219"/>
      <c r="AO198" s="227">
        <v>20</v>
      </c>
      <c r="AP198" s="227">
        <v>45</v>
      </c>
      <c r="AQ198" s="218"/>
      <c r="AR198" s="231">
        <v>3.8</v>
      </c>
      <c r="AS198" s="217">
        <v>1.94239930154374</v>
      </c>
      <c r="AT198" s="232" t="s">
        <v>54</v>
      </c>
      <c r="AU198" s="224">
        <v>0.121399956346484</v>
      </c>
      <c r="AV198" s="225">
        <v>-30.381231401407899</v>
      </c>
      <c r="AW198" s="219"/>
      <c r="AX198" s="219"/>
      <c r="AY198" s="227">
        <v>28</v>
      </c>
      <c r="AZ198" s="227">
        <v>34</v>
      </c>
      <c r="BA198" s="218"/>
      <c r="BB198" s="235">
        <v>64.8</v>
      </c>
      <c r="BC198" s="231">
        <v>33.123019668430203</v>
      </c>
      <c r="BD198" s="232" t="s">
        <v>55</v>
      </c>
      <c r="BE198" s="233">
        <v>1.0350943646384401</v>
      </c>
      <c r="BF198" s="234">
        <v>-3.5624628028158898</v>
      </c>
      <c r="BG198" s="219">
        <v>1.4E-2</v>
      </c>
      <c r="BH198" s="219">
        <v>4.0000000000000001E-3</v>
      </c>
      <c r="BI198" s="227">
        <v>0</v>
      </c>
      <c r="BJ198" s="227">
        <v>11</v>
      </c>
      <c r="BK198" s="220"/>
      <c r="BL198" s="236">
        <v>0.8</v>
      </c>
      <c r="BM198" s="233">
        <v>0.83</v>
      </c>
      <c r="BN198" s="237">
        <v>1.1249999999999999E-3</v>
      </c>
      <c r="BO198" s="238">
        <v>0.95</v>
      </c>
      <c r="BP198" s="229">
        <v>1</v>
      </c>
      <c r="BQ198" s="237">
        <v>2.5000000000000001E-3</v>
      </c>
    </row>
    <row r="199" spans="1:69" s="207" customFormat="1" ht="22.35" customHeight="1" x14ac:dyDescent="0.2">
      <c r="A199" s="216" t="s">
        <v>220</v>
      </c>
      <c r="B199" s="216" t="s">
        <v>260</v>
      </c>
      <c r="C199" s="216" t="s">
        <v>264</v>
      </c>
      <c r="D199" s="217">
        <v>2.6404956531111101</v>
      </c>
      <c r="E199" s="218"/>
      <c r="F199" s="219">
        <v>0.01</v>
      </c>
      <c r="G199" s="219">
        <v>0.01</v>
      </c>
      <c r="H199" s="220"/>
      <c r="I199" s="221">
        <v>2</v>
      </c>
      <c r="J199" s="221">
        <v>2</v>
      </c>
      <c r="K199" s="218"/>
      <c r="L199" s="222">
        <v>-450.04138999999998</v>
      </c>
      <c r="M199" s="222">
        <v>1658.5014000000001</v>
      </c>
      <c r="N199" s="222">
        <v>1208.46001</v>
      </c>
      <c r="O199" s="217">
        <v>457.66407855137197</v>
      </c>
      <c r="P199" s="223">
        <v>244.16499999999999</v>
      </c>
      <c r="Q199" s="229">
        <v>1.8744049251586901</v>
      </c>
      <c r="R199" s="230">
        <v>504.42945971307302</v>
      </c>
      <c r="S199" s="219">
        <v>0.01</v>
      </c>
      <c r="T199" s="219">
        <v>0.01</v>
      </c>
      <c r="U199" s="226">
        <v>0</v>
      </c>
      <c r="V199" s="227">
        <v>0</v>
      </c>
      <c r="W199" s="218"/>
      <c r="X199" s="226">
        <v>1220.773635</v>
      </c>
      <c r="Y199" s="217">
        <v>462.327454908569</v>
      </c>
      <c r="Z199" s="228">
        <v>573</v>
      </c>
      <c r="AA199" s="239">
        <v>0.80685419704811401</v>
      </c>
      <c r="AB199" s="222">
        <v>-431.42674308207103</v>
      </c>
      <c r="AC199" s="219"/>
      <c r="AD199" s="219"/>
      <c r="AE199" s="227">
        <v>293</v>
      </c>
      <c r="AF199" s="227">
        <v>595</v>
      </c>
      <c r="AG199" s="218"/>
      <c r="AH199" s="231">
        <v>104.7</v>
      </c>
      <c r="AI199" s="217">
        <v>39.651646415944398</v>
      </c>
      <c r="AJ199" s="232" t="s">
        <v>53</v>
      </c>
      <c r="AK199" s="224">
        <v>0.62939121295149902</v>
      </c>
      <c r="AL199" s="225">
        <v>-76.955538951431905</v>
      </c>
      <c r="AM199" s="219"/>
      <c r="AN199" s="219"/>
      <c r="AO199" s="227">
        <v>62</v>
      </c>
      <c r="AP199" s="227">
        <v>95</v>
      </c>
      <c r="AQ199" s="218"/>
      <c r="AR199" s="231">
        <v>11.8</v>
      </c>
      <c r="AS199" s="217">
        <v>4.4688579532774</v>
      </c>
      <c r="AT199" s="232" t="s">
        <v>54</v>
      </c>
      <c r="AU199" s="224">
        <v>0.279303622079837</v>
      </c>
      <c r="AV199" s="225">
        <v>-34.334740051157297</v>
      </c>
      <c r="AW199" s="219"/>
      <c r="AX199" s="219"/>
      <c r="AY199" s="227">
        <v>31</v>
      </c>
      <c r="AZ199" s="227">
        <v>39</v>
      </c>
      <c r="BA199" s="218"/>
      <c r="BB199" s="235">
        <v>75.2</v>
      </c>
      <c r="BC199" s="231">
        <v>28.479501532750898</v>
      </c>
      <c r="BD199" s="232" t="s">
        <v>55</v>
      </c>
      <c r="BE199" s="239">
        <v>0.88998442289846602</v>
      </c>
      <c r="BF199" s="222">
        <v>-17.0694801023146</v>
      </c>
      <c r="BG199" s="219"/>
      <c r="BH199" s="219"/>
      <c r="BI199" s="227">
        <v>10</v>
      </c>
      <c r="BJ199" s="227">
        <v>27</v>
      </c>
      <c r="BK199" s="220"/>
      <c r="BL199" s="236">
        <v>0.8</v>
      </c>
      <c r="BM199" s="239">
        <v>0.74</v>
      </c>
      <c r="BN199" s="237"/>
      <c r="BO199" s="238">
        <v>0.95</v>
      </c>
      <c r="BP199" s="229">
        <v>1</v>
      </c>
      <c r="BQ199" s="237">
        <v>2.5000000000000001E-3</v>
      </c>
    </row>
    <row r="200" spans="1:69" s="207" customFormat="1" ht="22.35" customHeight="1" x14ac:dyDescent="0.2">
      <c r="A200" s="216" t="s">
        <v>220</v>
      </c>
      <c r="B200" s="216" t="s">
        <v>260</v>
      </c>
      <c r="C200" s="216" t="s">
        <v>265</v>
      </c>
      <c r="D200" s="217">
        <v>2.692140728</v>
      </c>
      <c r="E200" s="218"/>
      <c r="F200" s="219">
        <v>5.0999999999999997E-2</v>
      </c>
      <c r="G200" s="219">
        <v>3.5000000000000003E-2</v>
      </c>
      <c r="H200" s="220"/>
      <c r="I200" s="221">
        <v>6</v>
      </c>
      <c r="J200" s="221">
        <v>5</v>
      </c>
      <c r="K200" s="218"/>
      <c r="L200" s="222">
        <v>946.32518000000005</v>
      </c>
      <c r="M200" s="222">
        <v>39.442729999999997</v>
      </c>
      <c r="N200" s="222">
        <v>985.76791000000003</v>
      </c>
      <c r="O200" s="217">
        <v>366.16507441359897</v>
      </c>
      <c r="P200" s="223">
        <v>217.55099999999999</v>
      </c>
      <c r="Q200" s="229">
        <v>1.6831229202053699</v>
      </c>
      <c r="R200" s="230">
        <v>346.207634991296</v>
      </c>
      <c r="S200" s="219">
        <v>0.01</v>
      </c>
      <c r="T200" s="219">
        <v>0.01</v>
      </c>
      <c r="U200" s="226">
        <v>0</v>
      </c>
      <c r="V200" s="227">
        <v>0</v>
      </c>
      <c r="W200" s="218"/>
      <c r="X200" s="226">
        <v>1708.4290699999999</v>
      </c>
      <c r="Y200" s="217">
        <v>634.59872369643801</v>
      </c>
      <c r="Z200" s="228">
        <v>573</v>
      </c>
      <c r="AA200" s="229">
        <v>1.1075021355958801</v>
      </c>
      <c r="AB200" s="230">
        <v>23.9135422387521</v>
      </c>
      <c r="AC200" s="219">
        <v>0.02</v>
      </c>
      <c r="AD200" s="219">
        <v>1.0999999999999999E-2</v>
      </c>
      <c r="AE200" s="227">
        <v>0</v>
      </c>
      <c r="AF200" s="227">
        <v>143</v>
      </c>
      <c r="AG200" s="218"/>
      <c r="AH200" s="231">
        <v>155.9</v>
      </c>
      <c r="AI200" s="217">
        <v>57.909305549498001</v>
      </c>
      <c r="AJ200" s="232" t="s">
        <v>53</v>
      </c>
      <c r="AK200" s="233">
        <v>0.91919532618250799</v>
      </c>
      <c r="AL200" s="234">
        <v>-29.308513523487999</v>
      </c>
      <c r="AM200" s="219">
        <v>1E-3</v>
      </c>
      <c r="AN200" s="219"/>
      <c r="AO200" s="227">
        <v>14</v>
      </c>
      <c r="AP200" s="227">
        <v>48</v>
      </c>
      <c r="AQ200" s="218"/>
      <c r="AR200" s="231">
        <v>24.8</v>
      </c>
      <c r="AS200" s="217">
        <v>9.2119998564948702</v>
      </c>
      <c r="AT200" s="232" t="s">
        <v>54</v>
      </c>
      <c r="AU200" s="224">
        <v>0.57574999103092905</v>
      </c>
      <c r="AV200" s="225">
        <v>-22.237082799616001</v>
      </c>
      <c r="AW200" s="219"/>
      <c r="AX200" s="219"/>
      <c r="AY200" s="227">
        <v>19</v>
      </c>
      <c r="AZ200" s="227">
        <v>27</v>
      </c>
      <c r="BA200" s="218"/>
      <c r="BB200" s="235">
        <v>98.4</v>
      </c>
      <c r="BC200" s="231">
        <v>36.550838140286103</v>
      </c>
      <c r="BD200" s="232" t="s">
        <v>55</v>
      </c>
      <c r="BE200" s="229">
        <v>1.1422136918839401</v>
      </c>
      <c r="BF200" s="230">
        <v>4.3258344007679996</v>
      </c>
      <c r="BG200" s="219">
        <v>0.02</v>
      </c>
      <c r="BH200" s="219">
        <v>1.4E-2</v>
      </c>
      <c r="BI200" s="227">
        <v>0</v>
      </c>
      <c r="BJ200" s="227">
        <v>5</v>
      </c>
      <c r="BK200" s="220"/>
      <c r="BL200" s="236">
        <v>0.8</v>
      </c>
      <c r="BM200" s="233">
        <v>0.81</v>
      </c>
      <c r="BN200" s="237">
        <v>3.7500000000000001E-4</v>
      </c>
      <c r="BO200" s="238">
        <v>0.95</v>
      </c>
      <c r="BP200" s="229">
        <v>1</v>
      </c>
      <c r="BQ200" s="237">
        <v>2.5000000000000001E-3</v>
      </c>
    </row>
    <row r="201" spans="1:69" s="207" customFormat="1" ht="22.35" customHeight="1" x14ac:dyDescent="0.2">
      <c r="A201" s="216" t="s">
        <v>220</v>
      </c>
      <c r="B201" s="216" t="s">
        <v>260</v>
      </c>
      <c r="C201" s="216" t="s">
        <v>266</v>
      </c>
      <c r="D201" s="217">
        <v>3.8745519713333301</v>
      </c>
      <c r="E201" s="218"/>
      <c r="F201" s="219">
        <v>3.2000000000000001E-2</v>
      </c>
      <c r="G201" s="219">
        <v>2.8000000000000001E-2</v>
      </c>
      <c r="H201" s="220"/>
      <c r="I201" s="221">
        <v>4</v>
      </c>
      <c r="J201" s="221">
        <v>3</v>
      </c>
      <c r="K201" s="218"/>
      <c r="L201" s="222">
        <v>2059.1996300000001</v>
      </c>
      <c r="M201" s="222">
        <v>2575.2714099999998</v>
      </c>
      <c r="N201" s="222">
        <v>4634.4710400000004</v>
      </c>
      <c r="O201" s="217">
        <v>1196.1308234575499</v>
      </c>
      <c r="P201" s="223">
        <v>234.35599999999999</v>
      </c>
      <c r="Q201" s="229">
        <v>5.1039052700061003</v>
      </c>
      <c r="R201" s="230">
        <v>3642.9082840411802</v>
      </c>
      <c r="S201" s="219">
        <v>0.01</v>
      </c>
      <c r="T201" s="219">
        <v>0.01</v>
      </c>
      <c r="U201" s="226">
        <v>0</v>
      </c>
      <c r="V201" s="227">
        <v>0</v>
      </c>
      <c r="W201" s="218"/>
      <c r="X201" s="226">
        <v>2057.5146</v>
      </c>
      <c r="Y201" s="217">
        <v>531.03290786210698</v>
      </c>
      <c r="Z201" s="228">
        <v>573</v>
      </c>
      <c r="AA201" s="233">
        <v>0.92675900150455004</v>
      </c>
      <c r="AB201" s="234">
        <v>-366.85456129480599</v>
      </c>
      <c r="AC201" s="219">
        <v>2E-3</v>
      </c>
      <c r="AD201" s="219"/>
      <c r="AE201" s="227">
        <v>163</v>
      </c>
      <c r="AF201" s="227">
        <v>607</v>
      </c>
      <c r="AG201" s="218"/>
      <c r="AH201" s="231">
        <v>221.5</v>
      </c>
      <c r="AI201" s="217">
        <v>57.167900092401197</v>
      </c>
      <c r="AJ201" s="232" t="s">
        <v>53</v>
      </c>
      <c r="AK201" s="239">
        <v>0.90742698559366897</v>
      </c>
      <c r="AL201" s="222">
        <v>-45.053677419847801</v>
      </c>
      <c r="AM201" s="219">
        <v>0</v>
      </c>
      <c r="AN201" s="219"/>
      <c r="AO201" s="227">
        <v>23</v>
      </c>
      <c r="AP201" s="227">
        <v>72</v>
      </c>
      <c r="AQ201" s="218"/>
      <c r="AR201" s="231">
        <v>30.6</v>
      </c>
      <c r="AS201" s="217">
        <v>7.8976873265348804</v>
      </c>
      <c r="AT201" s="232" t="s">
        <v>54</v>
      </c>
      <c r="AU201" s="224">
        <v>0.49360545790843002</v>
      </c>
      <c r="AV201" s="225">
        <v>-37.096172043135901</v>
      </c>
      <c r="AW201" s="219"/>
      <c r="AX201" s="219"/>
      <c r="AY201" s="227">
        <v>32</v>
      </c>
      <c r="AZ201" s="227">
        <v>44</v>
      </c>
      <c r="BA201" s="218"/>
      <c r="BB201" s="235">
        <v>146.19999999999999</v>
      </c>
      <c r="BC201" s="231">
        <v>37.733395004555497</v>
      </c>
      <c r="BD201" s="232" t="s">
        <v>55</v>
      </c>
      <c r="BE201" s="229">
        <v>1.17916859389236</v>
      </c>
      <c r="BF201" s="230">
        <v>10.8076559137281</v>
      </c>
      <c r="BG201" s="219">
        <v>0.02</v>
      </c>
      <c r="BH201" s="219">
        <v>1.7999999999999999E-2</v>
      </c>
      <c r="BI201" s="227">
        <v>0</v>
      </c>
      <c r="BJ201" s="227">
        <v>3</v>
      </c>
      <c r="BK201" s="220"/>
      <c r="BL201" s="236">
        <v>0.8</v>
      </c>
      <c r="BM201" s="239">
        <v>0.73</v>
      </c>
      <c r="BN201" s="237"/>
      <c r="BO201" s="238">
        <v>0.95</v>
      </c>
      <c r="BP201" s="229">
        <v>1</v>
      </c>
      <c r="BQ201" s="237">
        <v>2.5000000000000001E-3</v>
      </c>
    </row>
    <row r="202" spans="1:69" s="207" customFormat="1" ht="22.35" customHeight="1" x14ac:dyDescent="0.2">
      <c r="A202" s="216" t="s">
        <v>220</v>
      </c>
      <c r="B202" s="216" t="s">
        <v>260</v>
      </c>
      <c r="C202" s="216" t="s">
        <v>267</v>
      </c>
      <c r="D202" s="217">
        <v>3.2393056717777799</v>
      </c>
      <c r="E202" s="218"/>
      <c r="F202" s="219">
        <v>4.7E-2</v>
      </c>
      <c r="G202" s="219">
        <v>3.2000000000000001E-2</v>
      </c>
      <c r="H202" s="220"/>
      <c r="I202" s="221">
        <v>5</v>
      </c>
      <c r="J202" s="221">
        <v>4</v>
      </c>
      <c r="K202" s="218"/>
      <c r="L202" s="222">
        <v>2424.6127799999999</v>
      </c>
      <c r="M202" s="222">
        <v>276.06004000000001</v>
      </c>
      <c r="N202" s="222">
        <v>2700.6728199999998</v>
      </c>
      <c r="O202" s="217">
        <v>833.71965897797804</v>
      </c>
      <c r="P202" s="223">
        <v>251.035</v>
      </c>
      <c r="Q202" s="229">
        <v>3.3211291611846101</v>
      </c>
      <c r="R202" s="230">
        <v>1812.68124354831</v>
      </c>
      <c r="S202" s="219">
        <v>0.01</v>
      </c>
      <c r="T202" s="219">
        <v>0.01</v>
      </c>
      <c r="U202" s="226">
        <v>0</v>
      </c>
      <c r="V202" s="227">
        <v>0</v>
      </c>
      <c r="W202" s="218"/>
      <c r="X202" s="226">
        <v>1933.5015450000001</v>
      </c>
      <c r="Y202" s="217">
        <v>596.88764843821195</v>
      </c>
      <c r="Z202" s="228">
        <v>573</v>
      </c>
      <c r="AA202" s="233">
        <v>1.0416887407298601</v>
      </c>
      <c r="AB202" s="234">
        <v>-93.383842722105499</v>
      </c>
      <c r="AC202" s="219">
        <v>1.4E-2</v>
      </c>
      <c r="AD202" s="219">
        <v>4.0000000000000001E-3</v>
      </c>
      <c r="AE202" s="227">
        <v>0</v>
      </c>
      <c r="AF202" s="227">
        <v>294</v>
      </c>
      <c r="AG202" s="218"/>
      <c r="AH202" s="231">
        <v>191.65</v>
      </c>
      <c r="AI202" s="217">
        <v>59.1639133255429</v>
      </c>
      <c r="AJ202" s="232" t="s">
        <v>53</v>
      </c>
      <c r="AK202" s="233">
        <v>0.939109735326078</v>
      </c>
      <c r="AL202" s="234">
        <v>-31.201272995624201</v>
      </c>
      <c r="AM202" s="219">
        <v>3.0000000000000001E-3</v>
      </c>
      <c r="AN202" s="219"/>
      <c r="AO202" s="227">
        <v>13</v>
      </c>
      <c r="AP202" s="227">
        <v>54</v>
      </c>
      <c r="AQ202" s="218"/>
      <c r="AR202" s="231">
        <v>33.1</v>
      </c>
      <c r="AS202" s="217">
        <v>10.2182391394494</v>
      </c>
      <c r="AT202" s="232" t="s">
        <v>54</v>
      </c>
      <c r="AU202" s="224">
        <v>0.63863994621558495</v>
      </c>
      <c r="AV202" s="225">
        <v>-23.497148697301402</v>
      </c>
      <c r="AW202" s="219"/>
      <c r="AX202" s="219"/>
      <c r="AY202" s="227">
        <v>19</v>
      </c>
      <c r="AZ202" s="227">
        <v>30</v>
      </c>
      <c r="BA202" s="218"/>
      <c r="BB202" s="235">
        <v>122.8</v>
      </c>
      <c r="BC202" s="231">
        <v>37.909358499226002</v>
      </c>
      <c r="BD202" s="232" t="s">
        <v>55</v>
      </c>
      <c r="BE202" s="229">
        <v>1.1846674531008099</v>
      </c>
      <c r="BF202" s="230">
        <v>9.6057026053972407</v>
      </c>
      <c r="BG202" s="219">
        <v>0.02</v>
      </c>
      <c r="BH202" s="219">
        <v>1.7999999999999999E-2</v>
      </c>
      <c r="BI202" s="227">
        <v>0</v>
      </c>
      <c r="BJ202" s="227">
        <v>2</v>
      </c>
      <c r="BK202" s="220"/>
      <c r="BL202" s="236">
        <v>0.8</v>
      </c>
      <c r="BM202" s="239">
        <v>0.74</v>
      </c>
      <c r="BN202" s="237"/>
      <c r="BO202" s="238">
        <v>0.95</v>
      </c>
      <c r="BP202" s="229">
        <v>1</v>
      </c>
      <c r="BQ202" s="237">
        <v>2.5000000000000001E-3</v>
      </c>
    </row>
    <row r="203" spans="1:69" s="207" customFormat="1" ht="22.35" customHeight="1" x14ac:dyDescent="0.2">
      <c r="A203" s="216" t="s">
        <v>220</v>
      </c>
      <c r="B203" s="216" t="s">
        <v>260</v>
      </c>
      <c r="C203" s="216" t="s">
        <v>268</v>
      </c>
      <c r="D203" s="217">
        <v>1.60228521777778</v>
      </c>
      <c r="E203" s="218"/>
      <c r="F203" s="219">
        <v>5.3999999999999999E-2</v>
      </c>
      <c r="G203" s="219">
        <v>0.05</v>
      </c>
      <c r="H203" s="220"/>
      <c r="I203" s="221">
        <v>5</v>
      </c>
      <c r="J203" s="221">
        <v>4</v>
      </c>
      <c r="K203" s="218"/>
      <c r="L203" s="222">
        <v>1407.8508899999999</v>
      </c>
      <c r="M203" s="222">
        <v>764.84924999999998</v>
      </c>
      <c r="N203" s="222">
        <v>2172.7001399999999</v>
      </c>
      <c r="O203" s="217">
        <v>1356.00086419903</v>
      </c>
      <c r="P203" s="223">
        <v>221.102</v>
      </c>
      <c r="Q203" s="229">
        <v>6.1329199383046298</v>
      </c>
      <c r="R203" s="230">
        <v>1785.83897488656</v>
      </c>
      <c r="S203" s="219">
        <v>0.01</v>
      </c>
      <c r="T203" s="219">
        <v>0.01</v>
      </c>
      <c r="U203" s="226">
        <v>0</v>
      </c>
      <c r="V203" s="227">
        <v>0</v>
      </c>
      <c r="W203" s="218"/>
      <c r="X203" s="226">
        <v>1481.2113300000001</v>
      </c>
      <c r="Y203" s="217">
        <v>924.43674419857905</v>
      </c>
      <c r="Z203" s="228">
        <v>573</v>
      </c>
      <c r="AA203" s="229">
        <v>1.6133276513064201</v>
      </c>
      <c r="AB203" s="230">
        <v>478.635832672959</v>
      </c>
      <c r="AC203" s="219">
        <v>0.02</v>
      </c>
      <c r="AD203" s="219">
        <v>0.02</v>
      </c>
      <c r="AE203" s="227">
        <v>0</v>
      </c>
      <c r="AF203" s="227">
        <v>0</v>
      </c>
      <c r="AG203" s="218"/>
      <c r="AH203" s="231">
        <v>95.7</v>
      </c>
      <c r="AI203" s="217">
        <v>59.7271939715746</v>
      </c>
      <c r="AJ203" s="232" t="s">
        <v>53</v>
      </c>
      <c r="AK203" s="233">
        <v>0.94805069796150099</v>
      </c>
      <c r="AL203" s="234">
        <v>-14.5308138422402</v>
      </c>
      <c r="AM203" s="219">
        <v>4.0000000000000001E-3</v>
      </c>
      <c r="AN203" s="219"/>
      <c r="AO203" s="227">
        <v>6</v>
      </c>
      <c r="AP203" s="227">
        <v>26</v>
      </c>
      <c r="AQ203" s="218"/>
      <c r="AR203" s="231">
        <v>6</v>
      </c>
      <c r="AS203" s="217">
        <v>3.74465165965985</v>
      </c>
      <c r="AT203" s="232" t="s">
        <v>54</v>
      </c>
      <c r="AU203" s="224">
        <v>0.23404072872874099</v>
      </c>
      <c r="AV203" s="225">
        <v>-21.995127325013399</v>
      </c>
      <c r="AW203" s="219"/>
      <c r="AX203" s="219"/>
      <c r="AY203" s="227">
        <v>20</v>
      </c>
      <c r="AZ203" s="227">
        <v>25</v>
      </c>
      <c r="BA203" s="218"/>
      <c r="BB203" s="235">
        <v>62.6</v>
      </c>
      <c r="BC203" s="231">
        <v>39.069198982451098</v>
      </c>
      <c r="BD203" s="232" t="s">
        <v>55</v>
      </c>
      <c r="BE203" s="229">
        <v>1.2209124682015999</v>
      </c>
      <c r="BF203" s="230">
        <v>6.6097453499732497</v>
      </c>
      <c r="BG203" s="219">
        <v>0.02</v>
      </c>
      <c r="BH203" s="219">
        <v>0.02</v>
      </c>
      <c r="BI203" s="227">
        <v>0</v>
      </c>
      <c r="BJ203" s="227">
        <v>0</v>
      </c>
      <c r="BK203" s="220"/>
      <c r="BL203" s="236">
        <v>0.8</v>
      </c>
      <c r="BM203" s="239">
        <v>0.79</v>
      </c>
      <c r="BN203" s="237"/>
      <c r="BO203" s="238">
        <v>0.95</v>
      </c>
      <c r="BP203" s="229">
        <v>1</v>
      </c>
      <c r="BQ203" s="237">
        <v>2.5000000000000001E-3</v>
      </c>
    </row>
    <row r="204" spans="1:69" s="207" customFormat="1" ht="22.35" customHeight="1" x14ac:dyDescent="0.2">
      <c r="A204" s="216" t="s">
        <v>220</v>
      </c>
      <c r="B204" s="216" t="s">
        <v>260</v>
      </c>
      <c r="C204" s="216" t="s">
        <v>269</v>
      </c>
      <c r="D204" s="217">
        <v>2.8902111342222199</v>
      </c>
      <c r="E204" s="218"/>
      <c r="F204" s="219">
        <v>0.03</v>
      </c>
      <c r="G204" s="219">
        <v>2.1999999999999999E-2</v>
      </c>
      <c r="H204" s="220"/>
      <c r="I204" s="221">
        <v>4</v>
      </c>
      <c r="J204" s="221">
        <v>4</v>
      </c>
      <c r="K204" s="218"/>
      <c r="L204" s="222">
        <v>1599.75488</v>
      </c>
      <c r="M204" s="222">
        <v>984.75071000000003</v>
      </c>
      <c r="N204" s="222">
        <v>2584.5055900000002</v>
      </c>
      <c r="O204" s="217">
        <v>894.22726229151795</v>
      </c>
      <c r="P204" s="223">
        <v>220.88900000000001</v>
      </c>
      <c r="Q204" s="229">
        <v>4.0483105192722002</v>
      </c>
      <c r="R204" s="230">
        <v>1887.35548482788</v>
      </c>
      <c r="S204" s="219">
        <v>0.01</v>
      </c>
      <c r="T204" s="219">
        <v>0.01</v>
      </c>
      <c r="U204" s="226">
        <v>0</v>
      </c>
      <c r="V204" s="227">
        <v>0</v>
      </c>
      <c r="W204" s="218"/>
      <c r="X204" s="226">
        <v>1849.9044349999999</v>
      </c>
      <c r="Y204" s="217">
        <v>640.05858018321703</v>
      </c>
      <c r="Z204" s="228">
        <v>573</v>
      </c>
      <c r="AA204" s="229">
        <v>1.1170306809480199</v>
      </c>
      <c r="AB204" s="230">
        <v>41.453084939009599</v>
      </c>
      <c r="AC204" s="219">
        <v>0.02</v>
      </c>
      <c r="AD204" s="219">
        <v>1.2E-2</v>
      </c>
      <c r="AE204" s="227">
        <v>0</v>
      </c>
      <c r="AF204" s="227">
        <v>138</v>
      </c>
      <c r="AG204" s="218"/>
      <c r="AH204" s="231">
        <v>114.65</v>
      </c>
      <c r="AI204" s="217">
        <v>39.668382230785802</v>
      </c>
      <c r="AJ204" s="232" t="s">
        <v>53</v>
      </c>
      <c r="AK204" s="224">
        <v>0.62965686080612304</v>
      </c>
      <c r="AL204" s="225">
        <v>-84.184965189951797</v>
      </c>
      <c r="AM204" s="219"/>
      <c r="AN204" s="219"/>
      <c r="AO204" s="227">
        <v>68</v>
      </c>
      <c r="AP204" s="227">
        <v>104</v>
      </c>
      <c r="AQ204" s="218"/>
      <c r="AR204" s="231">
        <v>13.5</v>
      </c>
      <c r="AS204" s="217">
        <v>4.6709390328443803</v>
      </c>
      <c r="AT204" s="232" t="s">
        <v>54</v>
      </c>
      <c r="AU204" s="224">
        <v>0.29193368955277399</v>
      </c>
      <c r="AV204" s="225">
        <v>-36.997768937130601</v>
      </c>
      <c r="AW204" s="219"/>
      <c r="AX204" s="219"/>
      <c r="AY204" s="227">
        <v>33</v>
      </c>
      <c r="AZ204" s="227">
        <v>42</v>
      </c>
      <c r="BA204" s="218"/>
      <c r="BB204" s="235">
        <v>72.8</v>
      </c>
      <c r="BC204" s="231">
        <v>25.188471228968201</v>
      </c>
      <c r="BD204" s="232" t="s">
        <v>55</v>
      </c>
      <c r="BE204" s="239">
        <v>0.78713972590525605</v>
      </c>
      <c r="BF204" s="222">
        <v>-28.195537874261301</v>
      </c>
      <c r="BG204" s="219"/>
      <c r="BH204" s="219"/>
      <c r="BI204" s="227">
        <v>20</v>
      </c>
      <c r="BJ204" s="227">
        <v>39</v>
      </c>
      <c r="BK204" s="220"/>
      <c r="BL204" s="236">
        <v>0.8</v>
      </c>
      <c r="BM204" s="233">
        <v>0.82</v>
      </c>
      <c r="BN204" s="237">
        <v>7.5000000000000002E-4</v>
      </c>
      <c r="BO204" s="238">
        <v>0.95</v>
      </c>
      <c r="BP204" s="229">
        <v>1</v>
      </c>
      <c r="BQ204" s="237">
        <v>2.5000000000000001E-3</v>
      </c>
    </row>
    <row r="205" spans="1:69" s="207" customFormat="1" ht="22.35" customHeight="1" x14ac:dyDescent="0.2">
      <c r="A205" s="216" t="s">
        <v>220</v>
      </c>
      <c r="B205" s="216" t="s">
        <v>260</v>
      </c>
      <c r="C205" s="216" t="s">
        <v>270</v>
      </c>
      <c r="D205" s="217">
        <v>2.6579356497777802</v>
      </c>
      <c r="E205" s="218"/>
      <c r="F205" s="219">
        <v>5.7000000000000002E-2</v>
      </c>
      <c r="G205" s="219">
        <v>0.05</v>
      </c>
      <c r="H205" s="220"/>
      <c r="I205" s="221">
        <v>5</v>
      </c>
      <c r="J205" s="221">
        <v>4</v>
      </c>
      <c r="K205" s="218"/>
      <c r="L205" s="222">
        <v>788.83311000000003</v>
      </c>
      <c r="M205" s="222">
        <v>886.92492000000004</v>
      </c>
      <c r="N205" s="222">
        <v>1675.75803</v>
      </c>
      <c r="O205" s="217">
        <v>630.47351433813105</v>
      </c>
      <c r="P205" s="223">
        <v>221.102</v>
      </c>
      <c r="Q205" s="229">
        <v>2.85150525249944</v>
      </c>
      <c r="R205" s="230">
        <v>1034.0170522634101</v>
      </c>
      <c r="S205" s="219">
        <v>0.01</v>
      </c>
      <c r="T205" s="219">
        <v>0.01</v>
      </c>
      <c r="U205" s="226">
        <v>0</v>
      </c>
      <c r="V205" s="227">
        <v>0</v>
      </c>
      <c r="W205" s="218"/>
      <c r="X205" s="226">
        <v>1839.3642850000001</v>
      </c>
      <c r="Y205" s="217">
        <v>692.02739545398094</v>
      </c>
      <c r="Z205" s="228">
        <v>573</v>
      </c>
      <c r="AA205" s="229">
        <v>1.2077266936369599</v>
      </c>
      <c r="AB205" s="230">
        <v>176.251421963647</v>
      </c>
      <c r="AC205" s="219">
        <v>0.02</v>
      </c>
      <c r="AD205" s="219">
        <v>0.02</v>
      </c>
      <c r="AE205" s="227">
        <v>0</v>
      </c>
      <c r="AF205" s="227">
        <v>0</v>
      </c>
      <c r="AG205" s="218"/>
      <c r="AH205" s="231">
        <v>162.6</v>
      </c>
      <c r="AI205" s="217">
        <v>61.175295953306701</v>
      </c>
      <c r="AJ205" s="232" t="s">
        <v>53</v>
      </c>
      <c r="AK205" s="233">
        <v>0.97103644370328002</v>
      </c>
      <c r="AL205" s="234">
        <v>-20.2553409621122</v>
      </c>
      <c r="AM205" s="219">
        <v>7.0000000000000001E-3</v>
      </c>
      <c r="AN205" s="219"/>
      <c r="AO205" s="227">
        <v>5</v>
      </c>
      <c r="AP205" s="227">
        <v>39</v>
      </c>
      <c r="AQ205" s="218"/>
      <c r="AR205" s="231">
        <v>17</v>
      </c>
      <c r="AS205" s="217">
        <v>6.39594115132972</v>
      </c>
      <c r="AT205" s="232" t="s">
        <v>54</v>
      </c>
      <c r="AU205" s="224">
        <v>0.399746321958108</v>
      </c>
      <c r="AV205" s="225">
        <v>-29.4394516729174</v>
      </c>
      <c r="AW205" s="219"/>
      <c r="AX205" s="219"/>
      <c r="AY205" s="227">
        <v>26</v>
      </c>
      <c r="AZ205" s="227">
        <v>35</v>
      </c>
      <c r="BA205" s="218"/>
      <c r="BB205" s="235">
        <v>127.4</v>
      </c>
      <c r="BC205" s="231">
        <v>47.9319354517298</v>
      </c>
      <c r="BD205" s="232" t="s">
        <v>55</v>
      </c>
      <c r="BE205" s="229">
        <v>1.49787298286656</v>
      </c>
      <c r="BF205" s="230">
        <v>34.521096654165298</v>
      </c>
      <c r="BG205" s="219">
        <v>0.02</v>
      </c>
      <c r="BH205" s="219">
        <v>0.02</v>
      </c>
      <c r="BI205" s="227">
        <v>0</v>
      </c>
      <c r="BJ205" s="227">
        <v>0</v>
      </c>
      <c r="BK205" s="220"/>
      <c r="BL205" s="236">
        <v>0.8</v>
      </c>
      <c r="BM205" s="239">
        <v>0.78</v>
      </c>
      <c r="BN205" s="237"/>
      <c r="BO205" s="238">
        <v>0.95</v>
      </c>
      <c r="BP205" s="229">
        <v>1</v>
      </c>
      <c r="BQ205" s="237">
        <v>2.5000000000000001E-3</v>
      </c>
    </row>
    <row r="206" spans="1:69" s="207" customFormat="1" ht="22.35" customHeight="1" x14ac:dyDescent="0.2">
      <c r="A206" s="216" t="s">
        <v>220</v>
      </c>
      <c r="B206" s="216" t="s">
        <v>260</v>
      </c>
      <c r="C206" s="216" t="s">
        <v>271</v>
      </c>
      <c r="D206" s="217">
        <v>1.9523576782222201</v>
      </c>
      <c r="E206" s="218"/>
      <c r="F206" s="219">
        <v>0.01</v>
      </c>
      <c r="G206" s="219">
        <v>0.01</v>
      </c>
      <c r="H206" s="220"/>
      <c r="I206" s="221">
        <v>3</v>
      </c>
      <c r="J206" s="221">
        <v>3</v>
      </c>
      <c r="K206" s="218"/>
      <c r="L206" s="222">
        <v>816.61617999999999</v>
      </c>
      <c r="M206" s="222">
        <v>885.42791999999997</v>
      </c>
      <c r="N206" s="222">
        <v>1702.0441000000001</v>
      </c>
      <c r="O206" s="217">
        <v>871.78907788548599</v>
      </c>
      <c r="P206" s="223">
        <v>214.857</v>
      </c>
      <c r="Q206" s="229">
        <v>4.0575316507513701</v>
      </c>
      <c r="R206" s="230">
        <v>1243.9744366725899</v>
      </c>
      <c r="S206" s="219">
        <v>0.01</v>
      </c>
      <c r="T206" s="219">
        <v>0.01</v>
      </c>
      <c r="U206" s="226">
        <v>0</v>
      </c>
      <c r="V206" s="227">
        <v>0</v>
      </c>
      <c r="W206" s="218"/>
      <c r="X206" s="226">
        <v>630.02453500000001</v>
      </c>
      <c r="Y206" s="217">
        <v>322.69934040656301</v>
      </c>
      <c r="Z206" s="228">
        <v>573</v>
      </c>
      <c r="AA206" s="224">
        <v>0.56317511414758004</v>
      </c>
      <c r="AB206" s="225">
        <v>-591.596901986494</v>
      </c>
      <c r="AC206" s="219"/>
      <c r="AD206" s="219"/>
      <c r="AE206" s="227">
        <v>489</v>
      </c>
      <c r="AF206" s="227">
        <v>713</v>
      </c>
      <c r="AG206" s="218"/>
      <c r="AH206" s="231">
        <v>57</v>
      </c>
      <c r="AI206" s="217">
        <v>29.195469987806199</v>
      </c>
      <c r="AJ206" s="232" t="s">
        <v>53</v>
      </c>
      <c r="AK206" s="224">
        <v>0.46342015853660701</v>
      </c>
      <c r="AL206" s="225">
        <v>-77.314398830975804</v>
      </c>
      <c r="AM206" s="219"/>
      <c r="AN206" s="219"/>
      <c r="AO206" s="227">
        <v>66</v>
      </c>
      <c r="AP206" s="227">
        <v>91</v>
      </c>
      <c r="AQ206" s="218"/>
      <c r="AR206" s="231">
        <v>8.6</v>
      </c>
      <c r="AS206" s="217">
        <v>4.4049305595637502</v>
      </c>
      <c r="AT206" s="232" t="s">
        <v>54</v>
      </c>
      <c r="AU206" s="224">
        <v>0.275308159972734</v>
      </c>
      <c r="AV206" s="225">
        <v>-25.511593353898601</v>
      </c>
      <c r="AW206" s="219"/>
      <c r="AX206" s="219"/>
      <c r="AY206" s="227">
        <v>23</v>
      </c>
      <c r="AZ206" s="227">
        <v>29</v>
      </c>
      <c r="BA206" s="218"/>
      <c r="BB206" s="235">
        <v>37.6</v>
      </c>
      <c r="BC206" s="231">
        <v>19.258766167394999</v>
      </c>
      <c r="BD206" s="232" t="s">
        <v>55</v>
      </c>
      <c r="BE206" s="224">
        <v>0.60183644273109405</v>
      </c>
      <c r="BF206" s="225">
        <v>-30.623186707797299</v>
      </c>
      <c r="BG206" s="219"/>
      <c r="BH206" s="219"/>
      <c r="BI206" s="227">
        <v>25</v>
      </c>
      <c r="BJ206" s="227">
        <v>38</v>
      </c>
      <c r="BK206" s="220"/>
      <c r="BL206" s="236">
        <v>0.8</v>
      </c>
      <c r="BM206" s="233">
        <v>0.83</v>
      </c>
      <c r="BN206" s="237">
        <v>1.1249999999999999E-3</v>
      </c>
      <c r="BO206" s="238">
        <v>0.95</v>
      </c>
      <c r="BP206" s="229">
        <v>1</v>
      </c>
      <c r="BQ206" s="237">
        <v>2.5000000000000001E-3</v>
      </c>
    </row>
    <row r="207" spans="1:69" s="207" customFormat="1" ht="22.35" customHeight="1" x14ac:dyDescent="0.2">
      <c r="A207" s="216" t="s">
        <v>220</v>
      </c>
      <c r="B207" s="216" t="s">
        <v>260</v>
      </c>
      <c r="C207" s="216" t="s">
        <v>272</v>
      </c>
      <c r="D207" s="217">
        <v>9.0627591208888898</v>
      </c>
      <c r="E207" s="218"/>
      <c r="F207" s="219">
        <v>5.6000000000000001E-2</v>
      </c>
      <c r="G207" s="219">
        <v>4.2000000000000003E-2</v>
      </c>
      <c r="H207" s="220"/>
      <c r="I207" s="221">
        <v>5</v>
      </c>
      <c r="J207" s="221">
        <v>4</v>
      </c>
      <c r="K207" s="218"/>
      <c r="L207" s="222">
        <v>4781.7114000000001</v>
      </c>
      <c r="M207" s="222">
        <v>3040.3233399999999</v>
      </c>
      <c r="N207" s="222">
        <v>7822.0347400000001</v>
      </c>
      <c r="O207" s="217">
        <v>863.09639654560306</v>
      </c>
      <c r="P207" s="223">
        <v>241.29400000000001</v>
      </c>
      <c r="Q207" s="229">
        <v>3.57694926747289</v>
      </c>
      <c r="R207" s="230">
        <v>5434.0607159471901</v>
      </c>
      <c r="S207" s="219">
        <v>0.01</v>
      </c>
      <c r="T207" s="219">
        <v>0.01</v>
      </c>
      <c r="U207" s="226">
        <v>0</v>
      </c>
      <c r="V207" s="227">
        <v>0</v>
      </c>
      <c r="W207" s="218"/>
      <c r="X207" s="226">
        <v>5792.0798850000001</v>
      </c>
      <c r="Y207" s="217">
        <v>639.10778249084694</v>
      </c>
      <c r="Z207" s="228">
        <v>573</v>
      </c>
      <c r="AA207" s="229">
        <v>1.1153713481515699</v>
      </c>
      <c r="AB207" s="230">
        <v>121.36649891388799</v>
      </c>
      <c r="AC207" s="219">
        <v>0.02</v>
      </c>
      <c r="AD207" s="219">
        <v>1.2E-2</v>
      </c>
      <c r="AE207" s="227">
        <v>0</v>
      </c>
      <c r="AF207" s="227">
        <v>440</v>
      </c>
      <c r="AG207" s="218"/>
      <c r="AH207" s="231">
        <v>548.6</v>
      </c>
      <c r="AI207" s="217">
        <v>60.533441602295703</v>
      </c>
      <c r="AJ207" s="232" t="s">
        <v>53</v>
      </c>
      <c r="AK207" s="233">
        <v>0.96084827940151896</v>
      </c>
      <c r="AL207" s="234">
        <v>-74.881576480672194</v>
      </c>
      <c r="AM207" s="219">
        <v>6.0000000000000001E-3</v>
      </c>
      <c r="AN207" s="219"/>
      <c r="AO207" s="227">
        <v>23</v>
      </c>
      <c r="AP207" s="227">
        <v>137</v>
      </c>
      <c r="AQ207" s="218"/>
      <c r="AR207" s="231">
        <v>130.4</v>
      </c>
      <c r="AS207" s="217">
        <v>14.3885541103524</v>
      </c>
      <c r="AT207" s="232" t="s">
        <v>54</v>
      </c>
      <c r="AU207" s="239">
        <v>0.89928463189702801</v>
      </c>
      <c r="AV207" s="222">
        <v>-27.944527360170699</v>
      </c>
      <c r="AW207" s="219"/>
      <c r="AX207" s="219"/>
      <c r="AY207" s="227">
        <v>15</v>
      </c>
      <c r="AZ207" s="227">
        <v>44</v>
      </c>
      <c r="BA207" s="218"/>
      <c r="BB207" s="235">
        <v>387.8</v>
      </c>
      <c r="BC207" s="231">
        <v>42.790500644131001</v>
      </c>
      <c r="BD207" s="232" t="s">
        <v>55</v>
      </c>
      <c r="BE207" s="229">
        <v>1.33720314512909</v>
      </c>
      <c r="BF207" s="230">
        <v>71.110945279658594</v>
      </c>
      <c r="BG207" s="219">
        <v>0.02</v>
      </c>
      <c r="BH207" s="219">
        <v>0.02</v>
      </c>
      <c r="BI207" s="227">
        <v>0</v>
      </c>
      <c r="BJ207" s="227">
        <v>0</v>
      </c>
      <c r="BK207" s="220"/>
      <c r="BL207" s="236">
        <v>0.8</v>
      </c>
      <c r="BM207" s="239">
        <v>0.77</v>
      </c>
      <c r="BN207" s="237"/>
      <c r="BO207" s="238">
        <v>0.95</v>
      </c>
      <c r="BP207" s="229">
        <v>1</v>
      </c>
      <c r="BQ207" s="237">
        <v>2.5000000000000001E-3</v>
      </c>
    </row>
    <row r="208" spans="1:69" s="207" customFormat="1" ht="22.35" customHeight="1" x14ac:dyDescent="0.2">
      <c r="A208" s="216" t="s">
        <v>220</v>
      </c>
      <c r="B208" s="216" t="s">
        <v>260</v>
      </c>
      <c r="C208" s="216" t="s">
        <v>273</v>
      </c>
      <c r="D208" s="217">
        <v>3.7574485252222201</v>
      </c>
      <c r="E208" s="218"/>
      <c r="F208" s="219">
        <v>4.5999999999999999E-2</v>
      </c>
      <c r="G208" s="219">
        <v>3.5999999999999997E-2</v>
      </c>
      <c r="H208" s="220"/>
      <c r="I208" s="221">
        <v>5</v>
      </c>
      <c r="J208" s="221">
        <v>5</v>
      </c>
      <c r="K208" s="218"/>
      <c r="L208" s="222">
        <v>1983.7904699999999</v>
      </c>
      <c r="M208" s="222">
        <v>1377.24298</v>
      </c>
      <c r="N208" s="222">
        <v>3361.0334499999999</v>
      </c>
      <c r="O208" s="217">
        <v>894.49886736671203</v>
      </c>
      <c r="P208" s="223">
        <v>224.04499999999999</v>
      </c>
      <c r="Q208" s="229">
        <v>3.9924964510107901</v>
      </c>
      <c r="R208" s="230">
        <v>2441.7468401219098</v>
      </c>
      <c r="S208" s="219">
        <v>0.01</v>
      </c>
      <c r="T208" s="219">
        <v>0.01</v>
      </c>
      <c r="U208" s="226">
        <v>0</v>
      </c>
      <c r="V208" s="227">
        <v>0</v>
      </c>
      <c r="W208" s="218"/>
      <c r="X208" s="226">
        <v>2896.0673550000001</v>
      </c>
      <c r="Y208" s="217">
        <v>770.75370043258897</v>
      </c>
      <c r="Z208" s="228">
        <v>573</v>
      </c>
      <c r="AA208" s="229">
        <v>1.34511989604291</v>
      </c>
      <c r="AB208" s="230">
        <v>544.97169359205395</v>
      </c>
      <c r="AC208" s="219">
        <v>0.02</v>
      </c>
      <c r="AD208" s="219">
        <v>0.02</v>
      </c>
      <c r="AE208" s="227">
        <v>0</v>
      </c>
      <c r="AF208" s="227">
        <v>0</v>
      </c>
      <c r="AG208" s="218"/>
      <c r="AH208" s="231">
        <v>189.9</v>
      </c>
      <c r="AI208" s="217">
        <v>50.539614508429999</v>
      </c>
      <c r="AJ208" s="232" t="s">
        <v>53</v>
      </c>
      <c r="AK208" s="239">
        <v>0.80221610330841298</v>
      </c>
      <c r="AL208" s="222">
        <v>-68.597428741187798</v>
      </c>
      <c r="AM208" s="219"/>
      <c r="AN208" s="219"/>
      <c r="AO208" s="227">
        <v>47</v>
      </c>
      <c r="AP208" s="227">
        <v>95</v>
      </c>
      <c r="AQ208" s="218"/>
      <c r="AR208" s="231">
        <v>32.4</v>
      </c>
      <c r="AS208" s="217">
        <v>8.6228726175520407</v>
      </c>
      <c r="AT208" s="232" t="s">
        <v>54</v>
      </c>
      <c r="AU208" s="224">
        <v>0.53892953859700199</v>
      </c>
      <c r="AV208" s="225">
        <v>-33.250140632682601</v>
      </c>
      <c r="AW208" s="219"/>
      <c r="AX208" s="219"/>
      <c r="AY208" s="227">
        <v>28</v>
      </c>
      <c r="AZ208" s="227">
        <v>40</v>
      </c>
      <c r="BA208" s="218"/>
      <c r="BB208" s="235">
        <v>127.4</v>
      </c>
      <c r="BC208" s="231">
        <v>33.905986773954602</v>
      </c>
      <c r="BD208" s="232" t="s">
        <v>55</v>
      </c>
      <c r="BE208" s="233">
        <v>1.05956208668608</v>
      </c>
      <c r="BF208" s="234">
        <v>-3.9002812653652401</v>
      </c>
      <c r="BG208" s="219">
        <v>1.6E-2</v>
      </c>
      <c r="BH208" s="219">
        <v>6.0000000000000001E-3</v>
      </c>
      <c r="BI208" s="227">
        <v>0</v>
      </c>
      <c r="BJ208" s="227">
        <v>17</v>
      </c>
      <c r="BK208" s="220"/>
      <c r="BL208" s="236">
        <v>0.8</v>
      </c>
      <c r="BM208" s="233">
        <v>0.81</v>
      </c>
      <c r="BN208" s="237">
        <v>3.7500000000000001E-4</v>
      </c>
      <c r="BO208" s="238">
        <v>0.95</v>
      </c>
      <c r="BP208" s="229">
        <v>1</v>
      </c>
      <c r="BQ208" s="237">
        <v>2.5000000000000001E-3</v>
      </c>
    </row>
    <row r="209" spans="1:69" s="207" customFormat="1" ht="22.35" customHeight="1" x14ac:dyDescent="0.2">
      <c r="A209" s="216" t="s">
        <v>220</v>
      </c>
      <c r="B209" s="216" t="s">
        <v>260</v>
      </c>
      <c r="C209" s="216" t="s">
        <v>274</v>
      </c>
      <c r="D209" s="217">
        <v>2.624758167</v>
      </c>
      <c r="E209" s="218"/>
      <c r="F209" s="219">
        <v>5.3999999999999999E-2</v>
      </c>
      <c r="G209" s="219">
        <v>3.5999999999999997E-2</v>
      </c>
      <c r="H209" s="220"/>
      <c r="I209" s="221">
        <v>5</v>
      </c>
      <c r="J209" s="221">
        <v>4</v>
      </c>
      <c r="K209" s="218"/>
      <c r="L209" s="222">
        <v>1598.05528</v>
      </c>
      <c r="M209" s="222">
        <v>252.75029000000001</v>
      </c>
      <c r="N209" s="222">
        <v>1850.80557</v>
      </c>
      <c r="O209" s="217">
        <v>705.13375032771205</v>
      </c>
      <c r="P209" s="223">
        <v>262.75900000000001</v>
      </c>
      <c r="Q209" s="229">
        <v>2.6835760157700101</v>
      </c>
      <c r="R209" s="230">
        <v>1097.6762863265899</v>
      </c>
      <c r="S209" s="219">
        <v>0.01</v>
      </c>
      <c r="T209" s="219">
        <v>0.01</v>
      </c>
      <c r="U209" s="226">
        <v>0</v>
      </c>
      <c r="V209" s="227">
        <v>0</v>
      </c>
      <c r="W209" s="218"/>
      <c r="X209" s="226">
        <v>1477.14858</v>
      </c>
      <c r="Y209" s="217">
        <v>562.77511527407705</v>
      </c>
      <c r="Z209" s="228">
        <v>573</v>
      </c>
      <c r="AA209" s="233">
        <v>0.98215552403852902</v>
      </c>
      <c r="AB209" s="234">
        <v>-165.20460122257199</v>
      </c>
      <c r="AC209" s="219">
        <v>8.0000000000000002E-3</v>
      </c>
      <c r="AD209" s="219"/>
      <c r="AE209" s="227">
        <v>27</v>
      </c>
      <c r="AF209" s="227">
        <v>328</v>
      </c>
      <c r="AG209" s="218"/>
      <c r="AH209" s="231">
        <v>174.85</v>
      </c>
      <c r="AI209" s="217">
        <v>66.615660900999103</v>
      </c>
      <c r="AJ209" s="232" t="s">
        <v>53</v>
      </c>
      <c r="AK209" s="233">
        <v>1.057391442873</v>
      </c>
      <c r="AL209" s="234">
        <v>-5.7228628569320099</v>
      </c>
      <c r="AM209" s="219">
        <v>1.6E-2</v>
      </c>
      <c r="AN209" s="219">
        <v>6.0000000000000001E-3</v>
      </c>
      <c r="AO209" s="227">
        <v>0</v>
      </c>
      <c r="AP209" s="227">
        <v>24</v>
      </c>
      <c r="AQ209" s="218"/>
      <c r="AR209" s="231">
        <v>6.6</v>
      </c>
      <c r="AS209" s="217">
        <v>2.5145173688681401</v>
      </c>
      <c r="AT209" s="232" t="s">
        <v>54</v>
      </c>
      <c r="AU209" s="224">
        <v>0.15715733555425901</v>
      </c>
      <c r="AV209" s="225">
        <v>-39.259774693823999</v>
      </c>
      <c r="AW209" s="219"/>
      <c r="AX209" s="219"/>
      <c r="AY209" s="227">
        <v>36</v>
      </c>
      <c r="AZ209" s="227">
        <v>44</v>
      </c>
      <c r="BA209" s="218"/>
      <c r="BB209" s="235">
        <v>107</v>
      </c>
      <c r="BC209" s="231">
        <v>40.7656603740744</v>
      </c>
      <c r="BD209" s="232" t="s">
        <v>55</v>
      </c>
      <c r="BE209" s="229">
        <v>1.2739268866898199</v>
      </c>
      <c r="BF209" s="230">
        <v>15.280450612352</v>
      </c>
      <c r="BG209" s="219">
        <v>0.02</v>
      </c>
      <c r="BH209" s="219">
        <v>0.02</v>
      </c>
      <c r="BI209" s="227">
        <v>0</v>
      </c>
      <c r="BJ209" s="227">
        <v>0</v>
      </c>
      <c r="BK209" s="220"/>
      <c r="BL209" s="236">
        <v>0.8</v>
      </c>
      <c r="BM209" s="239">
        <v>0.75</v>
      </c>
      <c r="BN209" s="237"/>
      <c r="BO209" s="238">
        <v>0.95</v>
      </c>
      <c r="BP209" s="229">
        <v>1</v>
      </c>
      <c r="BQ209" s="237">
        <v>2.5000000000000001E-3</v>
      </c>
    </row>
    <row r="210" spans="1:69" s="207" customFormat="1" ht="22.35" customHeight="1" x14ac:dyDescent="0.2">
      <c r="A210" s="216" t="s">
        <v>275</v>
      </c>
      <c r="B210" s="216" t="s">
        <v>276</v>
      </c>
      <c r="C210" s="216" t="s">
        <v>277</v>
      </c>
      <c r="D210" s="217">
        <v>3.8480691394444402</v>
      </c>
      <c r="E210" s="218"/>
      <c r="F210" s="219">
        <v>5.6000000000000001E-2</v>
      </c>
      <c r="G210" s="219">
        <v>0.05</v>
      </c>
      <c r="H210" s="220"/>
      <c r="I210" s="221">
        <v>5</v>
      </c>
      <c r="J210" s="221">
        <v>4</v>
      </c>
      <c r="K210" s="218"/>
      <c r="L210" s="222">
        <v>4395.6217200000001</v>
      </c>
      <c r="M210" s="222">
        <v>727.75397999999996</v>
      </c>
      <c r="N210" s="222">
        <v>5123.3756999999996</v>
      </c>
      <c r="O210" s="217">
        <v>1331.41466910849</v>
      </c>
      <c r="P210" s="223">
        <v>287.5</v>
      </c>
      <c r="Q210" s="229">
        <v>4.6310075447251799</v>
      </c>
      <c r="R210" s="230">
        <v>3915.2743936714201</v>
      </c>
      <c r="S210" s="219">
        <v>0.01</v>
      </c>
      <c r="T210" s="219">
        <v>0.01</v>
      </c>
      <c r="U210" s="226">
        <v>0</v>
      </c>
      <c r="V210" s="227">
        <v>0</v>
      </c>
      <c r="W210" s="218"/>
      <c r="X210" s="226">
        <v>3554.1077300000002</v>
      </c>
      <c r="Y210" s="217">
        <v>923.60807490925595</v>
      </c>
      <c r="Z210" s="228">
        <v>573</v>
      </c>
      <c r="AA210" s="229">
        <v>1.6118814570842199</v>
      </c>
      <c r="AB210" s="230">
        <v>1146.3093003433801</v>
      </c>
      <c r="AC210" s="219">
        <v>0.02</v>
      </c>
      <c r="AD210" s="219">
        <v>0.02</v>
      </c>
      <c r="AE210" s="227">
        <v>0</v>
      </c>
      <c r="AF210" s="227">
        <v>0</v>
      </c>
      <c r="AG210" s="218"/>
      <c r="AH210" s="231">
        <v>233.25</v>
      </c>
      <c r="AI210" s="217">
        <v>60.614815261265001</v>
      </c>
      <c r="AJ210" s="232" t="s">
        <v>53</v>
      </c>
      <c r="AK210" s="233">
        <v>0.96213992478198396</v>
      </c>
      <c r="AL210" s="234">
        <v>-31.481764517219698</v>
      </c>
      <c r="AM210" s="219">
        <v>6.0000000000000001E-3</v>
      </c>
      <c r="AN210" s="219"/>
      <c r="AO210" s="227">
        <v>10</v>
      </c>
      <c r="AP210" s="227">
        <v>58</v>
      </c>
      <c r="AQ210" s="218"/>
      <c r="AR210" s="231">
        <v>42.7</v>
      </c>
      <c r="AS210" s="217">
        <v>11.096474219318401</v>
      </c>
      <c r="AT210" s="232" t="s">
        <v>54</v>
      </c>
      <c r="AU210" s="224">
        <v>0.69352963870739903</v>
      </c>
      <c r="AV210" s="225">
        <v>-24.5334640043733</v>
      </c>
      <c r="AW210" s="219"/>
      <c r="AX210" s="219"/>
      <c r="AY210" s="227">
        <v>19</v>
      </c>
      <c r="AZ210" s="227">
        <v>32</v>
      </c>
      <c r="BA210" s="218"/>
      <c r="BB210" s="235">
        <v>185.6</v>
      </c>
      <c r="BC210" s="231">
        <v>48.231981618395601</v>
      </c>
      <c r="BD210" s="232" t="s">
        <v>55</v>
      </c>
      <c r="BE210" s="229">
        <v>1.5072494255748601</v>
      </c>
      <c r="BF210" s="230">
        <v>51.133071991253502</v>
      </c>
      <c r="BG210" s="219">
        <v>0.02</v>
      </c>
      <c r="BH210" s="219">
        <v>0.02</v>
      </c>
      <c r="BI210" s="227">
        <v>0</v>
      </c>
      <c r="BJ210" s="227">
        <v>0</v>
      </c>
      <c r="BK210" s="220"/>
      <c r="BL210" s="236">
        <v>0.8</v>
      </c>
      <c r="BM210" s="239">
        <v>0.78</v>
      </c>
      <c r="BN210" s="237"/>
      <c r="BO210" s="238">
        <v>0.95</v>
      </c>
      <c r="BP210" s="229">
        <v>1</v>
      </c>
      <c r="BQ210" s="237">
        <v>2.5000000000000001E-3</v>
      </c>
    </row>
    <row r="211" spans="1:69" s="207" customFormat="1" ht="22.35" customHeight="1" x14ac:dyDescent="0.2">
      <c r="A211" s="216" t="s">
        <v>275</v>
      </c>
      <c r="B211" s="216" t="s">
        <v>276</v>
      </c>
      <c r="C211" s="216" t="s">
        <v>278</v>
      </c>
      <c r="D211" s="217">
        <v>2.98956710155556</v>
      </c>
      <c r="E211" s="218"/>
      <c r="F211" s="219">
        <v>2.7E-2</v>
      </c>
      <c r="G211" s="219">
        <v>1.2E-2</v>
      </c>
      <c r="H211" s="220"/>
      <c r="I211" s="221">
        <v>5</v>
      </c>
      <c r="J211" s="221">
        <v>4</v>
      </c>
      <c r="K211" s="218"/>
      <c r="L211" s="222">
        <v>1721.72011</v>
      </c>
      <c r="M211" s="222">
        <v>1261.6985099999999</v>
      </c>
      <c r="N211" s="222">
        <v>2983.4186199999999</v>
      </c>
      <c r="O211" s="217">
        <v>997.94335388814102</v>
      </c>
      <c r="P211" s="223">
        <v>222.37200000000001</v>
      </c>
      <c r="Q211" s="229">
        <v>4.4877203689679499</v>
      </c>
      <c r="R211" s="230">
        <v>2257.4613710662302</v>
      </c>
      <c r="S211" s="219">
        <v>0.01</v>
      </c>
      <c r="T211" s="219">
        <v>0.01</v>
      </c>
      <c r="U211" s="226">
        <v>0</v>
      </c>
      <c r="V211" s="227">
        <v>0</v>
      </c>
      <c r="W211" s="218"/>
      <c r="X211" s="226">
        <v>1746.823625</v>
      </c>
      <c r="Y211" s="217">
        <v>584.30654528245202</v>
      </c>
      <c r="Z211" s="228">
        <v>573</v>
      </c>
      <c r="AA211" s="233">
        <v>1.01973219071981</v>
      </c>
      <c r="AB211" s="234">
        <v>-123.796343516939</v>
      </c>
      <c r="AC211" s="219">
        <v>1.2E-2</v>
      </c>
      <c r="AD211" s="219">
        <v>2E-3</v>
      </c>
      <c r="AE211" s="227">
        <v>0</v>
      </c>
      <c r="AF211" s="227">
        <v>309</v>
      </c>
      <c r="AG211" s="218"/>
      <c r="AH211" s="231">
        <v>126.55</v>
      </c>
      <c r="AI211" s="217">
        <v>42.330543420200399</v>
      </c>
      <c r="AJ211" s="232" t="s">
        <v>53</v>
      </c>
      <c r="AK211" s="224">
        <v>0.67191338762222796</v>
      </c>
      <c r="AL211" s="225">
        <v>-79.120258318616393</v>
      </c>
      <c r="AM211" s="219"/>
      <c r="AN211" s="219"/>
      <c r="AO211" s="227">
        <v>62</v>
      </c>
      <c r="AP211" s="227">
        <v>100</v>
      </c>
      <c r="AQ211" s="218"/>
      <c r="AR211" s="231">
        <v>5</v>
      </c>
      <c r="AS211" s="217">
        <v>1.6724829482497201</v>
      </c>
      <c r="AT211" s="232" t="s">
        <v>54</v>
      </c>
      <c r="AU211" s="224">
        <v>0.10453018426560801</v>
      </c>
      <c r="AV211" s="225">
        <v>-47.233716398378803</v>
      </c>
      <c r="AW211" s="219"/>
      <c r="AX211" s="219"/>
      <c r="AY211" s="227">
        <v>43</v>
      </c>
      <c r="AZ211" s="227">
        <v>53</v>
      </c>
      <c r="BA211" s="218"/>
      <c r="BB211" s="235">
        <v>91.8</v>
      </c>
      <c r="BC211" s="231">
        <v>30.706786929864801</v>
      </c>
      <c r="BD211" s="232" t="s">
        <v>55</v>
      </c>
      <c r="BE211" s="233">
        <v>0.95958709155827604</v>
      </c>
      <c r="BF211" s="234">
        <v>-12.667432796757501</v>
      </c>
      <c r="BG211" s="219">
        <v>5.0000000000000001E-3</v>
      </c>
      <c r="BH211" s="219"/>
      <c r="BI211" s="227">
        <v>4</v>
      </c>
      <c r="BJ211" s="227">
        <v>23</v>
      </c>
      <c r="BK211" s="220"/>
      <c r="BL211" s="236">
        <v>0.8</v>
      </c>
      <c r="BM211" s="233">
        <v>0.81</v>
      </c>
      <c r="BN211" s="237">
        <v>3.7500000000000001E-4</v>
      </c>
      <c r="BO211" s="238">
        <v>0.95</v>
      </c>
      <c r="BP211" s="229">
        <v>1</v>
      </c>
      <c r="BQ211" s="237">
        <v>2.5000000000000001E-3</v>
      </c>
    </row>
    <row r="212" spans="1:69" s="207" customFormat="1" ht="22.35" customHeight="1" x14ac:dyDescent="0.2">
      <c r="A212" s="216" t="s">
        <v>275</v>
      </c>
      <c r="B212" s="216" t="s">
        <v>276</v>
      </c>
      <c r="C212" s="216" t="s">
        <v>279</v>
      </c>
      <c r="D212" s="217">
        <v>3.33559711066667</v>
      </c>
      <c r="E212" s="218"/>
      <c r="F212" s="219">
        <v>0.03</v>
      </c>
      <c r="G212" s="219">
        <v>0.03</v>
      </c>
      <c r="H212" s="220"/>
      <c r="I212" s="221">
        <v>3</v>
      </c>
      <c r="J212" s="221">
        <v>3</v>
      </c>
      <c r="K212" s="218"/>
      <c r="L212" s="222">
        <v>1652.8897300000001</v>
      </c>
      <c r="M212" s="222">
        <v>-185.16573</v>
      </c>
      <c r="N212" s="222">
        <v>1467.7239999999999</v>
      </c>
      <c r="O212" s="217">
        <v>440.01836891705898</v>
      </c>
      <c r="P212" s="223">
        <v>230.685</v>
      </c>
      <c r="Q212" s="229">
        <v>1.9074424818131199</v>
      </c>
      <c r="R212" s="230">
        <v>627.46033633423804</v>
      </c>
      <c r="S212" s="219">
        <v>0.01</v>
      </c>
      <c r="T212" s="219">
        <v>0.01</v>
      </c>
      <c r="U212" s="226">
        <v>0</v>
      </c>
      <c r="V212" s="227">
        <v>0</v>
      </c>
      <c r="W212" s="218"/>
      <c r="X212" s="226">
        <v>2727.9404199999999</v>
      </c>
      <c r="Y212" s="217">
        <v>817.82671272753998</v>
      </c>
      <c r="Z212" s="228">
        <v>573</v>
      </c>
      <c r="AA212" s="229">
        <v>1.4272717499608001</v>
      </c>
      <c r="AB212" s="230">
        <v>640.80393830209402</v>
      </c>
      <c r="AC212" s="219">
        <v>0.02</v>
      </c>
      <c r="AD212" s="219">
        <v>0.02</v>
      </c>
      <c r="AE212" s="227">
        <v>0</v>
      </c>
      <c r="AF212" s="227">
        <v>0</v>
      </c>
      <c r="AG212" s="218"/>
      <c r="AH212" s="231">
        <v>125.5</v>
      </c>
      <c r="AI212" s="217">
        <v>37.624447988239503</v>
      </c>
      <c r="AJ212" s="232" t="s">
        <v>53</v>
      </c>
      <c r="AK212" s="224">
        <v>0.59721346013078602</v>
      </c>
      <c r="AL212" s="225">
        <v>-103.975738825424</v>
      </c>
      <c r="AM212" s="219"/>
      <c r="AN212" s="219"/>
      <c r="AO212" s="227">
        <v>85</v>
      </c>
      <c r="AP212" s="227">
        <v>127</v>
      </c>
      <c r="AQ212" s="218"/>
      <c r="AR212" s="231">
        <v>12</v>
      </c>
      <c r="AS212" s="217">
        <v>3.5975567797519901</v>
      </c>
      <c r="AT212" s="232" t="s">
        <v>54</v>
      </c>
      <c r="AU212" s="224">
        <v>0.22484729873449899</v>
      </c>
      <c r="AV212" s="225">
        <v>-46.279552717568102</v>
      </c>
      <c r="AW212" s="219"/>
      <c r="AX212" s="219"/>
      <c r="AY212" s="227">
        <v>42</v>
      </c>
      <c r="AZ212" s="227">
        <v>53</v>
      </c>
      <c r="BA212" s="218"/>
      <c r="BB212" s="235">
        <v>93.2</v>
      </c>
      <c r="BC212" s="231">
        <v>27.9410243227404</v>
      </c>
      <c r="BD212" s="232" t="s">
        <v>55</v>
      </c>
      <c r="BE212" s="239">
        <v>0.87315701008563795</v>
      </c>
      <c r="BF212" s="222">
        <v>-23.359105435136101</v>
      </c>
      <c r="BG212" s="219"/>
      <c r="BH212" s="219"/>
      <c r="BI212" s="227">
        <v>14</v>
      </c>
      <c r="BJ212" s="227">
        <v>35</v>
      </c>
      <c r="BK212" s="220"/>
      <c r="BL212" s="236">
        <v>0.8</v>
      </c>
      <c r="BM212" s="239">
        <v>0.75</v>
      </c>
      <c r="BN212" s="237"/>
      <c r="BO212" s="238">
        <v>0.95</v>
      </c>
      <c r="BP212" s="229">
        <v>1</v>
      </c>
      <c r="BQ212" s="237">
        <v>2.5000000000000001E-3</v>
      </c>
    </row>
    <row r="213" spans="1:69" s="207" customFormat="1" ht="22.35" customHeight="1" x14ac:dyDescent="0.2">
      <c r="A213" s="216" t="s">
        <v>275</v>
      </c>
      <c r="B213" s="216" t="s">
        <v>276</v>
      </c>
      <c r="C213" s="216" t="s">
        <v>280</v>
      </c>
      <c r="D213" s="217">
        <v>3.7485562538888901</v>
      </c>
      <c r="E213" s="218"/>
      <c r="F213" s="219">
        <v>3.9E-2</v>
      </c>
      <c r="G213" s="219">
        <v>0.02</v>
      </c>
      <c r="H213" s="220"/>
      <c r="I213" s="221">
        <v>4</v>
      </c>
      <c r="J213" s="221">
        <v>3</v>
      </c>
      <c r="K213" s="218"/>
      <c r="L213" s="222">
        <v>1573.6742999999999</v>
      </c>
      <c r="M213" s="222">
        <v>1708.3847000000001</v>
      </c>
      <c r="N213" s="222">
        <v>3282.0590000000002</v>
      </c>
      <c r="O213" s="217">
        <v>875.55282026115299</v>
      </c>
      <c r="P213" s="223">
        <v>260.827</v>
      </c>
      <c r="Q213" s="229">
        <v>3.3568335343394402</v>
      </c>
      <c r="R213" s="230">
        <v>2214.38364721988</v>
      </c>
      <c r="S213" s="219">
        <v>0.01</v>
      </c>
      <c r="T213" s="219">
        <v>0.01</v>
      </c>
      <c r="U213" s="226">
        <v>0</v>
      </c>
      <c r="V213" s="227">
        <v>0</v>
      </c>
      <c r="W213" s="218"/>
      <c r="X213" s="226">
        <v>1895.7929549999999</v>
      </c>
      <c r="Y213" s="217">
        <v>505.73949718194399</v>
      </c>
      <c r="Z213" s="228">
        <v>573</v>
      </c>
      <c r="AA213" s="239">
        <v>0.88261692352869903</v>
      </c>
      <c r="AB213" s="222">
        <v>-449.73866995834101</v>
      </c>
      <c r="AC213" s="219"/>
      <c r="AD213" s="219"/>
      <c r="AE213" s="227">
        <v>253</v>
      </c>
      <c r="AF213" s="227">
        <v>682</v>
      </c>
      <c r="AG213" s="218"/>
      <c r="AH213" s="231">
        <v>233.2</v>
      </c>
      <c r="AI213" s="217">
        <v>62.210617689962604</v>
      </c>
      <c r="AJ213" s="232" t="s">
        <v>53</v>
      </c>
      <c r="AK213" s="233">
        <v>0.98747012206289797</v>
      </c>
      <c r="AL213" s="234">
        <v>-24.685676042540099</v>
      </c>
      <c r="AM213" s="219">
        <v>8.9999999999999993E-3</v>
      </c>
      <c r="AN213" s="219"/>
      <c r="AO213" s="227">
        <v>3</v>
      </c>
      <c r="AP213" s="227">
        <v>51</v>
      </c>
      <c r="AQ213" s="218"/>
      <c r="AR213" s="231">
        <v>26</v>
      </c>
      <c r="AS213" s="217">
        <v>6.9360036875601496</v>
      </c>
      <c r="AT213" s="232" t="s">
        <v>54</v>
      </c>
      <c r="AU213" s="224">
        <v>0.43350023047250902</v>
      </c>
      <c r="AV213" s="225">
        <v>-39.494774867946703</v>
      </c>
      <c r="AW213" s="219"/>
      <c r="AX213" s="219"/>
      <c r="AY213" s="227">
        <v>34</v>
      </c>
      <c r="AZ213" s="227">
        <v>46</v>
      </c>
      <c r="BA213" s="218"/>
      <c r="BB213" s="235">
        <v>132</v>
      </c>
      <c r="BC213" s="231">
        <v>35.213557182997697</v>
      </c>
      <c r="BD213" s="232" t="s">
        <v>55</v>
      </c>
      <c r="BE213" s="229">
        <v>1.10042366196868</v>
      </c>
      <c r="BF213" s="230">
        <v>1.01045026410662</v>
      </c>
      <c r="BG213" s="219">
        <v>0.02</v>
      </c>
      <c r="BH213" s="219">
        <v>0.01</v>
      </c>
      <c r="BI213" s="227">
        <v>0</v>
      </c>
      <c r="BJ213" s="227">
        <v>12</v>
      </c>
      <c r="BK213" s="220"/>
      <c r="BL213" s="236">
        <v>0.8</v>
      </c>
      <c r="BM213" s="239">
        <v>0.79</v>
      </c>
      <c r="BN213" s="237"/>
      <c r="BO213" s="238">
        <v>0.95</v>
      </c>
      <c r="BP213" s="229">
        <v>1</v>
      </c>
      <c r="BQ213" s="237">
        <v>2.5000000000000001E-3</v>
      </c>
    </row>
    <row r="214" spans="1:69" s="207" customFormat="1" ht="22.35" customHeight="1" x14ac:dyDescent="0.2">
      <c r="A214" s="216" t="s">
        <v>275</v>
      </c>
      <c r="B214" s="216" t="s">
        <v>276</v>
      </c>
      <c r="C214" s="216" t="s">
        <v>281</v>
      </c>
      <c r="D214" s="217">
        <v>3.10896044855556</v>
      </c>
      <c r="E214" s="218"/>
      <c r="F214" s="219">
        <v>2.5000000000000001E-2</v>
      </c>
      <c r="G214" s="219">
        <v>1.4999999999999999E-2</v>
      </c>
      <c r="H214" s="220"/>
      <c r="I214" s="221">
        <v>4</v>
      </c>
      <c r="J214" s="221">
        <v>4</v>
      </c>
      <c r="K214" s="218"/>
      <c r="L214" s="222">
        <v>2186.4463599999999</v>
      </c>
      <c r="M214" s="222">
        <v>2392.16777</v>
      </c>
      <c r="N214" s="222">
        <v>4578.6141299999999</v>
      </c>
      <c r="O214" s="217">
        <v>1472.71546414405</v>
      </c>
      <c r="P214" s="223">
        <v>237.98699999999999</v>
      </c>
      <c r="Q214" s="229">
        <v>6.1882181133593397</v>
      </c>
      <c r="R214" s="230">
        <v>3770.65188006473</v>
      </c>
      <c r="S214" s="219">
        <v>0.01</v>
      </c>
      <c r="T214" s="219">
        <v>0.01</v>
      </c>
      <c r="U214" s="226">
        <v>0</v>
      </c>
      <c r="V214" s="227">
        <v>0</v>
      </c>
      <c r="W214" s="218"/>
      <c r="X214" s="226">
        <v>1870.383435</v>
      </c>
      <c r="Y214" s="217">
        <v>601.61055952609297</v>
      </c>
      <c r="Z214" s="228">
        <v>573</v>
      </c>
      <c r="AA214" s="233">
        <v>1.0499311684574</v>
      </c>
      <c r="AB214" s="234">
        <v>-74.942861028390794</v>
      </c>
      <c r="AC214" s="219">
        <v>1.4999999999999999E-2</v>
      </c>
      <c r="AD214" s="219">
        <v>5.0000000000000001E-3</v>
      </c>
      <c r="AE214" s="227">
        <v>0</v>
      </c>
      <c r="AF214" s="227">
        <v>268</v>
      </c>
      <c r="AG214" s="218"/>
      <c r="AH214" s="231">
        <v>82.5</v>
      </c>
      <c r="AI214" s="217">
        <v>26.536201204595599</v>
      </c>
      <c r="AJ214" s="232" t="s">
        <v>53</v>
      </c>
      <c r="AK214" s="224">
        <v>0.421209542930089</v>
      </c>
      <c r="AL214" s="225">
        <v>-131.38404301882801</v>
      </c>
      <c r="AM214" s="219"/>
      <c r="AN214" s="219"/>
      <c r="AO214" s="227">
        <v>114</v>
      </c>
      <c r="AP214" s="227">
        <v>153</v>
      </c>
      <c r="AQ214" s="218"/>
      <c r="AR214" s="231">
        <v>5.8</v>
      </c>
      <c r="AS214" s="217">
        <v>1.8655753574139899</v>
      </c>
      <c r="AT214" s="232" t="s">
        <v>54</v>
      </c>
      <c r="AU214" s="224">
        <v>0.116598459838374</v>
      </c>
      <c r="AV214" s="225">
        <v>-48.519756957162798</v>
      </c>
      <c r="AW214" s="219"/>
      <c r="AX214" s="219"/>
      <c r="AY214" s="227">
        <v>44</v>
      </c>
      <c r="AZ214" s="227">
        <v>54</v>
      </c>
      <c r="BA214" s="218"/>
      <c r="BB214" s="235">
        <v>62.6</v>
      </c>
      <c r="BC214" s="231">
        <v>20.1353478231234</v>
      </c>
      <c r="BD214" s="232" t="s">
        <v>55</v>
      </c>
      <c r="BE214" s="224">
        <v>0.62922961947260803</v>
      </c>
      <c r="BF214" s="225">
        <v>-46.039513914325497</v>
      </c>
      <c r="BG214" s="219"/>
      <c r="BH214" s="219"/>
      <c r="BI214" s="227">
        <v>37</v>
      </c>
      <c r="BJ214" s="227">
        <v>57</v>
      </c>
      <c r="BK214" s="220"/>
      <c r="BL214" s="236">
        <v>0.8</v>
      </c>
      <c r="BM214" s="233">
        <v>0.88</v>
      </c>
      <c r="BN214" s="237">
        <v>3.0000000000000001E-3</v>
      </c>
      <c r="BO214" s="238">
        <v>0.95</v>
      </c>
      <c r="BP214" s="229">
        <v>1</v>
      </c>
      <c r="BQ214" s="237">
        <v>2.5000000000000001E-3</v>
      </c>
    </row>
    <row r="215" spans="1:69" s="207" customFormat="1" ht="22.35" customHeight="1" x14ac:dyDescent="0.2">
      <c r="A215" s="216" t="s">
        <v>275</v>
      </c>
      <c r="B215" s="216" t="s">
        <v>276</v>
      </c>
      <c r="C215" s="216" t="s">
        <v>282</v>
      </c>
      <c r="D215" s="217">
        <v>3.74723678633333</v>
      </c>
      <c r="E215" s="218"/>
      <c r="F215" s="219">
        <v>3.4000000000000002E-2</v>
      </c>
      <c r="G215" s="219">
        <v>0.03</v>
      </c>
      <c r="H215" s="220"/>
      <c r="I215" s="221">
        <v>5</v>
      </c>
      <c r="J215" s="221">
        <v>4</v>
      </c>
      <c r="K215" s="218"/>
      <c r="L215" s="222">
        <v>1372.8374699999999</v>
      </c>
      <c r="M215" s="222">
        <v>4610.31538</v>
      </c>
      <c r="N215" s="222">
        <v>5983.1528500000004</v>
      </c>
      <c r="O215" s="217">
        <v>1596.6839543797601</v>
      </c>
      <c r="P215" s="223">
        <v>287.5</v>
      </c>
      <c r="Q215" s="229">
        <v>5.5536833195817703</v>
      </c>
      <c r="R215" s="230">
        <v>4806.70786093065</v>
      </c>
      <c r="S215" s="219">
        <v>0.01</v>
      </c>
      <c r="T215" s="219">
        <v>0.01</v>
      </c>
      <c r="U215" s="226">
        <v>0</v>
      </c>
      <c r="V215" s="227">
        <v>0</v>
      </c>
      <c r="W215" s="218"/>
      <c r="X215" s="226">
        <v>2035.99938</v>
      </c>
      <c r="Y215" s="217">
        <v>543.33352710070506</v>
      </c>
      <c r="Z215" s="228">
        <v>573</v>
      </c>
      <c r="AA215" s="233">
        <v>0.94822605078656996</v>
      </c>
      <c r="AB215" s="234">
        <v>-308.70663299734599</v>
      </c>
      <c r="AC215" s="219">
        <v>4.0000000000000001E-3</v>
      </c>
      <c r="AD215" s="219"/>
      <c r="AE215" s="227">
        <v>112</v>
      </c>
      <c r="AF215" s="227">
        <v>541</v>
      </c>
      <c r="AG215" s="218"/>
      <c r="AH215" s="231">
        <v>132.44999999999999</v>
      </c>
      <c r="AI215" s="217">
        <v>35.346044979880297</v>
      </c>
      <c r="AJ215" s="232" t="s">
        <v>53</v>
      </c>
      <c r="AK215" s="224">
        <v>0.56104833301397306</v>
      </c>
      <c r="AL215" s="225">
        <v>-125.344901952588</v>
      </c>
      <c r="AM215" s="219"/>
      <c r="AN215" s="219"/>
      <c r="AO215" s="227">
        <v>104</v>
      </c>
      <c r="AP215" s="227">
        <v>151</v>
      </c>
      <c r="AQ215" s="218"/>
      <c r="AR215" s="231">
        <v>36.200000000000003</v>
      </c>
      <c r="AS215" s="217">
        <v>9.6604517045803409</v>
      </c>
      <c r="AT215" s="232" t="s">
        <v>54</v>
      </c>
      <c r="AU215" s="224">
        <v>0.60377823153627097</v>
      </c>
      <c r="AV215" s="225">
        <v>-29.271721130815902</v>
      </c>
      <c r="AW215" s="219"/>
      <c r="AX215" s="219"/>
      <c r="AY215" s="227">
        <v>24</v>
      </c>
      <c r="AZ215" s="227">
        <v>36</v>
      </c>
      <c r="BA215" s="218"/>
      <c r="BB215" s="235">
        <v>149</v>
      </c>
      <c r="BC215" s="231">
        <v>39.762632706698099</v>
      </c>
      <c r="BD215" s="232" t="s">
        <v>55</v>
      </c>
      <c r="BE215" s="229">
        <v>1.24258227208431</v>
      </c>
      <c r="BF215" s="230">
        <v>18.056557738368099</v>
      </c>
      <c r="BG215" s="219">
        <v>0.02</v>
      </c>
      <c r="BH215" s="219">
        <v>0.02</v>
      </c>
      <c r="BI215" s="227">
        <v>0</v>
      </c>
      <c r="BJ215" s="227">
        <v>0</v>
      </c>
      <c r="BK215" s="220"/>
      <c r="BL215" s="236">
        <v>0.8</v>
      </c>
      <c r="BM215" s="233">
        <v>0.84</v>
      </c>
      <c r="BN215" s="237">
        <v>1.5E-3</v>
      </c>
      <c r="BO215" s="238">
        <v>0.95</v>
      </c>
      <c r="BP215" s="229">
        <v>1</v>
      </c>
      <c r="BQ215" s="237">
        <v>2.5000000000000001E-3</v>
      </c>
    </row>
    <row r="216" spans="1:69" s="207" customFormat="1" ht="22.35" customHeight="1" x14ac:dyDescent="0.2">
      <c r="A216" s="216" t="s">
        <v>275</v>
      </c>
      <c r="B216" s="216" t="s">
        <v>276</v>
      </c>
      <c r="C216" s="216" t="s">
        <v>283</v>
      </c>
      <c r="D216" s="217">
        <v>4.8968438782222199</v>
      </c>
      <c r="E216" s="218"/>
      <c r="F216" s="219">
        <v>4.4999999999999998E-2</v>
      </c>
      <c r="G216" s="219">
        <v>3.5000000000000003E-2</v>
      </c>
      <c r="H216" s="220"/>
      <c r="I216" s="221">
        <v>4</v>
      </c>
      <c r="J216" s="221">
        <v>4</v>
      </c>
      <c r="K216" s="218"/>
      <c r="L216" s="222">
        <v>4595.4805900000001</v>
      </c>
      <c r="M216" s="222">
        <v>4195.9085100000002</v>
      </c>
      <c r="N216" s="222">
        <v>8791.3891000000003</v>
      </c>
      <c r="O216" s="217">
        <v>1795.31741640734</v>
      </c>
      <c r="P216" s="223">
        <v>287.5</v>
      </c>
      <c r="Q216" s="229">
        <v>6.24458231793857</v>
      </c>
      <c r="R216" s="230">
        <v>7254.0249644321302</v>
      </c>
      <c r="S216" s="219">
        <v>0.01</v>
      </c>
      <c r="T216" s="219">
        <v>0.01</v>
      </c>
      <c r="U216" s="226">
        <v>0</v>
      </c>
      <c r="V216" s="227">
        <v>0</v>
      </c>
      <c r="W216" s="218"/>
      <c r="X216" s="226">
        <v>2943.4045099999998</v>
      </c>
      <c r="Y216" s="217">
        <v>601.08195874698595</v>
      </c>
      <c r="Z216" s="228">
        <v>573</v>
      </c>
      <c r="AA216" s="233">
        <v>1.0490086540087</v>
      </c>
      <c r="AB216" s="234">
        <v>-120.629054105694</v>
      </c>
      <c r="AC216" s="219">
        <v>1.4999999999999999E-2</v>
      </c>
      <c r="AD216" s="219">
        <v>5.0000000000000001E-3</v>
      </c>
      <c r="AE216" s="227">
        <v>0</v>
      </c>
      <c r="AF216" s="227">
        <v>424</v>
      </c>
      <c r="AG216" s="218"/>
      <c r="AH216" s="231">
        <v>204.1</v>
      </c>
      <c r="AI216" s="217">
        <v>41.679907523230597</v>
      </c>
      <c r="AJ216" s="232" t="s">
        <v>53</v>
      </c>
      <c r="AK216" s="224">
        <v>0.66158583370207202</v>
      </c>
      <c r="AL216" s="225">
        <v>-132.783271446176</v>
      </c>
      <c r="AM216" s="219"/>
      <c r="AN216" s="219"/>
      <c r="AO216" s="227">
        <v>105</v>
      </c>
      <c r="AP216" s="227">
        <v>167</v>
      </c>
      <c r="AQ216" s="218"/>
      <c r="AR216" s="231">
        <v>56.3</v>
      </c>
      <c r="AS216" s="217">
        <v>11.497201340313</v>
      </c>
      <c r="AT216" s="232" t="s">
        <v>54</v>
      </c>
      <c r="AU216" s="224">
        <v>0.71857508376956203</v>
      </c>
      <c r="AV216" s="225">
        <v>-29.257656240298601</v>
      </c>
      <c r="AW216" s="219"/>
      <c r="AX216" s="219"/>
      <c r="AY216" s="227">
        <v>23</v>
      </c>
      <c r="AZ216" s="227">
        <v>38</v>
      </c>
      <c r="BA216" s="218"/>
      <c r="BB216" s="235">
        <v>190.2</v>
      </c>
      <c r="BC216" s="231">
        <v>38.841344492496098</v>
      </c>
      <c r="BD216" s="232" t="s">
        <v>55</v>
      </c>
      <c r="BE216" s="229">
        <v>1.2137920153905</v>
      </c>
      <c r="BF216" s="230">
        <v>19.084687519402799</v>
      </c>
      <c r="BG216" s="219">
        <v>0.02</v>
      </c>
      <c r="BH216" s="219">
        <v>0.02</v>
      </c>
      <c r="BI216" s="227">
        <v>0</v>
      </c>
      <c r="BJ216" s="227">
        <v>0</v>
      </c>
      <c r="BK216" s="220"/>
      <c r="BL216" s="236">
        <v>0.8</v>
      </c>
      <c r="BM216" s="239">
        <v>0.74</v>
      </c>
      <c r="BN216" s="237"/>
      <c r="BO216" s="238">
        <v>0.95</v>
      </c>
      <c r="BP216" s="229">
        <v>1</v>
      </c>
      <c r="BQ216" s="237">
        <v>2.5000000000000001E-3</v>
      </c>
    </row>
    <row r="217" spans="1:69" s="207" customFormat="1" ht="22.35" customHeight="1" x14ac:dyDescent="0.2">
      <c r="A217" s="216" t="s">
        <v>275</v>
      </c>
      <c r="B217" s="216" t="s">
        <v>276</v>
      </c>
      <c r="C217" s="216" t="s">
        <v>284</v>
      </c>
      <c r="D217" s="217">
        <v>2.87505723911111</v>
      </c>
      <c r="E217" s="218"/>
      <c r="F217" s="219">
        <v>0.03</v>
      </c>
      <c r="G217" s="219">
        <v>2.3E-2</v>
      </c>
      <c r="H217" s="220"/>
      <c r="I217" s="221">
        <v>3</v>
      </c>
      <c r="J217" s="221">
        <v>3</v>
      </c>
      <c r="K217" s="218"/>
      <c r="L217" s="222">
        <v>738.97694000000001</v>
      </c>
      <c r="M217" s="222">
        <v>1787.9275600000001</v>
      </c>
      <c r="N217" s="222">
        <v>2526.9045000000001</v>
      </c>
      <c r="O217" s="217">
        <v>878.90580598710096</v>
      </c>
      <c r="P217" s="223">
        <v>287.5</v>
      </c>
      <c r="Q217" s="229">
        <v>3.05706367299861</v>
      </c>
      <c r="R217" s="230">
        <v>1624.28027978107</v>
      </c>
      <c r="S217" s="219">
        <v>0.01</v>
      </c>
      <c r="T217" s="219">
        <v>0.01</v>
      </c>
      <c r="U217" s="226">
        <v>0</v>
      </c>
      <c r="V217" s="227">
        <v>0</v>
      </c>
      <c r="W217" s="218"/>
      <c r="X217" s="226">
        <v>1856.9513850000001</v>
      </c>
      <c r="Y217" s="217">
        <v>645.88327485755303</v>
      </c>
      <c r="Z217" s="228">
        <v>573</v>
      </c>
      <c r="AA217" s="229">
        <v>1.1271959421597799</v>
      </c>
      <c r="AB217" s="230">
        <v>57.9820695723527</v>
      </c>
      <c r="AC217" s="219">
        <v>0.02</v>
      </c>
      <c r="AD217" s="219">
        <v>1.2999999999999999E-2</v>
      </c>
      <c r="AE217" s="227">
        <v>0</v>
      </c>
      <c r="AF217" s="227">
        <v>120</v>
      </c>
      <c r="AG217" s="218"/>
      <c r="AH217" s="231">
        <v>111.55</v>
      </c>
      <c r="AI217" s="217">
        <v>38.799227536244899</v>
      </c>
      <c r="AJ217" s="232" t="s">
        <v>53</v>
      </c>
      <c r="AK217" s="224">
        <v>0.61586075454356903</v>
      </c>
      <c r="AL217" s="225">
        <v>-86.242437821888004</v>
      </c>
      <c r="AM217" s="219"/>
      <c r="AN217" s="219"/>
      <c r="AO217" s="227">
        <v>70</v>
      </c>
      <c r="AP217" s="227">
        <v>106</v>
      </c>
      <c r="AQ217" s="218"/>
      <c r="AR217" s="231">
        <v>22.6</v>
      </c>
      <c r="AS217" s="217">
        <v>7.8607130642683503</v>
      </c>
      <c r="AT217" s="232" t="s">
        <v>54</v>
      </c>
      <c r="AU217" s="224">
        <v>0.491294566516772</v>
      </c>
      <c r="AV217" s="225">
        <v>-27.633000081749302</v>
      </c>
      <c r="AW217" s="219"/>
      <c r="AX217" s="219"/>
      <c r="AY217" s="227">
        <v>24</v>
      </c>
      <c r="AZ217" s="227">
        <v>33</v>
      </c>
      <c r="BA217" s="218"/>
      <c r="BB217" s="235">
        <v>73</v>
      </c>
      <c r="BC217" s="231">
        <v>25.390798835910999</v>
      </c>
      <c r="BD217" s="232" t="s">
        <v>55</v>
      </c>
      <c r="BE217" s="239">
        <v>0.79346246362221995</v>
      </c>
      <c r="BF217" s="222">
        <v>-27.466000163498599</v>
      </c>
      <c r="BG217" s="219"/>
      <c r="BH217" s="219"/>
      <c r="BI217" s="227">
        <v>20</v>
      </c>
      <c r="BJ217" s="227">
        <v>38</v>
      </c>
      <c r="BK217" s="220"/>
      <c r="BL217" s="236">
        <v>0.8</v>
      </c>
      <c r="BM217" s="239">
        <v>0.73</v>
      </c>
      <c r="BN217" s="237"/>
      <c r="BO217" s="238">
        <v>0.95</v>
      </c>
      <c r="BP217" s="229">
        <v>1</v>
      </c>
      <c r="BQ217" s="237">
        <v>2.5000000000000001E-3</v>
      </c>
    </row>
    <row r="218" spans="1:69" s="207" customFormat="1" ht="22.35" customHeight="1" x14ac:dyDescent="0.2">
      <c r="A218" s="216" t="s">
        <v>275</v>
      </c>
      <c r="B218" s="216" t="s">
        <v>276</v>
      </c>
      <c r="C218" s="216" t="s">
        <v>285</v>
      </c>
      <c r="D218" s="217">
        <v>2.5461804328888902</v>
      </c>
      <c r="E218" s="218"/>
      <c r="F218" s="219">
        <v>3.5999999999999997E-2</v>
      </c>
      <c r="G218" s="219">
        <v>0.03</v>
      </c>
      <c r="H218" s="220"/>
      <c r="I218" s="221">
        <v>5</v>
      </c>
      <c r="J218" s="221">
        <v>4</v>
      </c>
      <c r="K218" s="218"/>
      <c r="L218" s="222">
        <v>3312.1167399999999</v>
      </c>
      <c r="M218" s="222">
        <v>2289.2093500000001</v>
      </c>
      <c r="N218" s="222">
        <v>5601.3260899999996</v>
      </c>
      <c r="O218" s="217">
        <v>2199.89362012524</v>
      </c>
      <c r="P218" s="223">
        <v>271.947</v>
      </c>
      <c r="Q218" s="229">
        <v>8.0894204390018594</v>
      </c>
      <c r="R218" s="230">
        <v>4845.1967558403403</v>
      </c>
      <c r="S218" s="219">
        <v>0.01</v>
      </c>
      <c r="T218" s="219">
        <v>0.01</v>
      </c>
      <c r="U218" s="226">
        <v>0</v>
      </c>
      <c r="V218" s="227">
        <v>0</v>
      </c>
      <c r="W218" s="218"/>
      <c r="X218" s="226">
        <v>2346.3714450000002</v>
      </c>
      <c r="Y218" s="217">
        <v>921.52599033911099</v>
      </c>
      <c r="Z218" s="228">
        <v>573</v>
      </c>
      <c r="AA218" s="229">
        <v>1.6082478016389401</v>
      </c>
      <c r="AB218" s="230">
        <v>753.18560925449503</v>
      </c>
      <c r="AC218" s="219">
        <v>0.02</v>
      </c>
      <c r="AD218" s="219">
        <v>0.02</v>
      </c>
      <c r="AE218" s="227">
        <v>0</v>
      </c>
      <c r="AF218" s="227">
        <v>0</v>
      </c>
      <c r="AG218" s="218"/>
      <c r="AH218" s="231">
        <v>133.35</v>
      </c>
      <c r="AI218" s="217">
        <v>52.372564912338703</v>
      </c>
      <c r="AJ218" s="232" t="s">
        <v>53</v>
      </c>
      <c r="AK218" s="239">
        <v>0.83131055416410604</v>
      </c>
      <c r="AL218" s="222">
        <v>-41.817029061024101</v>
      </c>
      <c r="AM218" s="219"/>
      <c r="AN218" s="219"/>
      <c r="AO218" s="227">
        <v>28</v>
      </c>
      <c r="AP218" s="227">
        <v>60</v>
      </c>
      <c r="AQ218" s="218"/>
      <c r="AR218" s="231">
        <v>17.8</v>
      </c>
      <c r="AS218" s="217">
        <v>6.9908635578524896</v>
      </c>
      <c r="AT218" s="232" t="s">
        <v>54</v>
      </c>
      <c r="AU218" s="224">
        <v>0.43692897236578099</v>
      </c>
      <c r="AV218" s="225">
        <v>-26.6868645234347</v>
      </c>
      <c r="AW218" s="219"/>
      <c r="AX218" s="219"/>
      <c r="AY218" s="227">
        <v>23</v>
      </c>
      <c r="AZ218" s="227">
        <v>32</v>
      </c>
      <c r="BA218" s="218"/>
      <c r="BB218" s="235">
        <v>78.599999999999994</v>
      </c>
      <c r="BC218" s="231">
        <v>30.869768294786802</v>
      </c>
      <c r="BD218" s="232" t="s">
        <v>55</v>
      </c>
      <c r="BE218" s="233">
        <v>0.964680259212088</v>
      </c>
      <c r="BF218" s="234">
        <v>-10.3737290468694</v>
      </c>
      <c r="BG218" s="219">
        <v>6.0000000000000001E-3</v>
      </c>
      <c r="BH218" s="219"/>
      <c r="BI218" s="227">
        <v>3</v>
      </c>
      <c r="BJ218" s="227">
        <v>20</v>
      </c>
      <c r="BK218" s="220"/>
      <c r="BL218" s="236">
        <v>0.8</v>
      </c>
      <c r="BM218" s="233">
        <v>0.82</v>
      </c>
      <c r="BN218" s="237">
        <v>7.5000000000000002E-4</v>
      </c>
      <c r="BO218" s="238">
        <v>0.95</v>
      </c>
      <c r="BP218" s="229">
        <v>1</v>
      </c>
      <c r="BQ218" s="237">
        <v>2.5000000000000001E-3</v>
      </c>
    </row>
    <row r="219" spans="1:69" s="207" customFormat="1" ht="22.35" customHeight="1" x14ac:dyDescent="0.2">
      <c r="A219" s="216" t="s">
        <v>275</v>
      </c>
      <c r="B219" s="216" t="s">
        <v>276</v>
      </c>
      <c r="C219" s="216" t="s">
        <v>286</v>
      </c>
      <c r="D219" s="217">
        <v>3.79118941177778</v>
      </c>
      <c r="E219" s="218"/>
      <c r="F219" s="219">
        <v>0.03</v>
      </c>
      <c r="G219" s="219">
        <v>0.03</v>
      </c>
      <c r="H219" s="220"/>
      <c r="I219" s="221">
        <v>3</v>
      </c>
      <c r="J219" s="221">
        <v>3</v>
      </c>
      <c r="K219" s="218"/>
      <c r="L219" s="222">
        <v>3186.43624</v>
      </c>
      <c r="M219" s="222">
        <v>2659.6786499999998</v>
      </c>
      <c r="N219" s="222">
        <v>5846.1148899999998</v>
      </c>
      <c r="O219" s="217">
        <v>1542.02659245628</v>
      </c>
      <c r="P219" s="223">
        <v>272.346</v>
      </c>
      <c r="Q219" s="229">
        <v>5.6620129998468096</v>
      </c>
      <c r="R219" s="230">
        <v>4718.6082134782901</v>
      </c>
      <c r="S219" s="219">
        <v>0.01</v>
      </c>
      <c r="T219" s="219">
        <v>0.01</v>
      </c>
      <c r="U219" s="226">
        <v>0</v>
      </c>
      <c r="V219" s="227">
        <v>0</v>
      </c>
      <c r="W219" s="218"/>
      <c r="X219" s="226">
        <v>1589.7305550000001</v>
      </c>
      <c r="Y219" s="217">
        <v>419.32237678795798</v>
      </c>
      <c r="Z219" s="228">
        <v>573</v>
      </c>
      <c r="AA219" s="239">
        <v>0.73180170469102701</v>
      </c>
      <c r="AB219" s="222">
        <v>-782.47731897994504</v>
      </c>
      <c r="AC219" s="219"/>
      <c r="AD219" s="219"/>
      <c r="AE219" s="227">
        <v>583</v>
      </c>
      <c r="AF219" s="227">
        <v>1018</v>
      </c>
      <c r="AG219" s="218"/>
      <c r="AH219" s="231">
        <v>84.9</v>
      </c>
      <c r="AI219" s="217">
        <v>22.394027514491398</v>
      </c>
      <c r="AJ219" s="232" t="s">
        <v>53</v>
      </c>
      <c r="AK219" s="224">
        <v>0.355460754198276</v>
      </c>
      <c r="AL219" s="225">
        <v>-175.91866677266401</v>
      </c>
      <c r="AM219" s="219"/>
      <c r="AN219" s="219"/>
      <c r="AO219" s="227">
        <v>154</v>
      </c>
      <c r="AP219" s="227">
        <v>202</v>
      </c>
      <c r="AQ219" s="218"/>
      <c r="AR219" s="231">
        <v>33</v>
      </c>
      <c r="AS219" s="217">
        <v>8.7043923201203306</v>
      </c>
      <c r="AT219" s="232" t="s">
        <v>54</v>
      </c>
      <c r="AU219" s="224">
        <v>0.544024520007521</v>
      </c>
      <c r="AV219" s="225">
        <v>-33.239661402581397</v>
      </c>
      <c r="AW219" s="219"/>
      <c r="AX219" s="219"/>
      <c r="AY219" s="227">
        <v>28</v>
      </c>
      <c r="AZ219" s="227">
        <v>40</v>
      </c>
      <c r="BA219" s="218"/>
      <c r="BB219" s="235">
        <v>179.4</v>
      </c>
      <c r="BC219" s="231">
        <v>47.320241885745098</v>
      </c>
      <c r="BD219" s="232" t="s">
        <v>55</v>
      </c>
      <c r="BE219" s="229">
        <v>1.4787575589295301</v>
      </c>
      <c r="BF219" s="230">
        <v>46.920677194837303</v>
      </c>
      <c r="BG219" s="219">
        <v>0.02</v>
      </c>
      <c r="BH219" s="219">
        <v>0.02</v>
      </c>
      <c r="BI219" s="227">
        <v>0</v>
      </c>
      <c r="BJ219" s="227">
        <v>0</v>
      </c>
      <c r="BK219" s="220"/>
      <c r="BL219" s="236">
        <v>0.8</v>
      </c>
      <c r="BM219" s="239">
        <v>0.75</v>
      </c>
      <c r="BN219" s="237"/>
      <c r="BO219" s="238">
        <v>0.95</v>
      </c>
      <c r="BP219" s="229">
        <v>1</v>
      </c>
      <c r="BQ219" s="237">
        <v>2.5000000000000001E-3</v>
      </c>
    </row>
    <row r="220" spans="1:69" s="207" customFormat="1" ht="22.35" customHeight="1" x14ac:dyDescent="0.2">
      <c r="A220" s="216" t="s">
        <v>275</v>
      </c>
      <c r="B220" s="216" t="s">
        <v>276</v>
      </c>
      <c r="C220" s="216" t="s">
        <v>287</v>
      </c>
      <c r="D220" s="217">
        <v>4.0983728111111102</v>
      </c>
      <c r="E220" s="218"/>
      <c r="F220" s="219">
        <v>0.03</v>
      </c>
      <c r="G220" s="219">
        <v>2.1000000000000001E-2</v>
      </c>
      <c r="H220" s="220"/>
      <c r="I220" s="221">
        <v>3</v>
      </c>
      <c r="J220" s="221">
        <v>3</v>
      </c>
      <c r="K220" s="218"/>
      <c r="L220" s="222">
        <v>2130.9472000000001</v>
      </c>
      <c r="M220" s="222">
        <v>2264.4539500000001</v>
      </c>
      <c r="N220" s="222">
        <v>4395.4011499999997</v>
      </c>
      <c r="O220" s="217">
        <v>1072.47469973537</v>
      </c>
      <c r="P220" s="223">
        <v>276.21300000000002</v>
      </c>
      <c r="Q220" s="229">
        <v>3.8827814032481101</v>
      </c>
      <c r="R220" s="230">
        <v>3159.2311065912299</v>
      </c>
      <c r="S220" s="219">
        <v>0.01</v>
      </c>
      <c r="T220" s="219">
        <v>0.01</v>
      </c>
      <c r="U220" s="226">
        <v>0</v>
      </c>
      <c r="V220" s="227">
        <v>0</v>
      </c>
      <c r="W220" s="218"/>
      <c r="X220" s="226">
        <v>1874.639555</v>
      </c>
      <c r="Y220" s="217">
        <v>457.41069478053799</v>
      </c>
      <c r="Z220" s="228">
        <v>573</v>
      </c>
      <c r="AA220" s="239">
        <v>0.79827346384038</v>
      </c>
      <c r="AB220" s="222">
        <v>-689.77788687719897</v>
      </c>
      <c r="AC220" s="219"/>
      <c r="AD220" s="219"/>
      <c r="AE220" s="227">
        <v>474</v>
      </c>
      <c r="AF220" s="227">
        <v>944</v>
      </c>
      <c r="AG220" s="218"/>
      <c r="AH220" s="231">
        <v>149.94999999999999</v>
      </c>
      <c r="AI220" s="217">
        <v>36.587691484159301</v>
      </c>
      <c r="AJ220" s="232" t="s">
        <v>53</v>
      </c>
      <c r="AK220" s="224">
        <v>0.58075700768506799</v>
      </c>
      <c r="AL220" s="225">
        <v>-132.00165591320001</v>
      </c>
      <c r="AM220" s="219"/>
      <c r="AN220" s="219"/>
      <c r="AO220" s="227">
        <v>109</v>
      </c>
      <c r="AP220" s="227">
        <v>160</v>
      </c>
      <c r="AQ220" s="218"/>
      <c r="AR220" s="231">
        <v>27.8</v>
      </c>
      <c r="AS220" s="217">
        <v>6.7831798816914199</v>
      </c>
      <c r="AT220" s="232" t="s">
        <v>54</v>
      </c>
      <c r="AU220" s="224">
        <v>0.42394874260571402</v>
      </c>
      <c r="AV220" s="225">
        <v>-43.806769755733299</v>
      </c>
      <c r="AW220" s="219"/>
      <c r="AX220" s="219"/>
      <c r="AY220" s="227">
        <v>38</v>
      </c>
      <c r="AZ220" s="227">
        <v>51</v>
      </c>
      <c r="BA220" s="218"/>
      <c r="BB220" s="235">
        <v>145.80000000000001</v>
      </c>
      <c r="BC220" s="231">
        <v>35.575094487431997</v>
      </c>
      <c r="BD220" s="232" t="s">
        <v>55</v>
      </c>
      <c r="BE220" s="229">
        <v>1.1117217027322499</v>
      </c>
      <c r="BF220" s="230">
        <v>2.5864604885333899</v>
      </c>
      <c r="BG220" s="219">
        <v>0.02</v>
      </c>
      <c r="BH220" s="219">
        <v>1.0999999999999999E-2</v>
      </c>
      <c r="BI220" s="227">
        <v>0</v>
      </c>
      <c r="BJ220" s="227">
        <v>12</v>
      </c>
      <c r="BK220" s="220"/>
      <c r="BL220" s="236">
        <v>0.8</v>
      </c>
      <c r="BM220" s="239">
        <v>0.77</v>
      </c>
      <c r="BN220" s="237"/>
      <c r="BO220" s="238">
        <v>0.95</v>
      </c>
      <c r="BP220" s="229">
        <v>1</v>
      </c>
      <c r="BQ220" s="237">
        <v>2.5000000000000001E-3</v>
      </c>
    </row>
    <row r="221" spans="1:69" s="207" customFormat="1" ht="22.35" customHeight="1" x14ac:dyDescent="0.2">
      <c r="A221" s="216" t="s">
        <v>275</v>
      </c>
      <c r="B221" s="216" t="s">
        <v>276</v>
      </c>
      <c r="C221" s="216" t="s">
        <v>288</v>
      </c>
      <c r="D221" s="217">
        <v>3.0671238162222201</v>
      </c>
      <c r="E221" s="218"/>
      <c r="F221" s="219">
        <v>1.7999999999999999E-2</v>
      </c>
      <c r="G221" s="219">
        <v>0.01</v>
      </c>
      <c r="H221" s="220"/>
      <c r="I221" s="221">
        <v>4</v>
      </c>
      <c r="J221" s="221">
        <v>3</v>
      </c>
      <c r="K221" s="218"/>
      <c r="L221" s="222">
        <v>611.30375000000004</v>
      </c>
      <c r="M221" s="222">
        <v>1013.61146</v>
      </c>
      <c r="N221" s="222">
        <v>1624.9152099999999</v>
      </c>
      <c r="O221" s="217">
        <v>529.78468016377894</v>
      </c>
      <c r="P221" s="223">
        <v>259.01299999999998</v>
      </c>
      <c r="Q221" s="229">
        <v>2.0453980308470201</v>
      </c>
      <c r="R221" s="230">
        <v>757.40317441580703</v>
      </c>
      <c r="S221" s="219">
        <v>0.01</v>
      </c>
      <c r="T221" s="219">
        <v>0.01</v>
      </c>
      <c r="U221" s="226">
        <v>0</v>
      </c>
      <c r="V221" s="227">
        <v>0</v>
      </c>
      <c r="W221" s="218"/>
      <c r="X221" s="226">
        <v>1139.5952299999999</v>
      </c>
      <c r="Y221" s="217">
        <v>371.55175280913198</v>
      </c>
      <c r="Z221" s="228">
        <v>573</v>
      </c>
      <c r="AA221" s="224">
        <v>0.64843237837544798</v>
      </c>
      <c r="AB221" s="225">
        <v>-779.55321579130305</v>
      </c>
      <c r="AC221" s="219"/>
      <c r="AD221" s="219"/>
      <c r="AE221" s="227">
        <v>618</v>
      </c>
      <c r="AF221" s="227">
        <v>970</v>
      </c>
      <c r="AG221" s="218"/>
      <c r="AH221" s="231">
        <v>102.25</v>
      </c>
      <c r="AI221" s="217">
        <v>33.337421677987997</v>
      </c>
      <c r="AJ221" s="232" t="s">
        <v>53</v>
      </c>
      <c r="AK221" s="224">
        <v>0.52916542346012696</v>
      </c>
      <c r="AL221" s="225">
        <v>-108.755850060824</v>
      </c>
      <c r="AM221" s="219"/>
      <c r="AN221" s="219"/>
      <c r="AO221" s="227">
        <v>91</v>
      </c>
      <c r="AP221" s="227">
        <v>130</v>
      </c>
      <c r="AQ221" s="218"/>
      <c r="AR221" s="231">
        <v>16.600000000000001</v>
      </c>
      <c r="AS221" s="217">
        <v>5.4122366733946299</v>
      </c>
      <c r="AT221" s="232" t="s">
        <v>54</v>
      </c>
      <c r="AU221" s="224">
        <v>0.33826479208716398</v>
      </c>
      <c r="AV221" s="225">
        <v>-36.9887873170346</v>
      </c>
      <c r="AW221" s="219"/>
      <c r="AX221" s="219"/>
      <c r="AY221" s="227">
        <v>33</v>
      </c>
      <c r="AZ221" s="227">
        <v>43</v>
      </c>
      <c r="BA221" s="218"/>
      <c r="BB221" s="235">
        <v>96.8</v>
      </c>
      <c r="BC221" s="231">
        <v>31.560512649674699</v>
      </c>
      <c r="BD221" s="232" t="s">
        <v>55</v>
      </c>
      <c r="BE221" s="233">
        <v>0.98626602030233401</v>
      </c>
      <c r="BF221" s="234">
        <v>-10.377574634069299</v>
      </c>
      <c r="BG221" s="219">
        <v>8.0000000000000002E-3</v>
      </c>
      <c r="BH221" s="219"/>
      <c r="BI221" s="227">
        <v>2</v>
      </c>
      <c r="BJ221" s="227">
        <v>21</v>
      </c>
      <c r="BK221" s="220"/>
      <c r="BL221" s="236">
        <v>0.8</v>
      </c>
      <c r="BM221" s="233">
        <v>0.81</v>
      </c>
      <c r="BN221" s="237">
        <v>3.7500000000000001E-4</v>
      </c>
      <c r="BO221" s="238">
        <v>0.95</v>
      </c>
      <c r="BP221" s="229">
        <v>1</v>
      </c>
      <c r="BQ221" s="237">
        <v>2.5000000000000001E-3</v>
      </c>
    </row>
    <row r="222" spans="1:69" s="207" customFormat="1" ht="22.35" customHeight="1" x14ac:dyDescent="0.2">
      <c r="A222" s="216" t="s">
        <v>275</v>
      </c>
      <c r="B222" s="216" t="s">
        <v>276</v>
      </c>
      <c r="C222" s="216" t="s">
        <v>289</v>
      </c>
      <c r="D222" s="217">
        <v>7.3002462538888899</v>
      </c>
      <c r="E222" s="218"/>
      <c r="F222" s="219">
        <v>2.3E-2</v>
      </c>
      <c r="G222" s="219">
        <v>1.2E-2</v>
      </c>
      <c r="H222" s="220"/>
      <c r="I222" s="221">
        <v>3</v>
      </c>
      <c r="J222" s="221">
        <v>3</v>
      </c>
      <c r="K222" s="218"/>
      <c r="L222" s="222">
        <v>4496.5194600000004</v>
      </c>
      <c r="M222" s="222">
        <v>2573.01658</v>
      </c>
      <c r="N222" s="222">
        <v>7069.53604</v>
      </c>
      <c r="O222" s="217">
        <v>968.39692719050595</v>
      </c>
      <c r="P222" s="223">
        <v>287.5</v>
      </c>
      <c r="Q222" s="229">
        <v>3.36833713805393</v>
      </c>
      <c r="R222" s="230">
        <v>4777.6237285915804</v>
      </c>
      <c r="S222" s="219">
        <v>0.01</v>
      </c>
      <c r="T222" s="219">
        <v>0.01</v>
      </c>
      <c r="U222" s="226">
        <v>0</v>
      </c>
      <c r="V222" s="227">
        <v>0</v>
      </c>
      <c r="W222" s="218"/>
      <c r="X222" s="226">
        <v>3139.4278749999999</v>
      </c>
      <c r="Y222" s="217">
        <v>430.04410615978998</v>
      </c>
      <c r="Z222" s="228">
        <v>573</v>
      </c>
      <c r="AA222" s="239">
        <v>0.75051327427537495</v>
      </c>
      <c r="AB222" s="222">
        <v>-1428.4530099983399</v>
      </c>
      <c r="AC222" s="219"/>
      <c r="AD222" s="219"/>
      <c r="AE222" s="227">
        <v>1044</v>
      </c>
      <c r="AF222" s="227">
        <v>1881</v>
      </c>
      <c r="AG222" s="218"/>
      <c r="AH222" s="231">
        <v>250.4</v>
      </c>
      <c r="AI222" s="217">
        <v>34.300212799891497</v>
      </c>
      <c r="AJ222" s="232" t="s">
        <v>53</v>
      </c>
      <c r="AK222" s="224">
        <v>0.54444782222050103</v>
      </c>
      <c r="AL222" s="225">
        <v>-251.82774128253999</v>
      </c>
      <c r="AM222" s="219"/>
      <c r="AN222" s="219"/>
      <c r="AO222" s="227">
        <v>210</v>
      </c>
      <c r="AP222" s="227">
        <v>302</v>
      </c>
      <c r="AQ222" s="218"/>
      <c r="AR222" s="231">
        <v>59.8</v>
      </c>
      <c r="AS222" s="217">
        <v>8.1915044945427908</v>
      </c>
      <c r="AT222" s="232" t="s">
        <v>54</v>
      </c>
      <c r="AU222" s="224">
        <v>0.51196903090892398</v>
      </c>
      <c r="AV222" s="225">
        <v>-67.749902547946704</v>
      </c>
      <c r="AW222" s="219"/>
      <c r="AX222" s="219"/>
      <c r="AY222" s="227">
        <v>58</v>
      </c>
      <c r="AZ222" s="227">
        <v>81</v>
      </c>
      <c r="BA222" s="218"/>
      <c r="BB222" s="235">
        <v>239.4</v>
      </c>
      <c r="BC222" s="231">
        <v>32.793414314273299</v>
      </c>
      <c r="BD222" s="232" t="s">
        <v>55</v>
      </c>
      <c r="BE222" s="233">
        <v>1.0247941973210399</v>
      </c>
      <c r="BF222" s="234">
        <v>-15.6998050958933</v>
      </c>
      <c r="BG222" s="219">
        <v>1.2999999999999999E-2</v>
      </c>
      <c r="BH222" s="219">
        <v>2E-3</v>
      </c>
      <c r="BI222" s="227">
        <v>0</v>
      </c>
      <c r="BJ222" s="227">
        <v>41</v>
      </c>
      <c r="BK222" s="220"/>
      <c r="BL222" s="236">
        <v>0.8</v>
      </c>
      <c r="BM222" s="224">
        <v>0.65</v>
      </c>
      <c r="BN222" s="237"/>
      <c r="BO222" s="238">
        <v>0.95</v>
      </c>
      <c r="BP222" s="229">
        <v>1</v>
      </c>
      <c r="BQ222" s="237">
        <v>2.5000000000000001E-3</v>
      </c>
    </row>
    <row r="223" spans="1:69" s="207" customFormat="1" ht="22.35" customHeight="1" x14ac:dyDescent="0.2">
      <c r="A223" s="216" t="s">
        <v>275</v>
      </c>
      <c r="B223" s="216" t="s">
        <v>276</v>
      </c>
      <c r="C223" s="216" t="s">
        <v>290</v>
      </c>
      <c r="D223" s="217">
        <v>2.9612506945555599</v>
      </c>
      <c r="E223" s="218"/>
      <c r="F223" s="219">
        <v>0.06</v>
      </c>
      <c r="G223" s="219">
        <v>5.0999999999999997E-2</v>
      </c>
      <c r="H223" s="220"/>
      <c r="I223" s="221">
        <v>6</v>
      </c>
      <c r="J223" s="221">
        <v>6</v>
      </c>
      <c r="K223" s="218"/>
      <c r="L223" s="222">
        <v>1364.66688</v>
      </c>
      <c r="M223" s="222">
        <v>793.30652999999995</v>
      </c>
      <c r="N223" s="222">
        <v>2157.9734100000001</v>
      </c>
      <c r="O223" s="217">
        <v>728.73715621834003</v>
      </c>
      <c r="P223" s="223">
        <v>273.31099999999998</v>
      </c>
      <c r="Q223" s="229">
        <v>2.66632940576245</v>
      </c>
      <c r="R223" s="230">
        <v>1274.1715216709999</v>
      </c>
      <c r="S223" s="219">
        <v>0.01</v>
      </c>
      <c r="T223" s="219">
        <v>0.01</v>
      </c>
      <c r="U223" s="226">
        <v>0</v>
      </c>
      <c r="V223" s="227">
        <v>0</v>
      </c>
      <c r="W223" s="218"/>
      <c r="X223" s="226">
        <v>1881.4585400000001</v>
      </c>
      <c r="Y223" s="217">
        <v>635.35942548166497</v>
      </c>
      <c r="Z223" s="228">
        <v>573</v>
      </c>
      <c r="AA223" s="229">
        <v>1.10882971288249</v>
      </c>
      <c r="AB223" s="230">
        <v>28.556600405473301</v>
      </c>
      <c r="AC223" s="219">
        <v>0.02</v>
      </c>
      <c r="AD223" s="219">
        <v>1.0999999999999999E-2</v>
      </c>
      <c r="AE223" s="227">
        <v>0</v>
      </c>
      <c r="AF223" s="227">
        <v>155</v>
      </c>
      <c r="AG223" s="218"/>
      <c r="AH223" s="231">
        <v>147.15</v>
      </c>
      <c r="AI223" s="217">
        <v>49.691841447447999</v>
      </c>
      <c r="AJ223" s="232" t="s">
        <v>53</v>
      </c>
      <c r="AK223" s="239">
        <v>0.78875938805473</v>
      </c>
      <c r="AL223" s="222">
        <v>-56.572202782644297</v>
      </c>
      <c r="AM223" s="219"/>
      <c r="AN223" s="219"/>
      <c r="AO223" s="227">
        <v>40</v>
      </c>
      <c r="AP223" s="227">
        <v>77</v>
      </c>
      <c r="AQ223" s="218"/>
      <c r="AR223" s="231">
        <v>69</v>
      </c>
      <c r="AS223" s="217">
        <v>23.300965408589299</v>
      </c>
      <c r="AT223" s="232" t="s">
        <v>54</v>
      </c>
      <c r="AU223" s="229">
        <v>1.4563103380368301</v>
      </c>
      <c r="AV223" s="230">
        <v>17.2610278647253</v>
      </c>
      <c r="AW223" s="219">
        <v>0.01</v>
      </c>
      <c r="AX223" s="219">
        <v>0.01</v>
      </c>
      <c r="AY223" s="227">
        <v>0</v>
      </c>
      <c r="AZ223" s="227">
        <v>0</v>
      </c>
      <c r="BA223" s="218"/>
      <c r="BB223" s="235">
        <v>229.4</v>
      </c>
      <c r="BC223" s="231">
        <v>77.467267604788105</v>
      </c>
      <c r="BD223" s="232" t="s">
        <v>55</v>
      </c>
      <c r="BE223" s="229">
        <v>2.4208521126496301</v>
      </c>
      <c r="BF223" s="230">
        <v>125.922055729451</v>
      </c>
      <c r="BG223" s="219">
        <v>0.02</v>
      </c>
      <c r="BH223" s="219">
        <v>0.02</v>
      </c>
      <c r="BI223" s="227">
        <v>0</v>
      </c>
      <c r="BJ223" s="227">
        <v>0</v>
      </c>
      <c r="BK223" s="220"/>
      <c r="BL223" s="236">
        <v>0.8</v>
      </c>
      <c r="BM223" s="233">
        <v>0.81</v>
      </c>
      <c r="BN223" s="237">
        <v>3.7500000000000001E-4</v>
      </c>
      <c r="BO223" s="238">
        <v>0.95</v>
      </c>
      <c r="BP223" s="229">
        <v>1</v>
      </c>
      <c r="BQ223" s="237">
        <v>2.5000000000000001E-3</v>
      </c>
    </row>
    <row r="224" spans="1:69" s="207" customFormat="1" ht="22.35" customHeight="1" x14ac:dyDescent="0.2">
      <c r="A224" s="216" t="s">
        <v>275</v>
      </c>
      <c r="B224" s="216" t="s">
        <v>276</v>
      </c>
      <c r="C224" s="216" t="s">
        <v>291</v>
      </c>
      <c r="D224" s="217">
        <v>3.1521611030000001</v>
      </c>
      <c r="E224" s="218"/>
      <c r="F224" s="219">
        <v>3.3000000000000002E-2</v>
      </c>
      <c r="G224" s="219">
        <v>0.03</v>
      </c>
      <c r="H224" s="220"/>
      <c r="I224" s="221">
        <v>4</v>
      </c>
      <c r="J224" s="221">
        <v>3</v>
      </c>
      <c r="K224" s="218"/>
      <c r="L224" s="222">
        <v>1560.8911900000001</v>
      </c>
      <c r="M224" s="222">
        <v>1129.22658</v>
      </c>
      <c r="N224" s="222">
        <v>2690.1177699999998</v>
      </c>
      <c r="O224" s="217">
        <v>853.42014005557598</v>
      </c>
      <c r="P224" s="223">
        <v>216.041</v>
      </c>
      <c r="Q224" s="229">
        <v>3.95026934727934</v>
      </c>
      <c r="R224" s="230">
        <v>1946.47009775628</v>
      </c>
      <c r="S224" s="219">
        <v>0.01</v>
      </c>
      <c r="T224" s="219">
        <v>0.01</v>
      </c>
      <c r="U224" s="226">
        <v>0</v>
      </c>
      <c r="V224" s="227">
        <v>0</v>
      </c>
      <c r="W224" s="218"/>
      <c r="X224" s="226">
        <v>1586.928715</v>
      </c>
      <c r="Y224" s="217">
        <v>503.44150033755398</v>
      </c>
      <c r="Z224" s="228">
        <v>573</v>
      </c>
      <c r="AA224" s="239">
        <v>0.87860645783168301</v>
      </c>
      <c r="AB224" s="222">
        <v>-385.42892172474802</v>
      </c>
      <c r="AC224" s="219"/>
      <c r="AD224" s="219"/>
      <c r="AE224" s="227">
        <v>220</v>
      </c>
      <c r="AF224" s="227">
        <v>581</v>
      </c>
      <c r="AG224" s="218"/>
      <c r="AH224" s="231">
        <v>185.55</v>
      </c>
      <c r="AI224" s="217">
        <v>58.864377148555903</v>
      </c>
      <c r="AJ224" s="232" t="s">
        <v>53</v>
      </c>
      <c r="AK224" s="233">
        <v>0.93435519283422097</v>
      </c>
      <c r="AL224" s="234">
        <v>-31.306075241988001</v>
      </c>
      <c r="AM224" s="219">
        <v>3.0000000000000001E-3</v>
      </c>
      <c r="AN224" s="219"/>
      <c r="AO224" s="227">
        <v>14</v>
      </c>
      <c r="AP224" s="227">
        <v>53</v>
      </c>
      <c r="AQ224" s="218"/>
      <c r="AR224" s="231">
        <v>8</v>
      </c>
      <c r="AS224" s="217">
        <v>2.5379413483613402</v>
      </c>
      <c r="AT224" s="232" t="s">
        <v>54</v>
      </c>
      <c r="AU224" s="224">
        <v>0.15862133427258401</v>
      </c>
      <c r="AV224" s="225">
        <v>-47.074558791615999</v>
      </c>
      <c r="AW224" s="219"/>
      <c r="AX224" s="219"/>
      <c r="AY224" s="227">
        <v>43</v>
      </c>
      <c r="AZ224" s="227">
        <v>53</v>
      </c>
      <c r="BA224" s="218"/>
      <c r="BB224" s="235">
        <v>129.6</v>
      </c>
      <c r="BC224" s="231">
        <v>41.114649843453797</v>
      </c>
      <c r="BD224" s="232" t="s">
        <v>55</v>
      </c>
      <c r="BE224" s="229">
        <v>1.2848328076079301</v>
      </c>
      <c r="BF224" s="230">
        <v>19.450882416768</v>
      </c>
      <c r="BG224" s="219">
        <v>0.02</v>
      </c>
      <c r="BH224" s="219">
        <v>0.02</v>
      </c>
      <c r="BI224" s="227">
        <v>0</v>
      </c>
      <c r="BJ224" s="227">
        <v>0</v>
      </c>
      <c r="BK224" s="220"/>
      <c r="BL224" s="236">
        <v>0.8</v>
      </c>
      <c r="BM224" s="239">
        <v>0.72</v>
      </c>
      <c r="BN224" s="237"/>
      <c r="BO224" s="238">
        <v>0.95</v>
      </c>
      <c r="BP224" s="229">
        <v>1</v>
      </c>
      <c r="BQ224" s="237">
        <v>2.5000000000000001E-3</v>
      </c>
    </row>
    <row r="225" spans="1:69" s="207" customFormat="1" ht="22.35" customHeight="1" x14ac:dyDescent="0.2">
      <c r="A225" s="216" t="s">
        <v>275</v>
      </c>
      <c r="B225" s="216" t="s">
        <v>276</v>
      </c>
      <c r="C225" s="216" t="s">
        <v>292</v>
      </c>
      <c r="D225" s="217">
        <v>7.7095109328888896</v>
      </c>
      <c r="E225" s="218"/>
      <c r="F225" s="219">
        <v>5.3999999999999999E-2</v>
      </c>
      <c r="G225" s="219">
        <v>3.9E-2</v>
      </c>
      <c r="H225" s="220"/>
      <c r="I225" s="221">
        <v>5</v>
      </c>
      <c r="J225" s="221">
        <v>5</v>
      </c>
      <c r="K225" s="218"/>
      <c r="L225" s="222">
        <v>3662.8444199999999</v>
      </c>
      <c r="M225" s="222">
        <v>1053.55774</v>
      </c>
      <c r="N225" s="222">
        <v>4716.4021599999996</v>
      </c>
      <c r="O225" s="217">
        <v>611.76411850974296</v>
      </c>
      <c r="P225" s="223">
        <v>287.5</v>
      </c>
      <c r="Q225" s="229">
        <v>2.1278751948164998</v>
      </c>
      <c r="R225" s="230">
        <v>2296.00120261953</v>
      </c>
      <c r="S225" s="219">
        <v>0.01</v>
      </c>
      <c r="T225" s="219">
        <v>0.01</v>
      </c>
      <c r="U225" s="226">
        <v>0</v>
      </c>
      <c r="V225" s="227">
        <v>0</v>
      </c>
      <c r="W225" s="218"/>
      <c r="X225" s="226">
        <v>4758.2896899999996</v>
      </c>
      <c r="Y225" s="217">
        <v>617.19734642324295</v>
      </c>
      <c r="Z225" s="228">
        <v>573</v>
      </c>
      <c r="AA225" s="233">
        <v>1.07713323983114</v>
      </c>
      <c r="AB225" s="234">
        <v>-65.674652883503796</v>
      </c>
      <c r="AC225" s="219">
        <v>1.7999999999999999E-2</v>
      </c>
      <c r="AD225" s="219">
        <v>8.0000000000000002E-3</v>
      </c>
      <c r="AE225" s="227">
        <v>0</v>
      </c>
      <c r="AF225" s="227">
        <v>543</v>
      </c>
      <c r="AG225" s="218"/>
      <c r="AH225" s="231">
        <v>248.6</v>
      </c>
      <c r="AI225" s="217">
        <v>32.245884617592097</v>
      </c>
      <c r="AJ225" s="232" t="s">
        <v>53</v>
      </c>
      <c r="AK225" s="224">
        <v>0.51183943837447798</v>
      </c>
      <c r="AL225" s="225">
        <v>-281.78351413902402</v>
      </c>
      <c r="AM225" s="219"/>
      <c r="AN225" s="219"/>
      <c r="AO225" s="227">
        <v>238</v>
      </c>
      <c r="AP225" s="227">
        <v>335</v>
      </c>
      <c r="AQ225" s="218"/>
      <c r="AR225" s="231">
        <v>125.5</v>
      </c>
      <c r="AS225" s="217">
        <v>16.2785942055825</v>
      </c>
      <c r="AT225" s="232" t="s">
        <v>54</v>
      </c>
      <c r="AU225" s="233">
        <v>1.01741213784891</v>
      </c>
      <c r="AV225" s="234">
        <v>-9.2005750194346891</v>
      </c>
      <c r="AW225" s="219">
        <v>6.0000000000000001E-3</v>
      </c>
      <c r="AX225" s="219">
        <v>1E-3</v>
      </c>
      <c r="AY225" s="227">
        <v>0</v>
      </c>
      <c r="AZ225" s="227">
        <v>23</v>
      </c>
      <c r="BA225" s="218"/>
      <c r="BB225" s="235">
        <v>297.39999999999998</v>
      </c>
      <c r="BC225" s="231">
        <v>38.5757284202409</v>
      </c>
      <c r="BD225" s="232" t="s">
        <v>55</v>
      </c>
      <c r="BE225" s="229">
        <v>1.2054915131325299</v>
      </c>
      <c r="BF225" s="230">
        <v>27.998849961130599</v>
      </c>
      <c r="BG225" s="219">
        <v>0.02</v>
      </c>
      <c r="BH225" s="219">
        <v>0.02</v>
      </c>
      <c r="BI225" s="227">
        <v>0</v>
      </c>
      <c r="BJ225" s="227">
        <v>0</v>
      </c>
      <c r="BK225" s="220"/>
      <c r="BL225" s="236">
        <v>0.8</v>
      </c>
      <c r="BM225" s="239">
        <v>0.78</v>
      </c>
      <c r="BN225" s="237"/>
      <c r="BO225" s="238">
        <v>0.95</v>
      </c>
      <c r="BP225" s="229">
        <v>1</v>
      </c>
      <c r="BQ225" s="237">
        <v>2.5000000000000001E-3</v>
      </c>
    </row>
    <row r="226" spans="1:69" s="207" customFormat="1" ht="22.35" customHeight="1" x14ac:dyDescent="0.2">
      <c r="A226" s="216" t="s">
        <v>275</v>
      </c>
      <c r="B226" s="216" t="s">
        <v>276</v>
      </c>
      <c r="C226" s="216" t="s">
        <v>293</v>
      </c>
      <c r="D226" s="217">
        <v>2.83696294222222</v>
      </c>
      <c r="E226" s="218"/>
      <c r="F226" s="219">
        <v>2.3E-2</v>
      </c>
      <c r="G226" s="219">
        <v>1.2999999999999999E-2</v>
      </c>
      <c r="H226" s="220"/>
      <c r="I226" s="221">
        <v>4</v>
      </c>
      <c r="J226" s="221">
        <v>4</v>
      </c>
      <c r="K226" s="218"/>
      <c r="L226" s="222">
        <v>551.51557000000003</v>
      </c>
      <c r="M226" s="222">
        <v>2016.9095199999999</v>
      </c>
      <c r="N226" s="222">
        <v>2568.4250900000002</v>
      </c>
      <c r="O226" s="217">
        <v>905.34319351670001</v>
      </c>
      <c r="P226" s="223">
        <v>287.5</v>
      </c>
      <c r="Q226" s="229">
        <v>3.1490198035363499</v>
      </c>
      <c r="R226" s="230">
        <v>1677.76057428933</v>
      </c>
      <c r="S226" s="219">
        <v>0.01</v>
      </c>
      <c r="T226" s="219">
        <v>0.01</v>
      </c>
      <c r="U226" s="226">
        <v>0</v>
      </c>
      <c r="V226" s="227">
        <v>0</v>
      </c>
      <c r="W226" s="218"/>
      <c r="X226" s="226">
        <v>1676.7995149999999</v>
      </c>
      <c r="Y226" s="217">
        <v>591.05443008943405</v>
      </c>
      <c r="Z226" s="228">
        <v>573</v>
      </c>
      <c r="AA226" s="233">
        <v>1.0315086039955199</v>
      </c>
      <c r="AB226" s="234">
        <v>-98.333589355518399</v>
      </c>
      <c r="AC226" s="219">
        <v>1.2999999999999999E-2</v>
      </c>
      <c r="AD226" s="219">
        <v>3.0000000000000001E-3</v>
      </c>
      <c r="AE226" s="227">
        <v>0</v>
      </c>
      <c r="AF226" s="227">
        <v>274</v>
      </c>
      <c r="AG226" s="218"/>
      <c r="AH226" s="231">
        <v>113.5</v>
      </c>
      <c r="AI226" s="217">
        <v>40.007572291760098</v>
      </c>
      <c r="AJ226" s="232" t="s">
        <v>53</v>
      </c>
      <c r="AK226" s="224">
        <v>0.63504083002793799</v>
      </c>
      <c r="AL226" s="225">
        <v>-81.671702573119802</v>
      </c>
      <c r="AM226" s="219"/>
      <c r="AN226" s="219"/>
      <c r="AO226" s="227">
        <v>66</v>
      </c>
      <c r="AP226" s="227">
        <v>101</v>
      </c>
      <c r="AQ226" s="218"/>
      <c r="AR226" s="231">
        <v>7.6</v>
      </c>
      <c r="AS226" s="217">
        <v>2.6789211402412101</v>
      </c>
      <c r="AT226" s="232" t="s">
        <v>54</v>
      </c>
      <c r="AU226" s="224">
        <v>0.16743257126507599</v>
      </c>
      <c r="AV226" s="225">
        <v>-41.967416526506597</v>
      </c>
      <c r="AW226" s="219"/>
      <c r="AX226" s="219"/>
      <c r="AY226" s="227">
        <v>38</v>
      </c>
      <c r="AZ226" s="227">
        <v>47</v>
      </c>
      <c r="BA226" s="218"/>
      <c r="BB226" s="235">
        <v>71.400000000000006</v>
      </c>
      <c r="BC226" s="231">
        <v>25.1677591333187</v>
      </c>
      <c r="BD226" s="232" t="s">
        <v>55</v>
      </c>
      <c r="BE226" s="239">
        <v>0.78649247291620905</v>
      </c>
      <c r="BF226" s="222">
        <v>-27.734833053013201</v>
      </c>
      <c r="BG226" s="219"/>
      <c r="BH226" s="219"/>
      <c r="BI226" s="227">
        <v>20</v>
      </c>
      <c r="BJ226" s="227">
        <v>38</v>
      </c>
      <c r="BK226" s="220"/>
      <c r="BL226" s="236">
        <v>0.8</v>
      </c>
      <c r="BM226" s="233">
        <v>0.86</v>
      </c>
      <c r="BN226" s="237">
        <v>2.2499999999999998E-3</v>
      </c>
      <c r="BO226" s="238">
        <v>0.95</v>
      </c>
      <c r="BP226" s="229">
        <v>1</v>
      </c>
      <c r="BQ226" s="237">
        <v>2.5000000000000001E-3</v>
      </c>
    </row>
    <row r="227" spans="1:69" s="207" customFormat="1" ht="22.35" customHeight="1" x14ac:dyDescent="0.2">
      <c r="A227" s="216" t="s">
        <v>275</v>
      </c>
      <c r="B227" s="216" t="s">
        <v>276</v>
      </c>
      <c r="C227" s="216" t="s">
        <v>294</v>
      </c>
      <c r="D227" s="217">
        <v>2.9777762321111099</v>
      </c>
      <c r="E227" s="218"/>
      <c r="F227" s="219">
        <v>0.05</v>
      </c>
      <c r="G227" s="219">
        <v>0.04</v>
      </c>
      <c r="H227" s="220"/>
      <c r="I227" s="221">
        <v>5</v>
      </c>
      <c r="J227" s="221">
        <v>5</v>
      </c>
      <c r="K227" s="218"/>
      <c r="L227" s="222">
        <v>2254.32008</v>
      </c>
      <c r="M227" s="222">
        <v>929.67911000000004</v>
      </c>
      <c r="N227" s="222">
        <v>3183.99919</v>
      </c>
      <c r="O227" s="217">
        <v>1069.2540143430101</v>
      </c>
      <c r="P227" s="223">
        <v>252.76900000000001</v>
      </c>
      <c r="Q227" s="229">
        <v>4.2301627744818804</v>
      </c>
      <c r="R227" s="230">
        <v>2362.0622337073701</v>
      </c>
      <c r="S227" s="219">
        <v>0.01</v>
      </c>
      <c r="T227" s="219">
        <v>0.01</v>
      </c>
      <c r="U227" s="226">
        <v>0</v>
      </c>
      <c r="V227" s="227">
        <v>0</v>
      </c>
      <c r="W227" s="218"/>
      <c r="X227" s="226">
        <v>2388.0721800000001</v>
      </c>
      <c r="Y227" s="217">
        <v>801.964954333376</v>
      </c>
      <c r="Z227" s="228">
        <v>573</v>
      </c>
      <c r="AA227" s="229">
        <v>1.3995897981385299</v>
      </c>
      <c r="AB227" s="230">
        <v>524.82994714836502</v>
      </c>
      <c r="AC227" s="219">
        <v>0.02</v>
      </c>
      <c r="AD227" s="219">
        <v>0.02</v>
      </c>
      <c r="AE227" s="227">
        <v>0</v>
      </c>
      <c r="AF227" s="227">
        <v>0</v>
      </c>
      <c r="AG227" s="218"/>
      <c r="AH227" s="231">
        <v>136.15</v>
      </c>
      <c r="AI227" s="217">
        <v>45.7220386581821</v>
      </c>
      <c r="AJ227" s="232" t="s">
        <v>53</v>
      </c>
      <c r="AK227" s="239">
        <v>0.72574664536796996</v>
      </c>
      <c r="AL227" s="222">
        <v>-68.709093664315901</v>
      </c>
      <c r="AM227" s="219"/>
      <c r="AN227" s="219"/>
      <c r="AO227" s="227">
        <v>52</v>
      </c>
      <c r="AP227" s="227">
        <v>89</v>
      </c>
      <c r="AQ227" s="218"/>
      <c r="AR227" s="231">
        <v>11.3</v>
      </c>
      <c r="AS227" s="217">
        <v>3.7947780891476901</v>
      </c>
      <c r="AT227" s="232" t="s">
        <v>54</v>
      </c>
      <c r="AU227" s="224">
        <v>0.23717363057173099</v>
      </c>
      <c r="AV227" s="225">
        <v>-40.727706327445297</v>
      </c>
      <c r="AW227" s="219"/>
      <c r="AX227" s="219"/>
      <c r="AY227" s="227">
        <v>37</v>
      </c>
      <c r="AZ227" s="227">
        <v>46</v>
      </c>
      <c r="BA227" s="218"/>
      <c r="BB227" s="235">
        <v>104.4</v>
      </c>
      <c r="BC227" s="231">
        <v>35.059719690886602</v>
      </c>
      <c r="BD227" s="232" t="s">
        <v>55</v>
      </c>
      <c r="BE227" s="229">
        <v>1.0956162403402101</v>
      </c>
      <c r="BF227" s="230">
        <v>0.344587345109375</v>
      </c>
      <c r="BG227" s="219">
        <v>0.02</v>
      </c>
      <c r="BH227" s="219">
        <v>0.01</v>
      </c>
      <c r="BI227" s="227">
        <v>0</v>
      </c>
      <c r="BJ227" s="227">
        <v>10</v>
      </c>
      <c r="BK227" s="220"/>
      <c r="BL227" s="236">
        <v>0.8</v>
      </c>
      <c r="BM227" s="233">
        <v>0.81</v>
      </c>
      <c r="BN227" s="237">
        <v>3.7500000000000001E-4</v>
      </c>
      <c r="BO227" s="238">
        <v>0.95</v>
      </c>
      <c r="BP227" s="229">
        <v>1</v>
      </c>
      <c r="BQ227" s="237">
        <v>2.5000000000000001E-3</v>
      </c>
    </row>
    <row r="228" spans="1:69" s="207" customFormat="1" ht="22.35" customHeight="1" x14ac:dyDescent="0.2">
      <c r="A228" s="216" t="s">
        <v>275</v>
      </c>
      <c r="B228" s="216" t="s">
        <v>276</v>
      </c>
      <c r="C228" s="216" t="s">
        <v>295</v>
      </c>
      <c r="D228" s="217">
        <v>3.3124110478888902</v>
      </c>
      <c r="E228" s="218"/>
      <c r="F228" s="219">
        <v>1.4999999999999999E-2</v>
      </c>
      <c r="G228" s="219">
        <v>0.01</v>
      </c>
      <c r="H228" s="220"/>
      <c r="I228" s="221">
        <v>4</v>
      </c>
      <c r="J228" s="221">
        <v>3</v>
      </c>
      <c r="K228" s="218"/>
      <c r="L228" s="222">
        <v>1735.43983</v>
      </c>
      <c r="M228" s="222">
        <v>477.32089000000002</v>
      </c>
      <c r="N228" s="222">
        <v>2212.7607200000002</v>
      </c>
      <c r="O228" s="217">
        <v>668.02117491132799</v>
      </c>
      <c r="P228" s="223">
        <v>266.572</v>
      </c>
      <c r="Q228" s="229">
        <v>2.5059690249213298</v>
      </c>
      <c r="R228" s="230">
        <v>1248.5290466592401</v>
      </c>
      <c r="S228" s="219">
        <v>0.01</v>
      </c>
      <c r="T228" s="219">
        <v>0.01</v>
      </c>
      <c r="U228" s="226">
        <v>0</v>
      </c>
      <c r="V228" s="227">
        <v>0</v>
      </c>
      <c r="W228" s="218"/>
      <c r="X228" s="226">
        <v>1578.5626549999999</v>
      </c>
      <c r="Y228" s="217">
        <v>476.56001389262099</v>
      </c>
      <c r="Z228" s="228">
        <v>573</v>
      </c>
      <c r="AA228" s="239">
        <v>0.83169286892255001</v>
      </c>
      <c r="AB228" s="222">
        <v>-494.06593624084502</v>
      </c>
      <c r="AC228" s="219"/>
      <c r="AD228" s="219"/>
      <c r="AE228" s="227">
        <v>320</v>
      </c>
      <c r="AF228" s="227">
        <v>700</v>
      </c>
      <c r="AG228" s="218"/>
      <c r="AH228" s="231">
        <v>156.85</v>
      </c>
      <c r="AI228" s="217">
        <v>47.3522149673923</v>
      </c>
      <c r="AJ228" s="232" t="s">
        <v>53</v>
      </c>
      <c r="AK228" s="239">
        <v>0.75162245979987796</v>
      </c>
      <c r="AL228" s="222">
        <v>-71.030630450564104</v>
      </c>
      <c r="AM228" s="219"/>
      <c r="AN228" s="219"/>
      <c r="AO228" s="227">
        <v>52</v>
      </c>
      <c r="AP228" s="227">
        <v>94</v>
      </c>
      <c r="AQ228" s="218"/>
      <c r="AR228" s="231">
        <v>29.8</v>
      </c>
      <c r="AS228" s="217">
        <v>8.9964680014554794</v>
      </c>
      <c r="AT228" s="232" t="s">
        <v>54</v>
      </c>
      <c r="AU228" s="224">
        <v>0.56227925009096802</v>
      </c>
      <c r="AV228" s="225">
        <v>-28.074445828714701</v>
      </c>
      <c r="AW228" s="219"/>
      <c r="AX228" s="219"/>
      <c r="AY228" s="227">
        <v>24</v>
      </c>
      <c r="AZ228" s="227">
        <v>34</v>
      </c>
      <c r="BA228" s="218"/>
      <c r="BB228" s="235">
        <v>100.8</v>
      </c>
      <c r="BC228" s="231">
        <v>30.431005857272201</v>
      </c>
      <c r="BD228" s="232" t="s">
        <v>55</v>
      </c>
      <c r="BE228" s="233">
        <v>0.95096893303975705</v>
      </c>
      <c r="BF228" s="234">
        <v>-14.9488916574294</v>
      </c>
      <c r="BG228" s="219">
        <v>5.0000000000000001E-3</v>
      </c>
      <c r="BH228" s="219"/>
      <c r="BI228" s="227">
        <v>6</v>
      </c>
      <c r="BJ228" s="227">
        <v>27</v>
      </c>
      <c r="BK228" s="220"/>
      <c r="BL228" s="236">
        <v>0.8</v>
      </c>
      <c r="BM228" s="233">
        <v>0.83</v>
      </c>
      <c r="BN228" s="237">
        <v>1.1249999999999999E-3</v>
      </c>
      <c r="BO228" s="238">
        <v>0.95</v>
      </c>
      <c r="BP228" s="229">
        <v>1</v>
      </c>
      <c r="BQ228" s="237">
        <v>2.5000000000000001E-3</v>
      </c>
    </row>
    <row r="229" spans="1:69" s="207" customFormat="1" ht="22.35" customHeight="1" x14ac:dyDescent="0.2">
      <c r="A229" s="216" t="s">
        <v>275</v>
      </c>
      <c r="B229" s="216" t="s">
        <v>276</v>
      </c>
      <c r="C229" s="216" t="s">
        <v>296</v>
      </c>
      <c r="D229" s="217">
        <v>3.82718426455556</v>
      </c>
      <c r="E229" s="218"/>
      <c r="F229" s="219">
        <v>0.01</v>
      </c>
      <c r="G229" s="219">
        <v>0.01</v>
      </c>
      <c r="H229" s="220"/>
      <c r="I229" s="221">
        <v>2</v>
      </c>
      <c r="J229" s="221">
        <v>2</v>
      </c>
      <c r="K229" s="218"/>
      <c r="L229" s="222">
        <v>1955.7683099999999</v>
      </c>
      <c r="M229" s="222">
        <v>1788.9398900000001</v>
      </c>
      <c r="N229" s="222">
        <v>3744.7082</v>
      </c>
      <c r="O229" s="217">
        <v>978.44993633586296</v>
      </c>
      <c r="P229" s="223">
        <v>255.06700000000001</v>
      </c>
      <c r="Q229" s="229">
        <v>3.8360506703566601</v>
      </c>
      <c r="R229" s="230">
        <v>2678.71045758233</v>
      </c>
      <c r="S229" s="219">
        <v>0.01</v>
      </c>
      <c r="T229" s="219">
        <v>0.01</v>
      </c>
      <c r="U229" s="226">
        <v>0</v>
      </c>
      <c r="V229" s="227">
        <v>0</v>
      </c>
      <c r="W229" s="218"/>
      <c r="X229" s="226">
        <v>1727.88093</v>
      </c>
      <c r="Y229" s="217">
        <v>451.47576143702003</v>
      </c>
      <c r="Z229" s="228">
        <v>573</v>
      </c>
      <c r="AA229" s="239">
        <v>0.78791581402621202</v>
      </c>
      <c r="AB229" s="222">
        <v>-666.84949928064702</v>
      </c>
      <c r="AC229" s="219"/>
      <c r="AD229" s="219"/>
      <c r="AE229" s="227">
        <v>466</v>
      </c>
      <c r="AF229" s="227">
        <v>904</v>
      </c>
      <c r="AG229" s="218"/>
      <c r="AH229" s="231">
        <v>110.8</v>
      </c>
      <c r="AI229" s="217">
        <v>28.950787926817299</v>
      </c>
      <c r="AJ229" s="232" t="s">
        <v>53</v>
      </c>
      <c r="AK229" s="224">
        <v>0.45953631629868702</v>
      </c>
      <c r="AL229" s="225">
        <v>-152.494968664364</v>
      </c>
      <c r="AM229" s="219"/>
      <c r="AN229" s="219"/>
      <c r="AO229" s="227">
        <v>131</v>
      </c>
      <c r="AP229" s="227">
        <v>179</v>
      </c>
      <c r="AQ229" s="218"/>
      <c r="AR229" s="231">
        <v>10</v>
      </c>
      <c r="AS229" s="217">
        <v>2.61288699700517</v>
      </c>
      <c r="AT229" s="232" t="s">
        <v>54</v>
      </c>
      <c r="AU229" s="224">
        <v>0.16330543731282299</v>
      </c>
      <c r="AV229" s="225">
        <v>-56.868563470314797</v>
      </c>
      <c r="AW229" s="219"/>
      <c r="AX229" s="219"/>
      <c r="AY229" s="227">
        <v>52</v>
      </c>
      <c r="AZ229" s="227">
        <v>64</v>
      </c>
      <c r="BA229" s="218"/>
      <c r="BB229" s="235">
        <v>97.6</v>
      </c>
      <c r="BC229" s="231">
        <v>25.5017770907704</v>
      </c>
      <c r="BD229" s="232" t="s">
        <v>55</v>
      </c>
      <c r="BE229" s="239">
        <v>0.79693053408657599</v>
      </c>
      <c r="BF229" s="222">
        <v>-36.1371269406295</v>
      </c>
      <c r="BG229" s="219"/>
      <c r="BH229" s="219"/>
      <c r="BI229" s="227">
        <v>25</v>
      </c>
      <c r="BJ229" s="227">
        <v>50</v>
      </c>
      <c r="BK229" s="220"/>
      <c r="BL229" s="236">
        <v>0.8</v>
      </c>
      <c r="BM229" s="239">
        <v>0.78</v>
      </c>
      <c r="BN229" s="237"/>
      <c r="BO229" s="238">
        <v>0.95</v>
      </c>
      <c r="BP229" s="229">
        <v>1</v>
      </c>
      <c r="BQ229" s="237">
        <v>2.5000000000000001E-3</v>
      </c>
    </row>
    <row r="230" spans="1:69" s="207" customFormat="1" ht="22.35" customHeight="1" x14ac:dyDescent="0.2">
      <c r="A230" s="216" t="s">
        <v>275</v>
      </c>
      <c r="B230" s="216" t="s">
        <v>276</v>
      </c>
      <c r="C230" s="216" t="s">
        <v>297</v>
      </c>
      <c r="D230" s="217">
        <v>6.0225891787777801</v>
      </c>
      <c r="E230" s="218"/>
      <c r="F230" s="219">
        <v>4.2000000000000003E-2</v>
      </c>
      <c r="G230" s="219">
        <v>3.2000000000000001E-2</v>
      </c>
      <c r="H230" s="220"/>
      <c r="I230" s="221">
        <v>5</v>
      </c>
      <c r="J230" s="221">
        <v>5</v>
      </c>
      <c r="K230" s="218"/>
      <c r="L230" s="222">
        <v>3584.4030400000001</v>
      </c>
      <c r="M230" s="222">
        <v>3683.1307499999998</v>
      </c>
      <c r="N230" s="222">
        <v>7267.5337900000004</v>
      </c>
      <c r="O230" s="217">
        <v>1206.7125241763299</v>
      </c>
      <c r="P230" s="223">
        <v>287.5</v>
      </c>
      <c r="Q230" s="229">
        <v>4.1972609536567997</v>
      </c>
      <c r="R230" s="230">
        <v>5376.7419173227199</v>
      </c>
      <c r="S230" s="219">
        <v>0.01</v>
      </c>
      <c r="T230" s="219">
        <v>0.01</v>
      </c>
      <c r="U230" s="226">
        <v>0</v>
      </c>
      <c r="V230" s="227">
        <v>0</v>
      </c>
      <c r="W230" s="218"/>
      <c r="X230" s="226">
        <v>3503.1975849999999</v>
      </c>
      <c r="Y230" s="217">
        <v>581.67633238947496</v>
      </c>
      <c r="Z230" s="228">
        <v>573</v>
      </c>
      <c r="AA230" s="233">
        <v>1.0151419413428899</v>
      </c>
      <c r="AB230" s="234">
        <v>-265.23282558811798</v>
      </c>
      <c r="AC230" s="219">
        <v>1.2E-2</v>
      </c>
      <c r="AD230" s="219">
        <v>2E-3</v>
      </c>
      <c r="AE230" s="227">
        <v>0</v>
      </c>
      <c r="AF230" s="227">
        <v>638</v>
      </c>
      <c r="AG230" s="218"/>
      <c r="AH230" s="231">
        <v>322.35000000000002</v>
      </c>
      <c r="AI230" s="217">
        <v>53.523491380731599</v>
      </c>
      <c r="AJ230" s="232" t="s">
        <v>53</v>
      </c>
      <c r="AK230" s="239">
        <v>0.84957922826558097</v>
      </c>
      <c r="AL230" s="222">
        <v>-91.980045143196094</v>
      </c>
      <c r="AM230" s="219"/>
      <c r="AN230" s="219"/>
      <c r="AO230" s="227">
        <v>58</v>
      </c>
      <c r="AP230" s="227">
        <v>133</v>
      </c>
      <c r="AQ230" s="218"/>
      <c r="AR230" s="231">
        <v>47.7</v>
      </c>
      <c r="AS230" s="217">
        <v>7.9201816003130103</v>
      </c>
      <c r="AT230" s="232" t="s">
        <v>54</v>
      </c>
      <c r="AU230" s="224">
        <v>0.49501135001956298</v>
      </c>
      <c r="AV230" s="225">
        <v>-57.526678131605401</v>
      </c>
      <c r="AW230" s="219"/>
      <c r="AX230" s="219"/>
      <c r="AY230" s="227">
        <v>49</v>
      </c>
      <c r="AZ230" s="227">
        <v>68</v>
      </c>
      <c r="BA230" s="218"/>
      <c r="BB230" s="235">
        <v>242.2</v>
      </c>
      <c r="BC230" s="231">
        <v>40.215261710603997</v>
      </c>
      <c r="BD230" s="232" t="s">
        <v>55</v>
      </c>
      <c r="BE230" s="229">
        <v>1.25672692845637</v>
      </c>
      <c r="BF230" s="230">
        <v>31.746643736789299</v>
      </c>
      <c r="BG230" s="219">
        <v>0.02</v>
      </c>
      <c r="BH230" s="219">
        <v>0.02</v>
      </c>
      <c r="BI230" s="227">
        <v>0</v>
      </c>
      <c r="BJ230" s="227">
        <v>0</v>
      </c>
      <c r="BK230" s="220"/>
      <c r="BL230" s="236">
        <v>0.8</v>
      </c>
      <c r="BM230" s="233">
        <v>0.82</v>
      </c>
      <c r="BN230" s="237">
        <v>7.5000000000000002E-4</v>
      </c>
      <c r="BO230" s="238">
        <v>0.95</v>
      </c>
      <c r="BP230" s="229">
        <v>1</v>
      </c>
      <c r="BQ230" s="237">
        <v>2.5000000000000001E-3</v>
      </c>
    </row>
    <row r="231" spans="1:69" s="207" customFormat="1" ht="22.35" customHeight="1" x14ac:dyDescent="0.2">
      <c r="A231" s="216" t="s">
        <v>275</v>
      </c>
      <c r="B231" s="216" t="s">
        <v>276</v>
      </c>
      <c r="C231" s="216" t="s">
        <v>298</v>
      </c>
      <c r="D231" s="217">
        <v>5.7046753833333304</v>
      </c>
      <c r="E231" s="218"/>
      <c r="F231" s="219">
        <v>0.03</v>
      </c>
      <c r="G231" s="219">
        <v>0.03</v>
      </c>
      <c r="H231" s="220"/>
      <c r="I231" s="221">
        <v>3</v>
      </c>
      <c r="J231" s="221">
        <v>3</v>
      </c>
      <c r="K231" s="218"/>
      <c r="L231" s="222">
        <v>3471.5504000000001</v>
      </c>
      <c r="M231" s="222">
        <v>2040.64696</v>
      </c>
      <c r="N231" s="222">
        <v>5512.1973600000001</v>
      </c>
      <c r="O231" s="217">
        <v>966.25960104659498</v>
      </c>
      <c r="P231" s="223">
        <v>221.803</v>
      </c>
      <c r="Q231" s="229">
        <v>4.3563865278945499</v>
      </c>
      <c r="R231" s="230">
        <v>4130.47434745796</v>
      </c>
      <c r="S231" s="219">
        <v>0.01</v>
      </c>
      <c r="T231" s="219">
        <v>0.01</v>
      </c>
      <c r="U231" s="226">
        <v>0</v>
      </c>
      <c r="V231" s="227">
        <v>0</v>
      </c>
      <c r="W231" s="218"/>
      <c r="X231" s="226">
        <v>2936.9269850000001</v>
      </c>
      <c r="Y231" s="217">
        <v>514.82806428924403</v>
      </c>
      <c r="Z231" s="228">
        <v>573</v>
      </c>
      <c r="AA231" s="239">
        <v>0.89847829718890704</v>
      </c>
      <c r="AB231" s="222">
        <v>-632.57967715779796</v>
      </c>
      <c r="AC231" s="219"/>
      <c r="AD231" s="219"/>
      <c r="AE231" s="227">
        <v>332</v>
      </c>
      <c r="AF231" s="227">
        <v>986</v>
      </c>
      <c r="AG231" s="218"/>
      <c r="AH231" s="231">
        <v>271.14999999999998</v>
      </c>
      <c r="AI231" s="217">
        <v>47.531188328820001</v>
      </c>
      <c r="AJ231" s="232" t="s">
        <v>53</v>
      </c>
      <c r="AK231" s="239">
        <v>0.75446330680666596</v>
      </c>
      <c r="AL231" s="222">
        <v>-121.3088476718</v>
      </c>
      <c r="AM231" s="219"/>
      <c r="AN231" s="219"/>
      <c r="AO231" s="227">
        <v>89</v>
      </c>
      <c r="AP231" s="227">
        <v>161</v>
      </c>
      <c r="AQ231" s="218"/>
      <c r="AR231" s="231">
        <v>21.6</v>
      </c>
      <c r="AS231" s="217">
        <v>3.7863679435829298</v>
      </c>
      <c r="AT231" s="232" t="s">
        <v>54</v>
      </c>
      <c r="AU231" s="224">
        <v>0.236647996473933</v>
      </c>
      <c r="AV231" s="225">
        <v>-78.072088297600004</v>
      </c>
      <c r="AW231" s="219"/>
      <c r="AX231" s="219"/>
      <c r="AY231" s="227">
        <v>70</v>
      </c>
      <c r="AZ231" s="227">
        <v>88</v>
      </c>
      <c r="BA231" s="218"/>
      <c r="BB231" s="235">
        <v>249.6</v>
      </c>
      <c r="BC231" s="231">
        <v>43.753585125847202</v>
      </c>
      <c r="BD231" s="232" t="s">
        <v>55</v>
      </c>
      <c r="BE231" s="229">
        <v>1.36729953518272</v>
      </c>
      <c r="BF231" s="230">
        <v>50.255823404800097</v>
      </c>
      <c r="BG231" s="219">
        <v>0.02</v>
      </c>
      <c r="BH231" s="219">
        <v>0.02</v>
      </c>
      <c r="BI231" s="227">
        <v>0</v>
      </c>
      <c r="BJ231" s="227">
        <v>0</v>
      </c>
      <c r="BK231" s="220"/>
      <c r="BL231" s="236">
        <v>0.8</v>
      </c>
      <c r="BM231" s="239">
        <v>0.78</v>
      </c>
      <c r="BN231" s="237"/>
      <c r="BO231" s="238">
        <v>0.95</v>
      </c>
      <c r="BP231" s="229">
        <v>1</v>
      </c>
      <c r="BQ231" s="237">
        <v>2.5000000000000001E-3</v>
      </c>
    </row>
    <row r="232" spans="1:69" s="207" customFormat="1" ht="22.35" customHeight="1" x14ac:dyDescent="0.2">
      <c r="A232" s="216" t="s">
        <v>275</v>
      </c>
      <c r="B232" s="216" t="s">
        <v>299</v>
      </c>
      <c r="C232" s="216" t="s">
        <v>300</v>
      </c>
      <c r="D232" s="217">
        <v>2.4562906796666701</v>
      </c>
      <c r="E232" s="218"/>
      <c r="F232" s="219">
        <v>6.3E-2</v>
      </c>
      <c r="G232" s="219">
        <v>5.2999999999999999E-2</v>
      </c>
      <c r="H232" s="220"/>
      <c r="I232" s="221">
        <v>6</v>
      </c>
      <c r="J232" s="221">
        <v>6</v>
      </c>
      <c r="K232" s="218"/>
      <c r="L232" s="222">
        <v>453.65481999999997</v>
      </c>
      <c r="M232" s="222">
        <v>514.88748999999996</v>
      </c>
      <c r="N232" s="222">
        <v>968.54231000000004</v>
      </c>
      <c r="O232" s="217">
        <v>394.31094944000603</v>
      </c>
      <c r="P232" s="223">
        <v>232.92099999999999</v>
      </c>
      <c r="Q232" s="229">
        <v>1.6928956574976299</v>
      </c>
      <c r="R232" s="230">
        <v>343.78543391268499</v>
      </c>
      <c r="S232" s="219">
        <v>0.01</v>
      </c>
      <c r="T232" s="219">
        <v>0.01</v>
      </c>
      <c r="U232" s="226">
        <v>0</v>
      </c>
      <c r="V232" s="227">
        <v>0</v>
      </c>
      <c r="W232" s="218"/>
      <c r="X232" s="226">
        <v>2000.6537499999999</v>
      </c>
      <c r="Y232" s="217">
        <v>814.50203209316396</v>
      </c>
      <c r="Z232" s="228">
        <v>573</v>
      </c>
      <c r="AA232" s="229">
        <v>1.4214695149968</v>
      </c>
      <c r="AB232" s="230">
        <v>463.71337108169001</v>
      </c>
      <c r="AC232" s="219">
        <v>0.02</v>
      </c>
      <c r="AD232" s="219">
        <v>0.02</v>
      </c>
      <c r="AE232" s="227">
        <v>0</v>
      </c>
      <c r="AF232" s="227">
        <v>0</v>
      </c>
      <c r="AG232" s="218"/>
      <c r="AH232" s="231">
        <v>158.69999999999999</v>
      </c>
      <c r="AI232" s="217">
        <v>64.609616978042894</v>
      </c>
      <c r="AJ232" s="232" t="s">
        <v>53</v>
      </c>
      <c r="AK232" s="233">
        <v>1.0255494758419501</v>
      </c>
      <c r="AL232" s="234">
        <v>-10.2829735983482</v>
      </c>
      <c r="AM232" s="219">
        <v>1.2999999999999999E-2</v>
      </c>
      <c r="AN232" s="219">
        <v>3.0000000000000001E-3</v>
      </c>
      <c r="AO232" s="227">
        <v>0</v>
      </c>
      <c r="AP232" s="227">
        <v>27</v>
      </c>
      <c r="AQ232" s="218"/>
      <c r="AR232" s="231">
        <v>9</v>
      </c>
      <c r="AS232" s="217">
        <v>3.6640614543313599</v>
      </c>
      <c r="AT232" s="232" t="s">
        <v>54</v>
      </c>
      <c r="AU232" s="224">
        <v>0.22900384089570999</v>
      </c>
      <c r="AV232" s="225">
        <v>-33.916310755136102</v>
      </c>
      <c r="AW232" s="219"/>
      <c r="AX232" s="219"/>
      <c r="AY232" s="227">
        <v>31</v>
      </c>
      <c r="AZ232" s="227">
        <v>39</v>
      </c>
      <c r="BA232" s="218"/>
      <c r="BB232" s="235">
        <v>96.6</v>
      </c>
      <c r="BC232" s="231">
        <v>39.327592943156503</v>
      </c>
      <c r="BD232" s="232" t="s">
        <v>55</v>
      </c>
      <c r="BE232" s="229">
        <v>1.2289872794736401</v>
      </c>
      <c r="BF232" s="230">
        <v>10.7673784897279</v>
      </c>
      <c r="BG232" s="219">
        <v>0.02</v>
      </c>
      <c r="BH232" s="219">
        <v>0.02</v>
      </c>
      <c r="BI232" s="227">
        <v>0</v>
      </c>
      <c r="BJ232" s="227">
        <v>0</v>
      </c>
      <c r="BK232" s="220"/>
      <c r="BL232" s="236">
        <v>0.8</v>
      </c>
      <c r="BM232" s="233">
        <v>0.85</v>
      </c>
      <c r="BN232" s="237">
        <v>1.8749999999999999E-3</v>
      </c>
      <c r="BO232" s="238">
        <v>0.95</v>
      </c>
      <c r="BP232" s="229">
        <v>1</v>
      </c>
      <c r="BQ232" s="237">
        <v>2.5000000000000001E-3</v>
      </c>
    </row>
    <row r="233" spans="1:69" s="207" customFormat="1" ht="22.35" customHeight="1" x14ac:dyDescent="0.2">
      <c r="A233" s="216" t="s">
        <v>275</v>
      </c>
      <c r="B233" s="216" t="s">
        <v>299</v>
      </c>
      <c r="C233" s="216" t="s">
        <v>301</v>
      </c>
      <c r="D233" s="217">
        <v>3.3263409928888898</v>
      </c>
      <c r="E233" s="218"/>
      <c r="F233" s="219">
        <v>4.3999999999999997E-2</v>
      </c>
      <c r="G233" s="219">
        <v>3.4000000000000002E-2</v>
      </c>
      <c r="H233" s="220"/>
      <c r="I233" s="221">
        <v>4</v>
      </c>
      <c r="J233" s="221">
        <v>4</v>
      </c>
      <c r="K233" s="218"/>
      <c r="L233" s="222">
        <v>995.75178000000005</v>
      </c>
      <c r="M233" s="222">
        <v>1654.8892499999999</v>
      </c>
      <c r="N233" s="222">
        <v>2650.6410299999998</v>
      </c>
      <c r="O233" s="217">
        <v>796.86389208640605</v>
      </c>
      <c r="P233" s="223">
        <v>222.845</v>
      </c>
      <c r="Q233" s="229">
        <v>3.5758661495048401</v>
      </c>
      <c r="R233" s="230">
        <v>1841.18679325212</v>
      </c>
      <c r="S233" s="219">
        <v>0.01</v>
      </c>
      <c r="T233" s="219">
        <v>0.01</v>
      </c>
      <c r="U233" s="226">
        <v>0</v>
      </c>
      <c r="V233" s="227">
        <v>0</v>
      </c>
      <c r="W233" s="218"/>
      <c r="X233" s="226">
        <v>1977.1868300000001</v>
      </c>
      <c r="Y233" s="217">
        <v>594.40292929283703</v>
      </c>
      <c r="Z233" s="228">
        <v>573</v>
      </c>
      <c r="AA233" s="233">
        <v>1.03735240714282</v>
      </c>
      <c r="AB233" s="234">
        <v>-104.15795070646401</v>
      </c>
      <c r="AC233" s="219">
        <v>1.4E-2</v>
      </c>
      <c r="AD233" s="219">
        <v>4.0000000000000001E-3</v>
      </c>
      <c r="AE233" s="227">
        <v>0</v>
      </c>
      <c r="AF233" s="227">
        <v>311</v>
      </c>
      <c r="AG233" s="218"/>
      <c r="AH233" s="231">
        <v>186.65</v>
      </c>
      <c r="AI233" s="217">
        <v>56.112707746747503</v>
      </c>
      <c r="AJ233" s="232" t="s">
        <v>53</v>
      </c>
      <c r="AK233" s="239">
        <v>0.89067790074202302</v>
      </c>
      <c r="AL233" s="222">
        <v>-42.188954946784101</v>
      </c>
      <c r="AM233" s="219"/>
      <c r="AN233" s="219"/>
      <c r="AO233" s="227">
        <v>23</v>
      </c>
      <c r="AP233" s="227">
        <v>65</v>
      </c>
      <c r="AQ233" s="218"/>
      <c r="AR233" s="231">
        <v>29.2</v>
      </c>
      <c r="AS233" s="217">
        <v>8.7784144988214603</v>
      </c>
      <c r="AT233" s="232" t="s">
        <v>54</v>
      </c>
      <c r="AU233" s="224">
        <v>0.54865090617634105</v>
      </c>
      <c r="AV233" s="225">
        <v>-28.917829827754701</v>
      </c>
      <c r="AW233" s="219"/>
      <c r="AX233" s="219"/>
      <c r="AY233" s="227">
        <v>25</v>
      </c>
      <c r="AZ233" s="227">
        <v>35</v>
      </c>
      <c r="BA233" s="218"/>
      <c r="BB233" s="235">
        <v>158.6</v>
      </c>
      <c r="BC233" s="231">
        <v>47.680018476475503</v>
      </c>
      <c r="BD233" s="232" t="s">
        <v>55</v>
      </c>
      <c r="BE233" s="229">
        <v>1.4900005773898599</v>
      </c>
      <c r="BF233" s="230">
        <v>42.3643403444906</v>
      </c>
      <c r="BG233" s="219">
        <v>0.02</v>
      </c>
      <c r="BH233" s="219">
        <v>0.02</v>
      </c>
      <c r="BI233" s="227">
        <v>0</v>
      </c>
      <c r="BJ233" s="227">
        <v>0</v>
      </c>
      <c r="BK233" s="220"/>
      <c r="BL233" s="236">
        <v>0.8</v>
      </c>
      <c r="BM233" s="239">
        <v>0.72</v>
      </c>
      <c r="BN233" s="237"/>
      <c r="BO233" s="238">
        <v>0.95</v>
      </c>
      <c r="BP233" s="229">
        <v>1</v>
      </c>
      <c r="BQ233" s="237">
        <v>2.5000000000000001E-3</v>
      </c>
    </row>
    <row r="234" spans="1:69" s="207" customFormat="1" ht="22.35" customHeight="1" x14ac:dyDescent="0.2">
      <c r="A234" s="216" t="s">
        <v>275</v>
      </c>
      <c r="B234" s="216" t="s">
        <v>299</v>
      </c>
      <c r="C234" s="216" t="s">
        <v>302</v>
      </c>
      <c r="D234" s="217">
        <v>2.2747145523333301</v>
      </c>
      <c r="E234" s="218"/>
      <c r="F234" s="219">
        <v>0.04</v>
      </c>
      <c r="G234" s="219">
        <v>0.03</v>
      </c>
      <c r="H234" s="220"/>
      <c r="I234" s="221">
        <v>5</v>
      </c>
      <c r="J234" s="221">
        <v>4</v>
      </c>
      <c r="K234" s="218"/>
      <c r="L234" s="222">
        <v>1235.28027</v>
      </c>
      <c r="M234" s="222">
        <v>788.38747000000001</v>
      </c>
      <c r="N234" s="222">
        <v>2023.6677400000001</v>
      </c>
      <c r="O234" s="217">
        <v>889.63590527179895</v>
      </c>
      <c r="P234" s="223">
        <v>212.5</v>
      </c>
      <c r="Q234" s="229">
        <v>4.1865219071614099</v>
      </c>
      <c r="R234" s="230">
        <v>1495.82022813105</v>
      </c>
      <c r="S234" s="219">
        <v>0.01</v>
      </c>
      <c r="T234" s="219">
        <v>0.01</v>
      </c>
      <c r="U234" s="226">
        <v>0</v>
      </c>
      <c r="V234" s="227">
        <v>0</v>
      </c>
      <c r="W234" s="218"/>
      <c r="X234" s="226">
        <v>1678.911515</v>
      </c>
      <c r="Y234" s="217">
        <v>738.07569098189595</v>
      </c>
      <c r="Z234" s="228">
        <v>573</v>
      </c>
      <c r="AA234" s="229">
        <v>1.28809021113769</v>
      </c>
      <c r="AB234" s="230">
        <v>255.586224172198</v>
      </c>
      <c r="AC234" s="219">
        <v>0.02</v>
      </c>
      <c r="AD234" s="219">
        <v>0.02</v>
      </c>
      <c r="AE234" s="227">
        <v>0</v>
      </c>
      <c r="AF234" s="227">
        <v>0</v>
      </c>
      <c r="AG234" s="218"/>
      <c r="AH234" s="231">
        <v>119.8</v>
      </c>
      <c r="AI234" s="217">
        <v>52.665948735023797</v>
      </c>
      <c r="AJ234" s="232" t="s">
        <v>53</v>
      </c>
      <c r="AK234" s="239">
        <v>0.83596744023847303</v>
      </c>
      <c r="AL234" s="222">
        <v>-36.691262342323803</v>
      </c>
      <c r="AM234" s="219"/>
      <c r="AN234" s="219"/>
      <c r="AO234" s="227">
        <v>24</v>
      </c>
      <c r="AP234" s="227">
        <v>53</v>
      </c>
      <c r="AQ234" s="218"/>
      <c r="AR234" s="231">
        <v>19.600000000000001</v>
      </c>
      <c r="AS234" s="217">
        <v>8.6164657362810306</v>
      </c>
      <c r="AT234" s="232" t="s">
        <v>54</v>
      </c>
      <c r="AU234" s="224">
        <v>0.53852910851756397</v>
      </c>
      <c r="AV234" s="225">
        <v>-20.143812658367899</v>
      </c>
      <c r="AW234" s="219"/>
      <c r="AX234" s="219"/>
      <c r="AY234" s="227">
        <v>17</v>
      </c>
      <c r="AZ234" s="227">
        <v>25</v>
      </c>
      <c r="BA234" s="218"/>
      <c r="BB234" s="235">
        <v>72.599999999999994</v>
      </c>
      <c r="BC234" s="231">
        <v>31.916092472142999</v>
      </c>
      <c r="BD234" s="232" t="s">
        <v>55</v>
      </c>
      <c r="BE234" s="233">
        <v>0.99737788975446795</v>
      </c>
      <c r="BF234" s="234">
        <v>-6.8876253167358801</v>
      </c>
      <c r="BG234" s="219">
        <v>0.01</v>
      </c>
      <c r="BH234" s="219">
        <v>0</v>
      </c>
      <c r="BI234" s="227">
        <v>1</v>
      </c>
      <c r="BJ234" s="227">
        <v>15</v>
      </c>
      <c r="BK234" s="220"/>
      <c r="BL234" s="236">
        <v>0.8</v>
      </c>
      <c r="BM234" s="233">
        <v>0.82</v>
      </c>
      <c r="BN234" s="237">
        <v>7.5000000000000002E-4</v>
      </c>
      <c r="BO234" s="238">
        <v>0.95</v>
      </c>
      <c r="BP234" s="229">
        <v>1</v>
      </c>
      <c r="BQ234" s="237">
        <v>2.5000000000000001E-3</v>
      </c>
    </row>
    <row r="235" spans="1:69" s="207" customFormat="1" ht="22.35" customHeight="1" x14ac:dyDescent="0.2">
      <c r="A235" s="216" t="s">
        <v>275</v>
      </c>
      <c r="B235" s="216" t="s">
        <v>299</v>
      </c>
      <c r="C235" s="216" t="s">
        <v>303</v>
      </c>
      <c r="D235" s="217">
        <v>2.9376340330000001</v>
      </c>
      <c r="E235" s="218"/>
      <c r="F235" s="219">
        <v>7.0000000000000007E-2</v>
      </c>
      <c r="G235" s="219">
        <v>5.5E-2</v>
      </c>
      <c r="H235" s="220"/>
      <c r="I235" s="221">
        <v>5</v>
      </c>
      <c r="J235" s="221">
        <v>5</v>
      </c>
      <c r="K235" s="218"/>
      <c r="L235" s="222">
        <v>1175.88912</v>
      </c>
      <c r="M235" s="222">
        <v>1777.44262</v>
      </c>
      <c r="N235" s="222">
        <v>2953.3317400000001</v>
      </c>
      <c r="O235" s="217">
        <v>1005.3436564336</v>
      </c>
      <c r="P235" s="223">
        <v>229.05500000000001</v>
      </c>
      <c r="Q235" s="229">
        <v>4.3890928223946197</v>
      </c>
      <c r="R235" s="230">
        <v>2218.5470383357301</v>
      </c>
      <c r="S235" s="219">
        <v>0.01</v>
      </c>
      <c r="T235" s="219">
        <v>0.01</v>
      </c>
      <c r="U235" s="226">
        <v>0</v>
      </c>
      <c r="V235" s="227">
        <v>0</v>
      </c>
      <c r="W235" s="218"/>
      <c r="X235" s="226">
        <v>1879.09563</v>
      </c>
      <c r="Y235" s="217">
        <v>639.66294265763599</v>
      </c>
      <c r="Z235" s="228">
        <v>573</v>
      </c>
      <c r="AA235" s="229">
        <v>1.1163402140621901</v>
      </c>
      <c r="AB235" s="230">
        <v>40.971013407371899</v>
      </c>
      <c r="AC235" s="219">
        <v>0.02</v>
      </c>
      <c r="AD235" s="219">
        <v>1.2E-2</v>
      </c>
      <c r="AE235" s="227">
        <v>0</v>
      </c>
      <c r="AF235" s="227">
        <v>141</v>
      </c>
      <c r="AG235" s="218"/>
      <c r="AH235" s="231">
        <v>210</v>
      </c>
      <c r="AI235" s="217">
        <v>71.486099916108898</v>
      </c>
      <c r="AJ235" s="232" t="s">
        <v>53</v>
      </c>
      <c r="AK235" s="229">
        <v>1.1346999986684001</v>
      </c>
      <c r="AL235" s="230">
        <v>7.9025290657319802</v>
      </c>
      <c r="AM235" s="219">
        <v>0.02</v>
      </c>
      <c r="AN235" s="219">
        <v>1.2999999999999999E-2</v>
      </c>
      <c r="AO235" s="227">
        <v>0</v>
      </c>
      <c r="AP235" s="227">
        <v>13</v>
      </c>
      <c r="AQ235" s="218"/>
      <c r="AR235" s="231">
        <v>25.1</v>
      </c>
      <c r="AS235" s="217">
        <v>8.5442909899730193</v>
      </c>
      <c r="AT235" s="232" t="s">
        <v>54</v>
      </c>
      <c r="AU235" s="224">
        <v>0.53401818687331404</v>
      </c>
      <c r="AV235" s="225">
        <v>-26.226341824576</v>
      </c>
      <c r="AW235" s="219"/>
      <c r="AX235" s="219"/>
      <c r="AY235" s="227">
        <v>22</v>
      </c>
      <c r="AZ235" s="227">
        <v>32</v>
      </c>
      <c r="BA235" s="218"/>
      <c r="BB235" s="235">
        <v>123.6</v>
      </c>
      <c r="BC235" s="231">
        <v>42.074675950624098</v>
      </c>
      <c r="BD235" s="232" t="s">
        <v>55</v>
      </c>
      <c r="BE235" s="229">
        <v>1.3148336234569999</v>
      </c>
      <c r="BF235" s="230">
        <v>20.947316350847998</v>
      </c>
      <c r="BG235" s="219">
        <v>0.02</v>
      </c>
      <c r="BH235" s="219">
        <v>0.02</v>
      </c>
      <c r="BI235" s="227">
        <v>0</v>
      </c>
      <c r="BJ235" s="227">
        <v>0</v>
      </c>
      <c r="BK235" s="220"/>
      <c r="BL235" s="236">
        <v>0.8</v>
      </c>
      <c r="BM235" s="239">
        <v>0.76</v>
      </c>
      <c r="BN235" s="237"/>
      <c r="BO235" s="238">
        <v>0.95</v>
      </c>
      <c r="BP235" s="229">
        <v>1</v>
      </c>
      <c r="BQ235" s="237">
        <v>2.5000000000000001E-3</v>
      </c>
    </row>
    <row r="236" spans="1:69" s="207" customFormat="1" ht="22.35" customHeight="1" x14ac:dyDescent="0.2">
      <c r="A236" s="216" t="s">
        <v>275</v>
      </c>
      <c r="B236" s="216" t="s">
        <v>299</v>
      </c>
      <c r="C236" s="216" t="s">
        <v>304</v>
      </c>
      <c r="D236" s="217">
        <v>3.2454949072222199</v>
      </c>
      <c r="E236" s="218"/>
      <c r="F236" s="219">
        <v>0.01</v>
      </c>
      <c r="G236" s="219">
        <v>0.01</v>
      </c>
      <c r="H236" s="220"/>
      <c r="I236" s="221">
        <v>2</v>
      </c>
      <c r="J236" s="221">
        <v>2</v>
      </c>
      <c r="K236" s="218"/>
      <c r="L236" s="222">
        <v>1795.58215</v>
      </c>
      <c r="M236" s="222">
        <v>-126.78068</v>
      </c>
      <c r="N236" s="222">
        <v>1668.8014700000001</v>
      </c>
      <c r="O236" s="217">
        <v>514.19013669884498</v>
      </c>
      <c r="P236" s="223">
        <v>242.61199999999999</v>
      </c>
      <c r="Q236" s="229">
        <v>2.1193928441249601</v>
      </c>
      <c r="R236" s="230">
        <v>808.96502660935096</v>
      </c>
      <c r="S236" s="219">
        <v>0.01</v>
      </c>
      <c r="T236" s="219">
        <v>0.01</v>
      </c>
      <c r="U236" s="226">
        <v>0</v>
      </c>
      <c r="V236" s="227">
        <v>0</v>
      </c>
      <c r="W236" s="218"/>
      <c r="X236" s="226">
        <v>1229.027525</v>
      </c>
      <c r="Y236" s="217">
        <v>378.68724497611601</v>
      </c>
      <c r="Z236" s="228">
        <v>573</v>
      </c>
      <c r="AA236" s="224">
        <v>0.66088524428641604</v>
      </c>
      <c r="AB236" s="225">
        <v>-801.73056636745901</v>
      </c>
      <c r="AC236" s="219"/>
      <c r="AD236" s="219"/>
      <c r="AE236" s="227">
        <v>631</v>
      </c>
      <c r="AF236" s="227">
        <v>1003</v>
      </c>
      <c r="AG236" s="218"/>
      <c r="AH236" s="231">
        <v>138.30000000000001</v>
      </c>
      <c r="AI236" s="217">
        <v>42.612915426932297</v>
      </c>
      <c r="AJ236" s="232" t="s">
        <v>53</v>
      </c>
      <c r="AK236" s="224">
        <v>0.676395482967179</v>
      </c>
      <c r="AL236" s="225">
        <v>-84.977067637259793</v>
      </c>
      <c r="AM236" s="219"/>
      <c r="AN236" s="219"/>
      <c r="AO236" s="227">
        <v>67</v>
      </c>
      <c r="AP236" s="227">
        <v>108</v>
      </c>
      <c r="AQ236" s="218"/>
      <c r="AR236" s="231">
        <v>11.8</v>
      </c>
      <c r="AS236" s="217">
        <v>3.6358091253637101</v>
      </c>
      <c r="AT236" s="232" t="s">
        <v>54</v>
      </c>
      <c r="AU236" s="224">
        <v>0.227238070335232</v>
      </c>
      <c r="AV236" s="225">
        <v>-44.905287018986598</v>
      </c>
      <c r="AW236" s="219"/>
      <c r="AX236" s="219"/>
      <c r="AY236" s="227">
        <v>41</v>
      </c>
      <c r="AZ236" s="227">
        <v>51</v>
      </c>
      <c r="BA236" s="218"/>
      <c r="BB236" s="235">
        <v>79</v>
      </c>
      <c r="BC236" s="231">
        <v>24.341433974892599</v>
      </c>
      <c r="BD236" s="232" t="s">
        <v>55</v>
      </c>
      <c r="BE236" s="239">
        <v>0.76066981171539405</v>
      </c>
      <c r="BF236" s="222">
        <v>-34.410574037973298</v>
      </c>
      <c r="BG236" s="219"/>
      <c r="BH236" s="219"/>
      <c r="BI236" s="227">
        <v>25</v>
      </c>
      <c r="BJ236" s="227">
        <v>46</v>
      </c>
      <c r="BK236" s="220"/>
      <c r="BL236" s="236">
        <v>0.8</v>
      </c>
      <c r="BM236" s="239">
        <v>0.74</v>
      </c>
      <c r="BN236" s="237"/>
      <c r="BO236" s="238">
        <v>0.95</v>
      </c>
      <c r="BP236" s="229">
        <v>1</v>
      </c>
      <c r="BQ236" s="237">
        <v>2.5000000000000001E-3</v>
      </c>
    </row>
    <row r="237" spans="1:69" s="207" customFormat="1" ht="22.35" customHeight="1" x14ac:dyDescent="0.2">
      <c r="A237" s="216" t="s">
        <v>275</v>
      </c>
      <c r="B237" s="216" t="s">
        <v>299</v>
      </c>
      <c r="C237" s="216" t="s">
        <v>305</v>
      </c>
      <c r="D237" s="217">
        <v>2.8560806016666702</v>
      </c>
      <c r="E237" s="218"/>
      <c r="F237" s="219">
        <v>6.0999999999999999E-2</v>
      </c>
      <c r="G237" s="219">
        <v>0.04</v>
      </c>
      <c r="H237" s="220"/>
      <c r="I237" s="221">
        <v>7</v>
      </c>
      <c r="J237" s="221">
        <v>7</v>
      </c>
      <c r="K237" s="218"/>
      <c r="L237" s="222">
        <v>1844.8951500000001</v>
      </c>
      <c r="M237" s="222">
        <v>1835.6639</v>
      </c>
      <c r="N237" s="222">
        <v>3680.5590499999998</v>
      </c>
      <c r="O237" s="217">
        <v>1288.6747831458999</v>
      </c>
      <c r="P237" s="223">
        <v>215.88200000000001</v>
      </c>
      <c r="Q237" s="229">
        <v>5.9693479917079699</v>
      </c>
      <c r="R237" s="230">
        <v>3007.2576294456899</v>
      </c>
      <c r="S237" s="219">
        <v>0.01</v>
      </c>
      <c r="T237" s="219">
        <v>0.01</v>
      </c>
      <c r="U237" s="226">
        <v>0</v>
      </c>
      <c r="V237" s="227">
        <v>0</v>
      </c>
      <c r="W237" s="218"/>
      <c r="X237" s="226">
        <v>1640.8411599999999</v>
      </c>
      <c r="Y237" s="217">
        <v>574.50800199493199</v>
      </c>
      <c r="Z237" s="228">
        <v>573</v>
      </c>
      <c r="AA237" s="233">
        <v>1.0026317661342601</v>
      </c>
      <c r="AB237" s="234">
        <v>-146.25416975246199</v>
      </c>
      <c r="AC237" s="219">
        <v>0.01</v>
      </c>
      <c r="AD237" s="219">
        <v>1E-3</v>
      </c>
      <c r="AE237" s="227">
        <v>0</v>
      </c>
      <c r="AF237" s="227">
        <v>323</v>
      </c>
      <c r="AG237" s="218"/>
      <c r="AH237" s="231">
        <v>181.5</v>
      </c>
      <c r="AI237" s="217">
        <v>63.548626706853298</v>
      </c>
      <c r="AJ237" s="232" t="s">
        <v>53</v>
      </c>
      <c r="AK237" s="233">
        <v>1.0087083604262399</v>
      </c>
      <c r="AL237" s="234">
        <v>-14.9869210722603</v>
      </c>
      <c r="AM237" s="219">
        <v>1.0999999999999999E-2</v>
      </c>
      <c r="AN237" s="219">
        <v>1E-3</v>
      </c>
      <c r="AO237" s="227">
        <v>0</v>
      </c>
      <c r="AP237" s="227">
        <v>35</v>
      </c>
      <c r="AQ237" s="218"/>
      <c r="AR237" s="231">
        <v>52.8</v>
      </c>
      <c r="AS237" s="217">
        <v>18.486873223811902</v>
      </c>
      <c r="AT237" s="232" t="s">
        <v>54</v>
      </c>
      <c r="AU237" s="229">
        <v>1.1554295764882401</v>
      </c>
      <c r="AV237" s="230">
        <v>2.89855972767994</v>
      </c>
      <c r="AW237" s="219">
        <v>0.01</v>
      </c>
      <c r="AX237" s="219">
        <v>8.0000000000000002E-3</v>
      </c>
      <c r="AY237" s="227">
        <v>0</v>
      </c>
      <c r="AZ237" s="227">
        <v>3</v>
      </c>
      <c r="BA237" s="218"/>
      <c r="BB237" s="235">
        <v>131.6</v>
      </c>
      <c r="BC237" s="231">
        <v>46.077130989652296</v>
      </c>
      <c r="BD237" s="232" t="s">
        <v>55</v>
      </c>
      <c r="BE237" s="229">
        <v>1.43991034342663</v>
      </c>
      <c r="BF237" s="230">
        <v>31.797119455359901</v>
      </c>
      <c r="BG237" s="219">
        <v>0.02</v>
      </c>
      <c r="BH237" s="219">
        <v>0.02</v>
      </c>
      <c r="BI237" s="227">
        <v>0</v>
      </c>
      <c r="BJ237" s="227">
        <v>0</v>
      </c>
      <c r="BK237" s="220"/>
      <c r="BL237" s="236">
        <v>0.8</v>
      </c>
      <c r="BM237" s="233">
        <v>0.81</v>
      </c>
      <c r="BN237" s="237">
        <v>3.7500000000000001E-4</v>
      </c>
      <c r="BO237" s="238">
        <v>0.95</v>
      </c>
      <c r="BP237" s="229">
        <v>1</v>
      </c>
      <c r="BQ237" s="237">
        <v>2.5000000000000001E-3</v>
      </c>
    </row>
    <row r="238" spans="1:69" s="207" customFormat="1" ht="22.35" customHeight="1" x14ac:dyDescent="0.2">
      <c r="A238" s="216" t="s">
        <v>275</v>
      </c>
      <c r="B238" s="216" t="s">
        <v>299</v>
      </c>
      <c r="C238" s="216" t="s">
        <v>306</v>
      </c>
      <c r="D238" s="217">
        <v>9.2014397199999998</v>
      </c>
      <c r="E238" s="218"/>
      <c r="F238" s="219">
        <v>3.6999999999999998E-2</v>
      </c>
      <c r="G238" s="219">
        <v>0.03</v>
      </c>
      <c r="H238" s="220"/>
      <c r="I238" s="221">
        <v>4</v>
      </c>
      <c r="J238" s="221">
        <v>3</v>
      </c>
      <c r="K238" s="218"/>
      <c r="L238" s="222">
        <v>6734.0102999999999</v>
      </c>
      <c r="M238" s="222">
        <v>-1971.1082100000001</v>
      </c>
      <c r="N238" s="222">
        <v>4762.9020899999996</v>
      </c>
      <c r="O238" s="217">
        <v>517.62574498504705</v>
      </c>
      <c r="P238" s="223">
        <v>232.92099999999999</v>
      </c>
      <c r="Q238" s="229">
        <v>2.2223232125271899</v>
      </c>
      <c r="R238" s="230">
        <v>2422.5183632038402</v>
      </c>
      <c r="S238" s="219">
        <v>0.01</v>
      </c>
      <c r="T238" s="219">
        <v>0.01</v>
      </c>
      <c r="U238" s="226">
        <v>0</v>
      </c>
      <c r="V238" s="227">
        <v>0</v>
      </c>
      <c r="W238" s="218"/>
      <c r="X238" s="226">
        <v>5144.4683949999999</v>
      </c>
      <c r="Y238" s="217">
        <v>559.09385395615004</v>
      </c>
      <c r="Z238" s="228">
        <v>573</v>
      </c>
      <c r="AA238" s="233">
        <v>0.97573098421666704</v>
      </c>
      <c r="AB238" s="234">
        <v>-613.01966083952004</v>
      </c>
      <c r="AC238" s="219">
        <v>7.0000000000000001E-3</v>
      </c>
      <c r="AD238" s="219"/>
      <c r="AE238" s="227">
        <v>128</v>
      </c>
      <c r="AF238" s="227">
        <v>1183</v>
      </c>
      <c r="AG238" s="218"/>
      <c r="AH238" s="231">
        <v>525.79999999999995</v>
      </c>
      <c r="AI238" s="217">
        <v>57.143231494212301</v>
      </c>
      <c r="AJ238" s="232" t="s">
        <v>53</v>
      </c>
      <c r="AK238" s="239">
        <v>0.90703542054305197</v>
      </c>
      <c r="AL238" s="222">
        <v>-107.22224697711999</v>
      </c>
      <c r="AM238" s="219">
        <v>0</v>
      </c>
      <c r="AN238" s="219"/>
      <c r="AO238" s="227">
        <v>54</v>
      </c>
      <c r="AP238" s="227">
        <v>170</v>
      </c>
      <c r="AQ238" s="218"/>
      <c r="AR238" s="231">
        <v>48.8</v>
      </c>
      <c r="AS238" s="217">
        <v>5.3035178716575899</v>
      </c>
      <c r="AT238" s="232" t="s">
        <v>54</v>
      </c>
      <c r="AU238" s="224">
        <v>0.33146986697859898</v>
      </c>
      <c r="AV238" s="225">
        <v>-111.96755478784</v>
      </c>
      <c r="AW238" s="219"/>
      <c r="AX238" s="219"/>
      <c r="AY238" s="227">
        <v>99</v>
      </c>
      <c r="AZ238" s="227">
        <v>128</v>
      </c>
      <c r="BA238" s="218"/>
      <c r="BB238" s="235">
        <v>356</v>
      </c>
      <c r="BC238" s="231">
        <v>38.689597588321703</v>
      </c>
      <c r="BD238" s="232" t="s">
        <v>55</v>
      </c>
      <c r="BE238" s="229">
        <v>1.2090499246350499</v>
      </c>
      <c r="BF238" s="230">
        <v>34.464890424319996</v>
      </c>
      <c r="BG238" s="219">
        <v>0.02</v>
      </c>
      <c r="BH238" s="219">
        <v>0.02</v>
      </c>
      <c r="BI238" s="227">
        <v>0</v>
      </c>
      <c r="BJ238" s="227">
        <v>0</v>
      </c>
      <c r="BK238" s="220"/>
      <c r="BL238" s="236">
        <v>0.8</v>
      </c>
      <c r="BM238" s="239">
        <v>0.77</v>
      </c>
      <c r="BN238" s="237"/>
      <c r="BO238" s="238">
        <v>0.95</v>
      </c>
      <c r="BP238" s="229">
        <v>1</v>
      </c>
      <c r="BQ238" s="237">
        <v>2.5000000000000001E-3</v>
      </c>
    </row>
    <row r="239" spans="1:69" s="207" customFormat="1" ht="22.35" customHeight="1" x14ac:dyDescent="0.2">
      <c r="A239" s="216" t="s">
        <v>275</v>
      </c>
      <c r="B239" s="216" t="s">
        <v>299</v>
      </c>
      <c r="C239" s="216" t="s">
        <v>307</v>
      </c>
      <c r="D239" s="217">
        <v>2.4944492774444398</v>
      </c>
      <c r="E239" s="218"/>
      <c r="F239" s="219">
        <v>0.05</v>
      </c>
      <c r="G239" s="219">
        <v>3.4000000000000002E-2</v>
      </c>
      <c r="H239" s="220"/>
      <c r="I239" s="221">
        <v>4</v>
      </c>
      <c r="J239" s="221">
        <v>4</v>
      </c>
      <c r="K239" s="218"/>
      <c r="L239" s="222">
        <v>1761.67652</v>
      </c>
      <c r="M239" s="222">
        <v>-20.295839999999998</v>
      </c>
      <c r="N239" s="222">
        <v>1741.38068</v>
      </c>
      <c r="O239" s="217">
        <v>698.10226078601204</v>
      </c>
      <c r="P239" s="223">
        <v>245.339</v>
      </c>
      <c r="Q239" s="229">
        <v>2.8454597955727001</v>
      </c>
      <c r="R239" s="230">
        <v>1073.0923051233999</v>
      </c>
      <c r="S239" s="219">
        <v>0.01</v>
      </c>
      <c r="T239" s="219">
        <v>0.01</v>
      </c>
      <c r="U239" s="226">
        <v>0</v>
      </c>
      <c r="V239" s="227">
        <v>0</v>
      </c>
      <c r="W239" s="218"/>
      <c r="X239" s="226">
        <v>1639.890635</v>
      </c>
      <c r="Y239" s="217">
        <v>657.415907322061</v>
      </c>
      <c r="Z239" s="228">
        <v>573</v>
      </c>
      <c r="AA239" s="229">
        <v>1.1473227003875399</v>
      </c>
      <c r="AB239" s="230">
        <v>79.073810914574807</v>
      </c>
      <c r="AC239" s="219">
        <v>0.02</v>
      </c>
      <c r="AD239" s="219">
        <v>1.4999999999999999E-2</v>
      </c>
      <c r="AE239" s="227">
        <v>0</v>
      </c>
      <c r="AF239" s="227">
        <v>76</v>
      </c>
      <c r="AG239" s="218"/>
      <c r="AH239" s="231">
        <v>85.7</v>
      </c>
      <c r="AI239" s="217">
        <v>34.356280873267302</v>
      </c>
      <c r="AJ239" s="232" t="s">
        <v>53</v>
      </c>
      <c r="AK239" s="224">
        <v>0.54533779163916296</v>
      </c>
      <c r="AL239" s="225">
        <v>-85.908132491067704</v>
      </c>
      <c r="AM239" s="219"/>
      <c r="AN239" s="219"/>
      <c r="AO239" s="227">
        <v>72</v>
      </c>
      <c r="AP239" s="227">
        <v>103</v>
      </c>
      <c r="AQ239" s="218"/>
      <c r="AR239" s="231">
        <v>11</v>
      </c>
      <c r="AS239" s="217">
        <v>4.4097910105710696</v>
      </c>
      <c r="AT239" s="232" t="s">
        <v>54</v>
      </c>
      <c r="AU239" s="224">
        <v>0.27561193816069202</v>
      </c>
      <c r="AV239" s="225">
        <v>-32.583017775509298</v>
      </c>
      <c r="AW239" s="219"/>
      <c r="AX239" s="219"/>
      <c r="AY239" s="227">
        <v>29</v>
      </c>
      <c r="AZ239" s="227">
        <v>37</v>
      </c>
      <c r="BA239" s="218"/>
      <c r="BB239" s="235">
        <v>87</v>
      </c>
      <c r="BC239" s="231">
        <v>34.877437992698397</v>
      </c>
      <c r="BD239" s="232" t="s">
        <v>55</v>
      </c>
      <c r="BE239" s="229">
        <v>1.08991993727183</v>
      </c>
      <c r="BF239" s="230">
        <v>-0.16603555101851</v>
      </c>
      <c r="BG239" s="219">
        <v>0.02</v>
      </c>
      <c r="BH239" s="219">
        <v>8.9999999999999993E-3</v>
      </c>
      <c r="BI239" s="227">
        <v>0</v>
      </c>
      <c r="BJ239" s="227">
        <v>9</v>
      </c>
      <c r="BK239" s="220"/>
      <c r="BL239" s="236">
        <v>0.8</v>
      </c>
      <c r="BM239" s="239">
        <v>0.79</v>
      </c>
      <c r="BN239" s="237"/>
      <c r="BO239" s="238">
        <v>0.95</v>
      </c>
      <c r="BP239" s="229">
        <v>1</v>
      </c>
      <c r="BQ239" s="237">
        <v>2.5000000000000001E-3</v>
      </c>
    </row>
    <row r="240" spans="1:69" s="207" customFormat="1" ht="22.35" customHeight="1" x14ac:dyDescent="0.2">
      <c r="A240" s="216" t="s">
        <v>275</v>
      </c>
      <c r="B240" s="216" t="s">
        <v>299</v>
      </c>
      <c r="C240" s="216" t="s">
        <v>308</v>
      </c>
      <c r="D240" s="217">
        <v>2.6001805638888902</v>
      </c>
      <c r="E240" s="218"/>
      <c r="F240" s="219"/>
      <c r="G240" s="219"/>
      <c r="H240" s="220"/>
      <c r="I240" s="221">
        <v>1</v>
      </c>
      <c r="J240" s="221">
        <v>1</v>
      </c>
      <c r="K240" s="218"/>
      <c r="L240" s="222"/>
      <c r="M240" s="222">
        <v>72.353960000000001</v>
      </c>
      <c r="N240" s="222">
        <v>72.353960000000001</v>
      </c>
      <c r="O240" s="217">
        <v>27.8265136678761</v>
      </c>
      <c r="P240" s="223">
        <v>217.09100000000001</v>
      </c>
      <c r="Q240" s="224">
        <v>0.12817902938341999</v>
      </c>
      <c r="R240" s="225">
        <v>-544.05361228436198</v>
      </c>
      <c r="S240" s="219"/>
      <c r="T240" s="219"/>
      <c r="U240" s="226">
        <v>493</v>
      </c>
      <c r="V240" s="227">
        <v>606</v>
      </c>
      <c r="W240" s="218"/>
      <c r="X240" s="226">
        <v>1076.60023</v>
      </c>
      <c r="Y240" s="217">
        <v>414.04825686021297</v>
      </c>
      <c r="Z240" s="228">
        <v>573</v>
      </c>
      <c r="AA240" s="224">
        <v>0.72259730691136603</v>
      </c>
      <c r="AB240" s="225">
        <v>-550.37435171430104</v>
      </c>
      <c r="AC240" s="219"/>
      <c r="AD240" s="219"/>
      <c r="AE240" s="227">
        <v>414</v>
      </c>
      <c r="AF240" s="227">
        <v>712</v>
      </c>
      <c r="AG240" s="218"/>
      <c r="AH240" s="231">
        <v>96.2</v>
      </c>
      <c r="AI240" s="217">
        <v>36.997430615403502</v>
      </c>
      <c r="AJ240" s="232" t="s">
        <v>53</v>
      </c>
      <c r="AK240" s="224">
        <v>0.58726080341910403</v>
      </c>
      <c r="AL240" s="225">
        <v>-82.682022073300104</v>
      </c>
      <c r="AM240" s="219"/>
      <c r="AN240" s="219"/>
      <c r="AO240" s="227">
        <v>68</v>
      </c>
      <c r="AP240" s="227">
        <v>101</v>
      </c>
      <c r="AQ240" s="218"/>
      <c r="AR240" s="231">
        <v>18.399999999999999</v>
      </c>
      <c r="AS240" s="217">
        <v>7.0764316353786398</v>
      </c>
      <c r="AT240" s="232" t="s">
        <v>54</v>
      </c>
      <c r="AU240" s="224">
        <v>0.44227697721116499</v>
      </c>
      <c r="AV240" s="225">
        <v>-27.030354812266701</v>
      </c>
      <c r="AW240" s="219"/>
      <c r="AX240" s="219"/>
      <c r="AY240" s="227">
        <v>24</v>
      </c>
      <c r="AZ240" s="227">
        <v>32</v>
      </c>
      <c r="BA240" s="218"/>
      <c r="BB240" s="235">
        <v>72.400000000000006</v>
      </c>
      <c r="BC240" s="231">
        <v>27.844220130511601</v>
      </c>
      <c r="BD240" s="232" t="s">
        <v>55</v>
      </c>
      <c r="BE240" s="239">
        <v>0.87013187907848699</v>
      </c>
      <c r="BF240" s="222">
        <v>-18.460709624533401</v>
      </c>
      <c r="BG240" s="219"/>
      <c r="BH240" s="219"/>
      <c r="BI240" s="227">
        <v>11</v>
      </c>
      <c r="BJ240" s="227">
        <v>28</v>
      </c>
      <c r="BK240" s="220"/>
      <c r="BL240" s="236">
        <v>0.8</v>
      </c>
      <c r="BM240" s="224"/>
      <c r="BN240" s="237"/>
      <c r="BO240" s="238">
        <v>0.95</v>
      </c>
      <c r="BP240" s="229">
        <v>1</v>
      </c>
      <c r="BQ240" s="237">
        <v>2.5000000000000001E-3</v>
      </c>
    </row>
    <row r="241" spans="1:69" s="207" customFormat="1" ht="22.35" customHeight="1" x14ac:dyDescent="0.2">
      <c r="A241" s="216" t="s">
        <v>275</v>
      </c>
      <c r="B241" s="216" t="s">
        <v>299</v>
      </c>
      <c r="C241" s="216" t="s">
        <v>309</v>
      </c>
      <c r="D241" s="217">
        <v>3.3634437715555601</v>
      </c>
      <c r="E241" s="218"/>
      <c r="F241" s="219">
        <v>3.5999999999999997E-2</v>
      </c>
      <c r="G241" s="219">
        <v>0.03</v>
      </c>
      <c r="H241" s="220"/>
      <c r="I241" s="221">
        <v>4</v>
      </c>
      <c r="J241" s="221">
        <v>3</v>
      </c>
      <c r="K241" s="218"/>
      <c r="L241" s="222">
        <v>6333.7850799999997</v>
      </c>
      <c r="M241" s="222">
        <v>-1794.0409400000001</v>
      </c>
      <c r="N241" s="222">
        <v>4539.7441399999998</v>
      </c>
      <c r="O241" s="217">
        <v>1349.73094492982</v>
      </c>
      <c r="P241" s="223">
        <v>217.09100000000001</v>
      </c>
      <c r="Q241" s="229">
        <v>6.21735099534214</v>
      </c>
      <c r="R241" s="230">
        <v>3742.3948179826398</v>
      </c>
      <c r="S241" s="219">
        <v>0.01</v>
      </c>
      <c r="T241" s="219">
        <v>0.01</v>
      </c>
      <c r="U241" s="226">
        <v>0</v>
      </c>
      <c r="V241" s="227">
        <v>0</v>
      </c>
      <c r="W241" s="218"/>
      <c r="X241" s="226">
        <v>1718.711845</v>
      </c>
      <c r="Y241" s="217">
        <v>510.99764459719597</v>
      </c>
      <c r="Z241" s="228">
        <v>573</v>
      </c>
      <c r="AA241" s="239">
        <v>0.89179344606840605</v>
      </c>
      <c r="AB241" s="222">
        <v>-385.84873796265902</v>
      </c>
      <c r="AC241" s="219"/>
      <c r="AD241" s="219"/>
      <c r="AE241" s="227">
        <v>209</v>
      </c>
      <c r="AF241" s="227">
        <v>594</v>
      </c>
      <c r="AG241" s="218"/>
      <c r="AH241" s="231">
        <v>205.2</v>
      </c>
      <c r="AI241" s="217">
        <v>61.008898598324798</v>
      </c>
      <c r="AJ241" s="232" t="s">
        <v>53</v>
      </c>
      <c r="AK241" s="233">
        <v>0.96839521584642496</v>
      </c>
      <c r="AL241" s="234">
        <v>-26.191477707936301</v>
      </c>
      <c r="AM241" s="219">
        <v>6.0000000000000001E-3</v>
      </c>
      <c r="AN241" s="219"/>
      <c r="AO241" s="227">
        <v>7</v>
      </c>
      <c r="AP241" s="227">
        <v>50</v>
      </c>
      <c r="AQ241" s="218"/>
      <c r="AR241" s="231">
        <v>21.5</v>
      </c>
      <c r="AS241" s="217">
        <v>6.3922578940739898</v>
      </c>
      <c r="AT241" s="232" t="s">
        <v>54</v>
      </c>
      <c r="AU241" s="224">
        <v>0.39951611837962397</v>
      </c>
      <c r="AV241" s="225">
        <v>-37.266089576618803</v>
      </c>
      <c r="AW241" s="219"/>
      <c r="AX241" s="219"/>
      <c r="AY241" s="227">
        <v>33</v>
      </c>
      <c r="AZ241" s="227">
        <v>44</v>
      </c>
      <c r="BA241" s="218"/>
      <c r="BB241" s="235">
        <v>139</v>
      </c>
      <c r="BC241" s="231">
        <v>41.326690570990003</v>
      </c>
      <c r="BD241" s="232" t="s">
        <v>55</v>
      </c>
      <c r="BE241" s="229">
        <v>1.29145908034344</v>
      </c>
      <c r="BF241" s="230">
        <v>21.4678208467625</v>
      </c>
      <c r="BG241" s="219">
        <v>0.02</v>
      </c>
      <c r="BH241" s="219">
        <v>0.02</v>
      </c>
      <c r="BI241" s="227">
        <v>0</v>
      </c>
      <c r="BJ241" s="227">
        <v>0</v>
      </c>
      <c r="BK241" s="220"/>
      <c r="BL241" s="236">
        <v>0.8</v>
      </c>
      <c r="BM241" s="239">
        <v>0.79</v>
      </c>
      <c r="BN241" s="237"/>
      <c r="BO241" s="238">
        <v>0.95</v>
      </c>
      <c r="BP241" s="229">
        <v>1</v>
      </c>
      <c r="BQ241" s="237">
        <v>2.5000000000000001E-3</v>
      </c>
    </row>
    <row r="242" spans="1:69" s="207" customFormat="1" ht="22.35" customHeight="1" x14ac:dyDescent="0.2">
      <c r="A242" s="216" t="s">
        <v>275</v>
      </c>
      <c r="B242" s="216" t="s">
        <v>299</v>
      </c>
      <c r="C242" s="216" t="s">
        <v>310</v>
      </c>
      <c r="D242" s="217">
        <v>2.3177117403333298</v>
      </c>
      <c r="E242" s="218"/>
      <c r="F242" s="219">
        <v>5.0500000000000003E-2</v>
      </c>
      <c r="G242" s="219">
        <v>2.7E-2</v>
      </c>
      <c r="H242" s="220"/>
      <c r="I242" s="221">
        <v>5</v>
      </c>
      <c r="J242" s="221">
        <v>4</v>
      </c>
      <c r="K242" s="218"/>
      <c r="L242" s="222">
        <v>89.735259999999997</v>
      </c>
      <c r="M242" s="222">
        <v>451.88297999999998</v>
      </c>
      <c r="N242" s="222">
        <v>541.61824000000001</v>
      </c>
      <c r="O242" s="217">
        <v>233.68662745010101</v>
      </c>
      <c r="P242" s="223">
        <v>215.88200000000001</v>
      </c>
      <c r="Q242" s="233">
        <v>1.08247388596595</v>
      </c>
      <c r="R242" s="234">
        <v>-4.7664125518908804</v>
      </c>
      <c r="S242" s="219">
        <v>9.4999999999999998E-3</v>
      </c>
      <c r="T242" s="219">
        <v>4.0000000000000001E-3</v>
      </c>
      <c r="U242" s="226">
        <v>0</v>
      </c>
      <c r="V242" s="227">
        <v>59</v>
      </c>
      <c r="W242" s="218"/>
      <c r="X242" s="226">
        <v>1304.2176850000001</v>
      </c>
      <c r="Y242" s="217">
        <v>562.71781443037798</v>
      </c>
      <c r="Z242" s="228">
        <v>573</v>
      </c>
      <c r="AA242" s="233">
        <v>0.98205552256610396</v>
      </c>
      <c r="AB242" s="234">
        <v>-146.01163431441</v>
      </c>
      <c r="AC242" s="219">
        <v>8.0000000000000002E-3</v>
      </c>
      <c r="AD242" s="219"/>
      <c r="AE242" s="227">
        <v>24</v>
      </c>
      <c r="AF242" s="227">
        <v>290</v>
      </c>
      <c r="AG242" s="218"/>
      <c r="AH242" s="231">
        <v>150.69999999999999</v>
      </c>
      <c r="AI242" s="217">
        <v>65.021028015471103</v>
      </c>
      <c r="AJ242" s="232" t="s">
        <v>53</v>
      </c>
      <c r="AK242" s="233">
        <v>1.03207980976938</v>
      </c>
      <c r="AL242" s="234">
        <v>-8.7492968879717807</v>
      </c>
      <c r="AM242" s="219">
        <v>1.2999999999999999E-2</v>
      </c>
      <c r="AN242" s="219">
        <v>3.0000000000000001E-3</v>
      </c>
      <c r="AO242" s="227">
        <v>0</v>
      </c>
      <c r="AP242" s="227">
        <v>25</v>
      </c>
      <c r="AQ242" s="218"/>
      <c r="AR242" s="231">
        <v>26.8</v>
      </c>
      <c r="AS242" s="217">
        <v>11.5631290697719</v>
      </c>
      <c r="AT242" s="232" t="s">
        <v>54</v>
      </c>
      <c r="AU242" s="224">
        <v>0.72269556686074399</v>
      </c>
      <c r="AV242" s="225">
        <v>-13.695059527103901</v>
      </c>
      <c r="AW242" s="219"/>
      <c r="AX242" s="219"/>
      <c r="AY242" s="227">
        <v>11</v>
      </c>
      <c r="AZ242" s="227">
        <v>18</v>
      </c>
      <c r="BA242" s="218"/>
      <c r="BB242" s="235">
        <v>109.2</v>
      </c>
      <c r="BC242" s="231">
        <v>47.115436358921301</v>
      </c>
      <c r="BD242" s="232" t="s">
        <v>55</v>
      </c>
      <c r="BE242" s="229">
        <v>1.47235738621629</v>
      </c>
      <c r="BF242" s="230">
        <v>28.209880945792101</v>
      </c>
      <c r="BG242" s="219">
        <v>0.02</v>
      </c>
      <c r="BH242" s="219">
        <v>0.02</v>
      </c>
      <c r="BI242" s="227">
        <v>0</v>
      </c>
      <c r="BJ242" s="227">
        <v>0</v>
      </c>
      <c r="BK242" s="220"/>
      <c r="BL242" s="236">
        <v>0.8</v>
      </c>
      <c r="BM242" s="239">
        <v>0.79</v>
      </c>
      <c r="BN242" s="237"/>
      <c r="BO242" s="238">
        <v>0.95</v>
      </c>
      <c r="BP242" s="229">
        <v>1</v>
      </c>
      <c r="BQ242" s="237">
        <v>2.5000000000000001E-3</v>
      </c>
    </row>
    <row r="243" spans="1:69" s="207" customFormat="1" ht="22.35" customHeight="1" x14ac:dyDescent="0.2">
      <c r="A243" s="216" t="s">
        <v>275</v>
      </c>
      <c r="B243" s="216" t="s">
        <v>299</v>
      </c>
      <c r="C243" s="216" t="s">
        <v>311</v>
      </c>
      <c r="D243" s="217">
        <v>2.7902735091111102</v>
      </c>
      <c r="E243" s="218"/>
      <c r="F243" s="219">
        <v>4.5999999999999999E-2</v>
      </c>
      <c r="G243" s="219">
        <v>3.5999999999999997E-2</v>
      </c>
      <c r="H243" s="220"/>
      <c r="I243" s="221">
        <v>5</v>
      </c>
      <c r="J243" s="221">
        <v>5</v>
      </c>
      <c r="K243" s="218"/>
      <c r="L243" s="222">
        <v>1367.15347</v>
      </c>
      <c r="M243" s="222">
        <v>1640.3196</v>
      </c>
      <c r="N243" s="222">
        <v>3007.47307</v>
      </c>
      <c r="O243" s="217">
        <v>1077.8416740078201</v>
      </c>
      <c r="P243" s="223">
        <v>245.339</v>
      </c>
      <c r="Q243" s="229">
        <v>4.3932749135189297</v>
      </c>
      <c r="R243" s="230">
        <v>2259.93036960262</v>
      </c>
      <c r="S243" s="219">
        <v>0.01</v>
      </c>
      <c r="T243" s="219">
        <v>0.01</v>
      </c>
      <c r="U243" s="226">
        <v>0</v>
      </c>
      <c r="V243" s="227">
        <v>0</v>
      </c>
      <c r="W243" s="218"/>
      <c r="X243" s="226">
        <v>2007.08969</v>
      </c>
      <c r="Y243" s="217">
        <v>719.31646967447</v>
      </c>
      <c r="Z243" s="228">
        <v>573</v>
      </c>
      <c r="AA243" s="229">
        <v>1.2553516050165301</v>
      </c>
      <c r="AB243" s="230">
        <v>261.17091097303302</v>
      </c>
      <c r="AC243" s="219">
        <v>0.02</v>
      </c>
      <c r="AD243" s="219">
        <v>0.02</v>
      </c>
      <c r="AE243" s="227">
        <v>0</v>
      </c>
      <c r="AF243" s="227">
        <v>0</v>
      </c>
      <c r="AG243" s="218"/>
      <c r="AH243" s="231">
        <v>117.55</v>
      </c>
      <c r="AI243" s="217">
        <v>42.128486550211903</v>
      </c>
      <c r="AJ243" s="232" t="s">
        <v>53</v>
      </c>
      <c r="AK243" s="224">
        <v>0.66870613571764903</v>
      </c>
      <c r="AL243" s="225">
        <v>-74.409656332807998</v>
      </c>
      <c r="AM243" s="219"/>
      <c r="AN243" s="219"/>
      <c r="AO243" s="227">
        <v>59</v>
      </c>
      <c r="AP243" s="227">
        <v>94</v>
      </c>
      <c r="AQ243" s="218"/>
      <c r="AR243" s="231">
        <v>12.8</v>
      </c>
      <c r="AS243" s="217">
        <v>4.5873639118903604</v>
      </c>
      <c r="AT243" s="232" t="s">
        <v>54</v>
      </c>
      <c r="AU243" s="224">
        <v>0.28671024449314703</v>
      </c>
      <c r="AV243" s="225">
        <v>-35.951658751189299</v>
      </c>
      <c r="AW243" s="219"/>
      <c r="AX243" s="219"/>
      <c r="AY243" s="227">
        <v>32</v>
      </c>
      <c r="AZ243" s="227">
        <v>41</v>
      </c>
      <c r="BA243" s="218"/>
      <c r="BB243" s="235">
        <v>94.2</v>
      </c>
      <c r="BC243" s="231">
        <v>33.760131289068099</v>
      </c>
      <c r="BD243" s="232" t="s">
        <v>55</v>
      </c>
      <c r="BE243" s="233">
        <v>1.0550041027833801</v>
      </c>
      <c r="BF243" s="234">
        <v>-3.3033175023786301</v>
      </c>
      <c r="BG243" s="219">
        <v>1.6E-2</v>
      </c>
      <c r="BH243" s="219">
        <v>6.0000000000000001E-3</v>
      </c>
      <c r="BI243" s="227">
        <v>0</v>
      </c>
      <c r="BJ243" s="227">
        <v>13</v>
      </c>
      <c r="BK243" s="220"/>
      <c r="BL243" s="236">
        <v>0.8</v>
      </c>
      <c r="BM243" s="233">
        <v>0.88</v>
      </c>
      <c r="BN243" s="237">
        <v>3.0000000000000001E-3</v>
      </c>
      <c r="BO243" s="238">
        <v>0.95</v>
      </c>
      <c r="BP243" s="229">
        <v>1</v>
      </c>
      <c r="BQ243" s="237">
        <v>2.5000000000000001E-3</v>
      </c>
    </row>
    <row r="244" spans="1:69" s="207" customFormat="1" ht="22.35" customHeight="1" x14ac:dyDescent="0.2">
      <c r="A244" s="216" t="s">
        <v>275</v>
      </c>
      <c r="B244" s="216" t="s">
        <v>299</v>
      </c>
      <c r="C244" s="216" t="s">
        <v>312</v>
      </c>
      <c r="D244" s="217">
        <v>3.578419974</v>
      </c>
      <c r="E244" s="218"/>
      <c r="F244" s="219">
        <v>3.1E-2</v>
      </c>
      <c r="G244" s="219">
        <v>1.2999999999999999E-2</v>
      </c>
      <c r="H244" s="220"/>
      <c r="I244" s="221">
        <v>4</v>
      </c>
      <c r="J244" s="221">
        <v>3</v>
      </c>
      <c r="K244" s="218"/>
      <c r="L244" s="222">
        <v>1475.9645399999999</v>
      </c>
      <c r="M244" s="222">
        <v>1816.46792</v>
      </c>
      <c r="N244" s="222">
        <v>3292.43246</v>
      </c>
      <c r="O244" s="217">
        <v>920.07994699394703</v>
      </c>
      <c r="P244" s="223">
        <v>213.536</v>
      </c>
      <c r="Q244" s="229">
        <v>4.3087814091953902</v>
      </c>
      <c r="R244" s="230">
        <v>2458.01179557567</v>
      </c>
      <c r="S244" s="219">
        <v>0.01</v>
      </c>
      <c r="T244" s="219">
        <v>0.01</v>
      </c>
      <c r="U244" s="226">
        <v>0</v>
      </c>
      <c r="V244" s="227">
        <v>0</v>
      </c>
      <c r="W244" s="218"/>
      <c r="X244" s="226">
        <v>2013.4589000000001</v>
      </c>
      <c r="Y244" s="217">
        <v>562.66701913954796</v>
      </c>
      <c r="Z244" s="228">
        <v>573</v>
      </c>
      <c r="AA244" s="233">
        <v>0.98196687458908904</v>
      </c>
      <c r="AB244" s="234">
        <v>-225.61573245138399</v>
      </c>
      <c r="AC244" s="219">
        <v>8.0000000000000002E-3</v>
      </c>
      <c r="AD244" s="219"/>
      <c r="AE244" s="227">
        <v>37</v>
      </c>
      <c r="AF244" s="227">
        <v>448</v>
      </c>
      <c r="AG244" s="218"/>
      <c r="AH244" s="231">
        <v>170.05</v>
      </c>
      <c r="AI244" s="217">
        <v>47.5209732886428</v>
      </c>
      <c r="AJ244" s="232" t="s">
        <v>53</v>
      </c>
      <c r="AK244" s="239">
        <v>0.75430116331179098</v>
      </c>
      <c r="AL244" s="222">
        <v>-76.130980531304004</v>
      </c>
      <c r="AM244" s="219"/>
      <c r="AN244" s="219"/>
      <c r="AO244" s="227">
        <v>56</v>
      </c>
      <c r="AP244" s="227">
        <v>101</v>
      </c>
      <c r="AQ244" s="218"/>
      <c r="AR244" s="231">
        <v>39.799999999999997</v>
      </c>
      <c r="AS244" s="217">
        <v>11.1222272089855</v>
      </c>
      <c r="AT244" s="232" t="s">
        <v>54</v>
      </c>
      <c r="AU244" s="224">
        <v>0.69513920056159395</v>
      </c>
      <c r="AV244" s="225">
        <v>-22.722153785728</v>
      </c>
      <c r="AW244" s="219"/>
      <c r="AX244" s="219"/>
      <c r="AY244" s="227">
        <v>18</v>
      </c>
      <c r="AZ244" s="227">
        <v>29</v>
      </c>
      <c r="BA244" s="218"/>
      <c r="BB244" s="235">
        <v>117.8</v>
      </c>
      <c r="BC244" s="231">
        <v>32.919556915037496</v>
      </c>
      <c r="BD244" s="232" t="s">
        <v>55</v>
      </c>
      <c r="BE244" s="233">
        <v>1.02873615359492</v>
      </c>
      <c r="BF244" s="234">
        <v>-7.2443075714560301</v>
      </c>
      <c r="BG244" s="219">
        <v>1.2999999999999999E-2</v>
      </c>
      <c r="BH244" s="219">
        <v>3.0000000000000001E-3</v>
      </c>
      <c r="BI244" s="227">
        <v>0</v>
      </c>
      <c r="BJ244" s="227">
        <v>20</v>
      </c>
      <c r="BK244" s="220"/>
      <c r="BL244" s="236">
        <v>0.8</v>
      </c>
      <c r="BM244" s="239">
        <v>0.8</v>
      </c>
      <c r="BN244" s="237">
        <v>0</v>
      </c>
      <c r="BO244" s="238">
        <v>0.95</v>
      </c>
      <c r="BP244" s="229">
        <v>1</v>
      </c>
      <c r="BQ244" s="237">
        <v>2.5000000000000001E-3</v>
      </c>
    </row>
    <row r="245" spans="1:69" s="207" customFormat="1" ht="22.35" customHeight="1" x14ac:dyDescent="0.2">
      <c r="A245" s="216" t="s">
        <v>275</v>
      </c>
      <c r="B245" s="216" t="s">
        <v>299</v>
      </c>
      <c r="C245" s="216" t="s">
        <v>313</v>
      </c>
      <c r="D245" s="217">
        <v>3.0802030008888899</v>
      </c>
      <c r="E245" s="218"/>
      <c r="F245" s="219">
        <v>3.0000000000000001E-3</v>
      </c>
      <c r="G245" s="219"/>
      <c r="H245" s="220"/>
      <c r="I245" s="221">
        <v>3</v>
      </c>
      <c r="J245" s="221">
        <v>2</v>
      </c>
      <c r="K245" s="218"/>
      <c r="L245" s="222">
        <v>851.51138000000003</v>
      </c>
      <c r="M245" s="222">
        <v>-600.48087999999996</v>
      </c>
      <c r="N245" s="222">
        <v>251.03049999999999</v>
      </c>
      <c r="O245" s="217">
        <v>81.498037605819306</v>
      </c>
      <c r="P245" s="223">
        <v>252.38499999999999</v>
      </c>
      <c r="Q245" s="224">
        <v>0.32291157400724801</v>
      </c>
      <c r="R245" s="225">
        <v>-597.88706154224201</v>
      </c>
      <c r="S245" s="219"/>
      <c r="T245" s="219"/>
      <c r="U245" s="226">
        <v>527</v>
      </c>
      <c r="V245" s="227">
        <v>682</v>
      </c>
      <c r="W245" s="218"/>
      <c r="X245" s="226">
        <v>1091.3798200000001</v>
      </c>
      <c r="Y245" s="217">
        <v>354.32074434218998</v>
      </c>
      <c r="Z245" s="228">
        <v>573</v>
      </c>
      <c r="AA245" s="224">
        <v>0.61836081037031498</v>
      </c>
      <c r="AB245" s="225">
        <v>-835.95248090419295</v>
      </c>
      <c r="AC245" s="219"/>
      <c r="AD245" s="219"/>
      <c r="AE245" s="227">
        <v>674</v>
      </c>
      <c r="AF245" s="227">
        <v>1027</v>
      </c>
      <c r="AG245" s="218"/>
      <c r="AH245" s="231">
        <v>84.6</v>
      </c>
      <c r="AI245" s="217">
        <v>27.465722218823199</v>
      </c>
      <c r="AJ245" s="232" t="s">
        <v>53</v>
      </c>
      <c r="AK245" s="224">
        <v>0.43596384474322603</v>
      </c>
      <c r="AL245" s="225">
        <v>-127.305645649152</v>
      </c>
      <c r="AM245" s="219"/>
      <c r="AN245" s="219"/>
      <c r="AO245" s="227">
        <v>110</v>
      </c>
      <c r="AP245" s="227">
        <v>149</v>
      </c>
      <c r="AQ245" s="218"/>
      <c r="AR245" s="231">
        <v>15.3</v>
      </c>
      <c r="AS245" s="217">
        <v>4.9672050821276104</v>
      </c>
      <c r="AT245" s="232" t="s">
        <v>54</v>
      </c>
      <c r="AU245" s="224">
        <v>0.31045031763297598</v>
      </c>
      <c r="AV245" s="225">
        <v>-38.517306831530703</v>
      </c>
      <c r="AW245" s="219"/>
      <c r="AX245" s="219"/>
      <c r="AY245" s="227">
        <v>34</v>
      </c>
      <c r="AZ245" s="227">
        <v>44</v>
      </c>
      <c r="BA245" s="218"/>
      <c r="BB245" s="235">
        <v>92.4</v>
      </c>
      <c r="BC245" s="231">
        <v>29.998022848927501</v>
      </c>
      <c r="BD245" s="232" t="s">
        <v>55</v>
      </c>
      <c r="BE245" s="233">
        <v>0.93743821402898497</v>
      </c>
      <c r="BF245" s="234">
        <v>-15.234613663061401</v>
      </c>
      <c r="BG245" s="219">
        <v>3.0000000000000001E-3</v>
      </c>
      <c r="BH245" s="219"/>
      <c r="BI245" s="227">
        <v>7</v>
      </c>
      <c r="BJ245" s="227">
        <v>26</v>
      </c>
      <c r="BK245" s="220"/>
      <c r="BL245" s="236">
        <v>0.8</v>
      </c>
      <c r="BM245" s="233">
        <v>0.81</v>
      </c>
      <c r="BN245" s="237">
        <v>3.7500000000000001E-4</v>
      </c>
      <c r="BO245" s="238">
        <v>0.95</v>
      </c>
      <c r="BP245" s="229">
        <v>1</v>
      </c>
      <c r="BQ245" s="237">
        <v>2.5000000000000001E-3</v>
      </c>
    </row>
    <row r="246" spans="1:69" s="207" customFormat="1" ht="22.35" customHeight="1" x14ac:dyDescent="0.2">
      <c r="A246" s="216" t="s">
        <v>275</v>
      </c>
      <c r="B246" s="216" t="s">
        <v>299</v>
      </c>
      <c r="C246" s="216" t="s">
        <v>314</v>
      </c>
      <c r="D246" s="217">
        <v>6.0121721623333304</v>
      </c>
      <c r="E246" s="218"/>
      <c r="F246" s="219">
        <v>4.2000000000000003E-2</v>
      </c>
      <c r="G246" s="219">
        <v>2.3E-2</v>
      </c>
      <c r="H246" s="220"/>
      <c r="I246" s="221">
        <v>5</v>
      </c>
      <c r="J246" s="221">
        <v>5</v>
      </c>
      <c r="K246" s="218"/>
      <c r="L246" s="222">
        <v>5824.5319</v>
      </c>
      <c r="M246" s="222">
        <v>288.58866999999998</v>
      </c>
      <c r="N246" s="222">
        <v>6113.12057</v>
      </c>
      <c r="O246" s="217">
        <v>1016.79067148129</v>
      </c>
      <c r="P246" s="223">
        <v>220.02799999999999</v>
      </c>
      <c r="Q246" s="229">
        <v>4.6211876283077196</v>
      </c>
      <c r="R246" s="230">
        <v>4668.5725015450098</v>
      </c>
      <c r="S246" s="219">
        <v>0.01</v>
      </c>
      <c r="T246" s="219">
        <v>0.01</v>
      </c>
      <c r="U246" s="226">
        <v>0</v>
      </c>
      <c r="V246" s="227">
        <v>0</v>
      </c>
      <c r="W246" s="218"/>
      <c r="X246" s="226">
        <v>3495.6385449999998</v>
      </c>
      <c r="Y246" s="217">
        <v>581.42688709089396</v>
      </c>
      <c r="Z246" s="228">
        <v>573</v>
      </c>
      <c r="AA246" s="233">
        <v>1.0147066092336701</v>
      </c>
      <c r="AB246" s="234">
        <v>-266.27377172656202</v>
      </c>
      <c r="AC246" s="219">
        <v>1.2E-2</v>
      </c>
      <c r="AD246" s="219">
        <v>1E-3</v>
      </c>
      <c r="AE246" s="227">
        <v>0</v>
      </c>
      <c r="AF246" s="227">
        <v>639</v>
      </c>
      <c r="AG246" s="218"/>
      <c r="AH246" s="231">
        <v>319.25</v>
      </c>
      <c r="AI246" s="217">
        <v>53.100608462299697</v>
      </c>
      <c r="AJ246" s="232" t="s">
        <v>53</v>
      </c>
      <c r="AK246" s="239">
        <v>0.842866800988884</v>
      </c>
      <c r="AL246" s="222">
        <v>-94.363396079883799</v>
      </c>
      <c r="AM246" s="219"/>
      <c r="AN246" s="219"/>
      <c r="AO246" s="227">
        <v>60</v>
      </c>
      <c r="AP246" s="227">
        <v>136</v>
      </c>
      <c r="AQ246" s="218"/>
      <c r="AR246" s="231">
        <v>32.799999999999997</v>
      </c>
      <c r="AS246" s="217">
        <v>5.4555989273717502</v>
      </c>
      <c r="AT246" s="232" t="s">
        <v>54</v>
      </c>
      <c r="AU246" s="224">
        <v>0.340974932960734</v>
      </c>
      <c r="AV246" s="225">
        <v>-72.244672020287894</v>
      </c>
      <c r="AW246" s="219"/>
      <c r="AX246" s="219"/>
      <c r="AY246" s="227">
        <v>64</v>
      </c>
      <c r="AZ246" s="227">
        <v>83</v>
      </c>
      <c r="BA246" s="218"/>
      <c r="BB246" s="235">
        <v>215.2</v>
      </c>
      <c r="BC246" s="231">
        <v>35.794051499097499</v>
      </c>
      <c r="BD246" s="232" t="s">
        <v>55</v>
      </c>
      <c r="BE246" s="229">
        <v>1.1185641093468</v>
      </c>
      <c r="BF246" s="230">
        <v>5.1106559594241201</v>
      </c>
      <c r="BG246" s="219">
        <v>0.02</v>
      </c>
      <c r="BH246" s="219">
        <v>1.2E-2</v>
      </c>
      <c r="BI246" s="227">
        <v>0</v>
      </c>
      <c r="BJ246" s="227">
        <v>16</v>
      </c>
      <c r="BK246" s="220"/>
      <c r="BL246" s="236">
        <v>0.8</v>
      </c>
      <c r="BM246" s="233">
        <v>0.81</v>
      </c>
      <c r="BN246" s="237">
        <v>3.7500000000000001E-4</v>
      </c>
      <c r="BO246" s="238">
        <v>0.95</v>
      </c>
      <c r="BP246" s="229">
        <v>1</v>
      </c>
      <c r="BQ246" s="237">
        <v>2.5000000000000001E-3</v>
      </c>
    </row>
    <row r="247" spans="1:69" s="207" customFormat="1" ht="22.35" customHeight="1" x14ac:dyDescent="0.2">
      <c r="A247" s="216" t="s">
        <v>275</v>
      </c>
      <c r="B247" s="216" t="s">
        <v>299</v>
      </c>
      <c r="C247" s="216" t="s">
        <v>315</v>
      </c>
      <c r="D247" s="217">
        <v>8.5561773496666707</v>
      </c>
      <c r="E247" s="218"/>
      <c r="F247" s="219">
        <v>1.4999999999999999E-2</v>
      </c>
      <c r="G247" s="219">
        <v>0.01</v>
      </c>
      <c r="H247" s="220"/>
      <c r="I247" s="221">
        <v>3</v>
      </c>
      <c r="J247" s="221">
        <v>2</v>
      </c>
      <c r="K247" s="218"/>
      <c r="L247" s="222">
        <v>4780.0293099999999</v>
      </c>
      <c r="M247" s="222">
        <v>2936.8278</v>
      </c>
      <c r="N247" s="222">
        <v>7716.8571099999999</v>
      </c>
      <c r="O247" s="217">
        <v>901.90476361510105</v>
      </c>
      <c r="P247" s="223">
        <v>215.38300000000001</v>
      </c>
      <c r="Q247" s="229">
        <v>4.1874463797751096</v>
      </c>
      <c r="R247" s="230">
        <v>5704.4592904552401</v>
      </c>
      <c r="S247" s="219">
        <v>0.01</v>
      </c>
      <c r="T247" s="219">
        <v>0.01</v>
      </c>
      <c r="U247" s="226">
        <v>0</v>
      </c>
      <c r="V247" s="227">
        <v>0</v>
      </c>
      <c r="W247" s="218"/>
      <c r="X247" s="226">
        <v>4687.2063950000002</v>
      </c>
      <c r="Y247" s="217">
        <v>547.81547920843502</v>
      </c>
      <c r="Z247" s="228">
        <v>573</v>
      </c>
      <c r="AA247" s="233">
        <v>0.95604795673374299</v>
      </c>
      <c r="AB247" s="234">
        <v>-666.53067152403105</v>
      </c>
      <c r="AC247" s="219">
        <v>5.0000000000000001E-3</v>
      </c>
      <c r="AD247" s="219"/>
      <c r="AE247" s="227">
        <v>216</v>
      </c>
      <c r="AF247" s="227">
        <v>1197</v>
      </c>
      <c r="AG247" s="218"/>
      <c r="AH247" s="231">
        <v>279.89999999999998</v>
      </c>
      <c r="AI247" s="217">
        <v>32.713206910198501</v>
      </c>
      <c r="AJ247" s="232" t="s">
        <v>53</v>
      </c>
      <c r="AK247" s="224">
        <v>0.51925725254283395</v>
      </c>
      <c r="AL247" s="225">
        <v>-308.73077694766801</v>
      </c>
      <c r="AM247" s="219"/>
      <c r="AN247" s="219"/>
      <c r="AO247" s="227">
        <v>260</v>
      </c>
      <c r="AP247" s="227">
        <v>367</v>
      </c>
      <c r="AQ247" s="218"/>
      <c r="AR247" s="231">
        <v>68.5</v>
      </c>
      <c r="AS247" s="217">
        <v>8.0059116589803505</v>
      </c>
      <c r="AT247" s="232" t="s">
        <v>54</v>
      </c>
      <c r="AU247" s="224">
        <v>0.50036947868627202</v>
      </c>
      <c r="AV247" s="225">
        <v>-80.993530653376098</v>
      </c>
      <c r="AW247" s="219"/>
      <c r="AX247" s="219"/>
      <c r="AY247" s="227">
        <v>69</v>
      </c>
      <c r="AZ247" s="227">
        <v>96</v>
      </c>
      <c r="BA247" s="218"/>
      <c r="BB247" s="235">
        <v>245.6</v>
      </c>
      <c r="BC247" s="231">
        <v>28.704407349570399</v>
      </c>
      <c r="BD247" s="232" t="s">
        <v>55</v>
      </c>
      <c r="BE247" s="239">
        <v>0.89701272967407597</v>
      </c>
      <c r="BF247" s="222">
        <v>-53.387061306752102</v>
      </c>
      <c r="BG247" s="219"/>
      <c r="BH247" s="219"/>
      <c r="BI247" s="227">
        <v>29</v>
      </c>
      <c r="BJ247" s="227">
        <v>83</v>
      </c>
      <c r="BK247" s="220"/>
      <c r="BL247" s="236">
        <v>0.8</v>
      </c>
      <c r="BM247" s="239">
        <v>0.78</v>
      </c>
      <c r="BN247" s="237"/>
      <c r="BO247" s="238">
        <v>0.95</v>
      </c>
      <c r="BP247" s="229">
        <v>1</v>
      </c>
      <c r="BQ247" s="237">
        <v>2.5000000000000001E-3</v>
      </c>
    </row>
    <row r="248" spans="1:69" s="207" customFormat="1" ht="22.35" customHeight="1" x14ac:dyDescent="0.2">
      <c r="A248" s="216" t="s">
        <v>275</v>
      </c>
      <c r="B248" s="216" t="s">
        <v>299</v>
      </c>
      <c r="C248" s="216" t="s">
        <v>316</v>
      </c>
      <c r="D248" s="217">
        <v>7.66372503566667</v>
      </c>
      <c r="E248" s="218"/>
      <c r="F248" s="219">
        <v>0.01</v>
      </c>
      <c r="G248" s="219">
        <v>0.01</v>
      </c>
      <c r="H248" s="220"/>
      <c r="I248" s="221">
        <v>2</v>
      </c>
      <c r="J248" s="221">
        <v>2</v>
      </c>
      <c r="K248" s="218"/>
      <c r="L248" s="222">
        <v>4769.5723099999996</v>
      </c>
      <c r="M248" s="222">
        <v>2064.6492899999998</v>
      </c>
      <c r="N248" s="222">
        <v>6834.2215999999999</v>
      </c>
      <c r="O248" s="217">
        <v>891.76236989111806</v>
      </c>
      <c r="P248" s="223">
        <v>245.339</v>
      </c>
      <c r="Q248" s="229">
        <v>3.6348170078590001</v>
      </c>
      <c r="R248" s="230">
        <v>4781.0315849142398</v>
      </c>
      <c r="S248" s="219">
        <v>0.01</v>
      </c>
      <c r="T248" s="219">
        <v>0.01</v>
      </c>
      <c r="U248" s="226">
        <v>0</v>
      </c>
      <c r="V248" s="227">
        <v>0</v>
      </c>
      <c r="W248" s="218"/>
      <c r="X248" s="226">
        <v>3412.0310599999998</v>
      </c>
      <c r="Y248" s="217">
        <v>445.21835584138898</v>
      </c>
      <c r="Z248" s="228">
        <v>573</v>
      </c>
      <c r="AA248" s="239">
        <v>0.77699538541254498</v>
      </c>
      <c r="AB248" s="222">
        <v>-1383.28431441721</v>
      </c>
      <c r="AC248" s="219"/>
      <c r="AD248" s="219"/>
      <c r="AE248" s="227">
        <v>980</v>
      </c>
      <c r="AF248" s="227">
        <v>1858</v>
      </c>
      <c r="AG248" s="218"/>
      <c r="AH248" s="231">
        <v>311.8</v>
      </c>
      <c r="AI248" s="217">
        <v>40.685175753161197</v>
      </c>
      <c r="AJ248" s="232" t="s">
        <v>53</v>
      </c>
      <c r="AK248" s="224">
        <v>0.64579644052636798</v>
      </c>
      <c r="AL248" s="225">
        <v>-215.43362755372399</v>
      </c>
      <c r="AM248" s="219"/>
      <c r="AN248" s="219"/>
      <c r="AO248" s="227">
        <v>172</v>
      </c>
      <c r="AP248" s="227">
        <v>268</v>
      </c>
      <c r="AQ248" s="218"/>
      <c r="AR248" s="231">
        <v>35.4</v>
      </c>
      <c r="AS248" s="217">
        <v>4.6191636358624297</v>
      </c>
      <c r="AT248" s="232" t="s">
        <v>54</v>
      </c>
      <c r="AU248" s="224">
        <v>0.28869772724140202</v>
      </c>
      <c r="AV248" s="225">
        <v>-98.500603823168007</v>
      </c>
      <c r="AW248" s="219"/>
      <c r="AX248" s="219"/>
      <c r="AY248" s="227">
        <v>88</v>
      </c>
      <c r="AZ248" s="227">
        <v>112</v>
      </c>
      <c r="BA248" s="218"/>
      <c r="BB248" s="235">
        <v>186.2</v>
      </c>
      <c r="BC248" s="231">
        <v>24.2962787852425</v>
      </c>
      <c r="BD248" s="232" t="s">
        <v>55</v>
      </c>
      <c r="BE248" s="239">
        <v>0.759258712038828</v>
      </c>
      <c r="BF248" s="222">
        <v>-81.601207646336107</v>
      </c>
      <c r="BG248" s="219"/>
      <c r="BH248" s="219"/>
      <c r="BI248" s="227">
        <v>60</v>
      </c>
      <c r="BJ248" s="227">
        <v>109</v>
      </c>
      <c r="BK248" s="220"/>
      <c r="BL248" s="236">
        <v>0.8</v>
      </c>
      <c r="BM248" s="239">
        <v>0.76</v>
      </c>
      <c r="BN248" s="237"/>
      <c r="BO248" s="238">
        <v>0.95</v>
      </c>
      <c r="BP248" s="229">
        <v>1</v>
      </c>
      <c r="BQ248" s="237">
        <v>2.5000000000000001E-3</v>
      </c>
    </row>
    <row r="249" spans="1:69" s="207" customFormat="1" ht="22.35" customHeight="1" x14ac:dyDescent="0.2">
      <c r="A249" s="216" t="s">
        <v>275</v>
      </c>
      <c r="B249" s="216" t="s">
        <v>299</v>
      </c>
      <c r="C249" s="216" t="s">
        <v>317</v>
      </c>
      <c r="D249" s="217">
        <v>4.1744710626666697</v>
      </c>
      <c r="E249" s="218"/>
      <c r="F249" s="219">
        <v>1.7999999999999999E-2</v>
      </c>
      <c r="G249" s="219">
        <v>0.01</v>
      </c>
      <c r="H249" s="220"/>
      <c r="I249" s="221">
        <v>5</v>
      </c>
      <c r="J249" s="221">
        <v>3</v>
      </c>
      <c r="K249" s="218"/>
      <c r="L249" s="222">
        <v>1637.40444</v>
      </c>
      <c r="M249" s="222">
        <v>964.05460000000005</v>
      </c>
      <c r="N249" s="222">
        <v>2601.4590400000002</v>
      </c>
      <c r="O249" s="217">
        <v>623.18291370264706</v>
      </c>
      <c r="P249" s="223">
        <v>233.489</v>
      </c>
      <c r="Q249" s="229">
        <v>2.6690033093749501</v>
      </c>
      <c r="R249" s="230">
        <v>1537.09420324553</v>
      </c>
      <c r="S249" s="219">
        <v>0.01</v>
      </c>
      <c r="T249" s="219">
        <v>0.01</v>
      </c>
      <c r="U249" s="226">
        <v>0</v>
      </c>
      <c r="V249" s="227">
        <v>0</v>
      </c>
      <c r="W249" s="218"/>
      <c r="X249" s="226">
        <v>2254.0992249999999</v>
      </c>
      <c r="Y249" s="217">
        <v>539.97241594485399</v>
      </c>
      <c r="Z249" s="228">
        <v>573</v>
      </c>
      <c r="AA249" s="233">
        <v>0.942360237251053</v>
      </c>
      <c r="AB249" s="234">
        <v>-357.93411044753799</v>
      </c>
      <c r="AC249" s="219">
        <v>4.0000000000000001E-3</v>
      </c>
      <c r="AD249" s="219"/>
      <c r="AE249" s="227">
        <v>138</v>
      </c>
      <c r="AF249" s="227">
        <v>617</v>
      </c>
      <c r="AG249" s="218"/>
      <c r="AH249" s="231">
        <v>145.69999999999999</v>
      </c>
      <c r="AI249" s="217">
        <v>34.902625461470201</v>
      </c>
      <c r="AJ249" s="232" t="s">
        <v>53</v>
      </c>
      <c r="AK249" s="224">
        <v>0.55400992795984405</v>
      </c>
      <c r="AL249" s="225">
        <v>-141.48691122721601</v>
      </c>
      <c r="AM249" s="219"/>
      <c r="AN249" s="219"/>
      <c r="AO249" s="227">
        <v>118</v>
      </c>
      <c r="AP249" s="227">
        <v>170</v>
      </c>
      <c r="AQ249" s="218"/>
      <c r="AR249" s="231">
        <v>29.6</v>
      </c>
      <c r="AS249" s="217">
        <v>7.0907186936136997</v>
      </c>
      <c r="AT249" s="232" t="s">
        <v>54</v>
      </c>
      <c r="AU249" s="224">
        <v>0.44316991835085601</v>
      </c>
      <c r="AV249" s="225">
        <v>-43.336358406912098</v>
      </c>
      <c r="AW249" s="219"/>
      <c r="AX249" s="219"/>
      <c r="AY249" s="227">
        <v>38</v>
      </c>
      <c r="AZ249" s="227">
        <v>51</v>
      </c>
      <c r="BA249" s="218"/>
      <c r="BB249" s="235">
        <v>126.4</v>
      </c>
      <c r="BC249" s="231">
        <v>30.279285232188201</v>
      </c>
      <c r="BD249" s="232" t="s">
        <v>55</v>
      </c>
      <c r="BE249" s="233">
        <v>0.94622766350588305</v>
      </c>
      <c r="BF249" s="234">
        <v>-19.4727168138241</v>
      </c>
      <c r="BG249" s="219">
        <v>4.0000000000000001E-3</v>
      </c>
      <c r="BH249" s="219"/>
      <c r="BI249" s="227">
        <v>8</v>
      </c>
      <c r="BJ249" s="227">
        <v>34</v>
      </c>
      <c r="BK249" s="220"/>
      <c r="BL249" s="236">
        <v>0.8</v>
      </c>
      <c r="BM249" s="233">
        <v>0.82</v>
      </c>
      <c r="BN249" s="237">
        <v>7.5000000000000002E-4</v>
      </c>
      <c r="BO249" s="238">
        <v>0.95</v>
      </c>
      <c r="BP249" s="229">
        <v>1</v>
      </c>
      <c r="BQ249" s="237">
        <v>2.5000000000000001E-3</v>
      </c>
    </row>
    <row r="250" spans="1:69" s="207" customFormat="1" ht="22.35" customHeight="1" x14ac:dyDescent="0.2">
      <c r="A250" s="216" t="s">
        <v>275</v>
      </c>
      <c r="B250" s="216" t="s">
        <v>318</v>
      </c>
      <c r="C250" s="216" t="s">
        <v>319</v>
      </c>
      <c r="D250" s="217">
        <v>2.5533062174444399</v>
      </c>
      <c r="E250" s="218"/>
      <c r="F250" s="219">
        <v>7.0000000000000007E-2</v>
      </c>
      <c r="G250" s="219">
        <v>6.4000000000000001E-2</v>
      </c>
      <c r="H250" s="220"/>
      <c r="I250" s="221">
        <v>5</v>
      </c>
      <c r="J250" s="221">
        <v>5</v>
      </c>
      <c r="K250" s="218"/>
      <c r="L250" s="222">
        <v>1344.07455</v>
      </c>
      <c r="M250" s="222">
        <v>-528.81933000000004</v>
      </c>
      <c r="N250" s="222">
        <v>815.25522000000001</v>
      </c>
      <c r="O250" s="217">
        <v>319.29394697357299</v>
      </c>
      <c r="P250" s="223">
        <v>240.12899999999999</v>
      </c>
      <c r="Q250" s="229">
        <v>1.3296767444730699</v>
      </c>
      <c r="R250" s="230">
        <v>145.725047391922</v>
      </c>
      <c r="S250" s="219">
        <v>0.01</v>
      </c>
      <c r="T250" s="219">
        <v>0.01</v>
      </c>
      <c r="U250" s="226">
        <v>0</v>
      </c>
      <c r="V250" s="227">
        <v>0</v>
      </c>
      <c r="W250" s="218"/>
      <c r="X250" s="226">
        <v>1677.2307450000001</v>
      </c>
      <c r="Y250" s="217">
        <v>656.88585785010503</v>
      </c>
      <c r="Z250" s="228">
        <v>573</v>
      </c>
      <c r="AA250" s="229">
        <v>1.14639765767907</v>
      </c>
      <c r="AB250" s="230">
        <v>79.586191845534799</v>
      </c>
      <c r="AC250" s="219">
        <v>0.02</v>
      </c>
      <c r="AD250" s="219">
        <v>1.4999999999999999E-2</v>
      </c>
      <c r="AE250" s="227">
        <v>0</v>
      </c>
      <c r="AF250" s="227">
        <v>79</v>
      </c>
      <c r="AG250" s="218"/>
      <c r="AH250" s="231">
        <v>220.55</v>
      </c>
      <c r="AI250" s="217">
        <v>86.378201914513895</v>
      </c>
      <c r="AJ250" s="232" t="s">
        <v>53</v>
      </c>
      <c r="AK250" s="229">
        <v>1.37108257007165</v>
      </c>
      <c r="AL250" s="230">
        <v>44.892745464692297</v>
      </c>
      <c r="AM250" s="219">
        <v>0.02</v>
      </c>
      <c r="AN250" s="219">
        <v>0.02</v>
      </c>
      <c r="AO250" s="227">
        <v>0</v>
      </c>
      <c r="AP250" s="227">
        <v>0</v>
      </c>
      <c r="AQ250" s="218"/>
      <c r="AR250" s="231">
        <v>11.8</v>
      </c>
      <c r="AS250" s="217">
        <v>4.6214590006405096</v>
      </c>
      <c r="AT250" s="232" t="s">
        <v>54</v>
      </c>
      <c r="AU250" s="224">
        <v>0.28884118754003202</v>
      </c>
      <c r="AV250" s="225">
        <v>-32.811366231189297</v>
      </c>
      <c r="AW250" s="219"/>
      <c r="AX250" s="219"/>
      <c r="AY250" s="227">
        <v>30</v>
      </c>
      <c r="AZ250" s="227">
        <v>38</v>
      </c>
      <c r="BA250" s="218"/>
      <c r="BB250" s="235">
        <v>97.6</v>
      </c>
      <c r="BC250" s="231">
        <v>38.224949022246903</v>
      </c>
      <c r="BD250" s="232" t="s">
        <v>55</v>
      </c>
      <c r="BE250" s="229">
        <v>1.19452965694522</v>
      </c>
      <c r="BF250" s="230">
        <v>8.3772675376214902</v>
      </c>
      <c r="BG250" s="219">
        <v>0.02</v>
      </c>
      <c r="BH250" s="219">
        <v>1.9E-2</v>
      </c>
      <c r="BI250" s="227">
        <v>0</v>
      </c>
      <c r="BJ250" s="227">
        <v>1</v>
      </c>
      <c r="BK250" s="220"/>
      <c r="BL250" s="236">
        <v>0.8</v>
      </c>
      <c r="BM250" s="239">
        <v>0.76</v>
      </c>
      <c r="BN250" s="237"/>
      <c r="BO250" s="238">
        <v>0.95</v>
      </c>
      <c r="BP250" s="229">
        <v>1</v>
      </c>
      <c r="BQ250" s="237">
        <v>2.5000000000000001E-3</v>
      </c>
    </row>
    <row r="251" spans="1:69" s="207" customFormat="1" ht="22.35" customHeight="1" x14ac:dyDescent="0.2">
      <c r="A251" s="216" t="s">
        <v>275</v>
      </c>
      <c r="B251" s="216" t="s">
        <v>318</v>
      </c>
      <c r="C251" s="216" t="s">
        <v>320</v>
      </c>
      <c r="D251" s="217">
        <v>2.2514665105555598</v>
      </c>
      <c r="E251" s="218"/>
      <c r="F251" s="219">
        <v>0.01</v>
      </c>
      <c r="G251" s="219">
        <v>0.01</v>
      </c>
      <c r="H251" s="220"/>
      <c r="I251" s="221">
        <v>3</v>
      </c>
      <c r="J251" s="221">
        <v>3</v>
      </c>
      <c r="K251" s="218"/>
      <c r="L251" s="222">
        <v>920.01224999999999</v>
      </c>
      <c r="M251" s="222">
        <v>638.44590000000005</v>
      </c>
      <c r="N251" s="222">
        <v>1558.4581499999999</v>
      </c>
      <c r="O251" s="217">
        <v>692.19690485888998</v>
      </c>
      <c r="P251" s="223">
        <v>255.477</v>
      </c>
      <c r="Q251" s="229">
        <v>2.7094294392798202</v>
      </c>
      <c r="R251" s="230">
        <v>930.34203258881496</v>
      </c>
      <c r="S251" s="219">
        <v>0.01</v>
      </c>
      <c r="T251" s="219">
        <v>0.01</v>
      </c>
      <c r="U251" s="226">
        <v>0</v>
      </c>
      <c r="V251" s="227">
        <v>0</v>
      </c>
      <c r="W251" s="218"/>
      <c r="X251" s="226">
        <v>1086.08935</v>
      </c>
      <c r="Y251" s="217">
        <v>482.39196315294299</v>
      </c>
      <c r="Z251" s="228">
        <v>573</v>
      </c>
      <c r="AA251" s="239">
        <v>0.84187079084283201</v>
      </c>
      <c r="AB251" s="222">
        <v>-322.68926911878202</v>
      </c>
      <c r="AC251" s="219"/>
      <c r="AD251" s="219"/>
      <c r="AE251" s="227">
        <v>205</v>
      </c>
      <c r="AF251" s="227">
        <v>463</v>
      </c>
      <c r="AG251" s="218"/>
      <c r="AH251" s="231">
        <v>60.3</v>
      </c>
      <c r="AI251" s="217">
        <v>26.782543607597699</v>
      </c>
      <c r="AJ251" s="232" t="s">
        <v>53</v>
      </c>
      <c r="AK251" s="224">
        <v>0.425119739803138</v>
      </c>
      <c r="AL251" s="225">
        <v>-94.591890060180305</v>
      </c>
      <c r="AM251" s="219"/>
      <c r="AN251" s="219"/>
      <c r="AO251" s="227">
        <v>82</v>
      </c>
      <c r="AP251" s="227">
        <v>110</v>
      </c>
      <c r="AQ251" s="218"/>
      <c r="AR251" s="231">
        <v>7.8</v>
      </c>
      <c r="AS251" s="217">
        <v>3.4644086258584101</v>
      </c>
      <c r="AT251" s="232" t="s">
        <v>54</v>
      </c>
      <c r="AU251" s="224">
        <v>0.21652553911615099</v>
      </c>
      <c r="AV251" s="225">
        <v>-31.537622872426699</v>
      </c>
      <c r="AW251" s="219"/>
      <c r="AX251" s="219"/>
      <c r="AY251" s="227">
        <v>29</v>
      </c>
      <c r="AZ251" s="227">
        <v>36</v>
      </c>
      <c r="BA251" s="218"/>
      <c r="BB251" s="235">
        <v>61.6</v>
      </c>
      <c r="BC251" s="231">
        <v>27.359945045240799</v>
      </c>
      <c r="BD251" s="232" t="s">
        <v>55</v>
      </c>
      <c r="BE251" s="239">
        <v>0.85499828266377398</v>
      </c>
      <c r="BF251" s="222">
        <v>-17.0752457448535</v>
      </c>
      <c r="BG251" s="219"/>
      <c r="BH251" s="219"/>
      <c r="BI251" s="227">
        <v>11</v>
      </c>
      <c r="BJ251" s="227">
        <v>25</v>
      </c>
      <c r="BK251" s="220"/>
      <c r="BL251" s="236">
        <v>0.8</v>
      </c>
      <c r="BM251" s="233">
        <v>0.91</v>
      </c>
      <c r="BN251" s="237">
        <v>4.1250000000000002E-3</v>
      </c>
      <c r="BO251" s="238">
        <v>0.95</v>
      </c>
      <c r="BP251" s="229">
        <v>1</v>
      </c>
      <c r="BQ251" s="237">
        <v>2.5000000000000001E-3</v>
      </c>
    </row>
    <row r="252" spans="1:69" s="207" customFormat="1" ht="22.35" customHeight="1" x14ac:dyDescent="0.2">
      <c r="A252" s="216" t="s">
        <v>275</v>
      </c>
      <c r="B252" s="216" t="s">
        <v>318</v>
      </c>
      <c r="C252" s="216" t="s">
        <v>321</v>
      </c>
      <c r="D252" s="217">
        <v>2.8395425426666701</v>
      </c>
      <c r="E252" s="218"/>
      <c r="F252" s="219">
        <v>0.01</v>
      </c>
      <c r="G252" s="219">
        <v>0.01</v>
      </c>
      <c r="H252" s="220"/>
      <c r="I252" s="221">
        <v>3</v>
      </c>
      <c r="J252" s="221">
        <v>3</v>
      </c>
      <c r="K252" s="218"/>
      <c r="L252" s="222">
        <v>698.95641999999998</v>
      </c>
      <c r="M252" s="222">
        <v>1764.1675399999999</v>
      </c>
      <c r="N252" s="222">
        <v>2463.1239599999999</v>
      </c>
      <c r="O252" s="217">
        <v>867.43689273513598</v>
      </c>
      <c r="P252" s="223">
        <v>222.37200000000001</v>
      </c>
      <c r="Q252" s="229">
        <v>3.9008368532690101</v>
      </c>
      <c r="R252" s="230">
        <v>1773.5972083067199</v>
      </c>
      <c r="S252" s="219">
        <v>0.01</v>
      </c>
      <c r="T252" s="219">
        <v>0.01</v>
      </c>
      <c r="U252" s="226">
        <v>0</v>
      </c>
      <c r="V252" s="227">
        <v>0</v>
      </c>
      <c r="W252" s="218"/>
      <c r="X252" s="226">
        <v>906.45474999999999</v>
      </c>
      <c r="Y252" s="217">
        <v>319.22562750151002</v>
      </c>
      <c r="Z252" s="228">
        <v>573</v>
      </c>
      <c r="AA252" s="224">
        <v>0.55711278796075003</v>
      </c>
      <c r="AB252" s="225">
        <v>-870.29245162721804</v>
      </c>
      <c r="AC252" s="219"/>
      <c r="AD252" s="219"/>
      <c r="AE252" s="227">
        <v>721</v>
      </c>
      <c r="AF252" s="227">
        <v>1047</v>
      </c>
      <c r="AG252" s="218"/>
      <c r="AH252" s="231">
        <v>107.05</v>
      </c>
      <c r="AI252" s="217">
        <v>37.699734514090899</v>
      </c>
      <c r="AJ252" s="232" t="s">
        <v>53</v>
      </c>
      <c r="AK252" s="224">
        <v>0.59840848435064897</v>
      </c>
      <c r="AL252" s="225">
        <v>-88.299168765296201</v>
      </c>
      <c r="AM252" s="219"/>
      <c r="AN252" s="219"/>
      <c r="AO252" s="227">
        <v>72</v>
      </c>
      <c r="AP252" s="227">
        <v>108</v>
      </c>
      <c r="AQ252" s="218"/>
      <c r="AR252" s="231">
        <v>7</v>
      </c>
      <c r="AS252" s="217">
        <v>2.4651858159611102</v>
      </c>
      <c r="AT252" s="232" t="s">
        <v>54</v>
      </c>
      <c r="AU252" s="224">
        <v>0.154074113497569</v>
      </c>
      <c r="AV252" s="225">
        <v>-42.612487305472101</v>
      </c>
      <c r="AW252" s="219"/>
      <c r="AX252" s="219"/>
      <c r="AY252" s="227">
        <v>39</v>
      </c>
      <c r="AZ252" s="227">
        <v>48</v>
      </c>
      <c r="BA252" s="218"/>
      <c r="BB252" s="235">
        <v>53.4</v>
      </c>
      <c r="BC252" s="231">
        <v>18.8058460817604</v>
      </c>
      <c r="BD252" s="232" t="s">
        <v>55</v>
      </c>
      <c r="BE252" s="224">
        <v>0.58768269005501295</v>
      </c>
      <c r="BF252" s="225">
        <v>-45.824974610944103</v>
      </c>
      <c r="BG252" s="219"/>
      <c r="BH252" s="219"/>
      <c r="BI252" s="227">
        <v>38</v>
      </c>
      <c r="BJ252" s="227">
        <v>56</v>
      </c>
      <c r="BK252" s="220"/>
      <c r="BL252" s="236">
        <v>0.8</v>
      </c>
      <c r="BM252" s="233">
        <v>0.83</v>
      </c>
      <c r="BN252" s="237">
        <v>1.1249999999999999E-3</v>
      </c>
      <c r="BO252" s="238">
        <v>0.95</v>
      </c>
      <c r="BP252" s="229">
        <v>1</v>
      </c>
      <c r="BQ252" s="237">
        <v>2.5000000000000001E-3</v>
      </c>
    </row>
    <row r="253" spans="1:69" s="207" customFormat="1" ht="22.35" customHeight="1" x14ac:dyDescent="0.2">
      <c r="A253" s="216" t="s">
        <v>275</v>
      </c>
      <c r="B253" s="216" t="s">
        <v>318</v>
      </c>
      <c r="C253" s="216" t="s">
        <v>322</v>
      </c>
      <c r="D253" s="217">
        <v>2.59845626488889</v>
      </c>
      <c r="E253" s="218"/>
      <c r="F253" s="219">
        <v>4.9000000000000002E-2</v>
      </c>
      <c r="G253" s="219">
        <v>0.03</v>
      </c>
      <c r="H253" s="220"/>
      <c r="I253" s="221">
        <v>6</v>
      </c>
      <c r="J253" s="221">
        <v>5</v>
      </c>
      <c r="K253" s="218"/>
      <c r="L253" s="222">
        <v>597.92957999999999</v>
      </c>
      <c r="M253" s="222">
        <v>239.04721000000001</v>
      </c>
      <c r="N253" s="222">
        <v>836.97679000000005</v>
      </c>
      <c r="O253" s="217">
        <v>322.105398235667</v>
      </c>
      <c r="P253" s="223">
        <v>286.47199999999998</v>
      </c>
      <c r="Q253" s="229">
        <v>1.12438701944926</v>
      </c>
      <c r="R253" s="230">
        <v>24.1084102781467</v>
      </c>
      <c r="S253" s="219">
        <v>0.01</v>
      </c>
      <c r="T253" s="219">
        <v>6.0000000000000001E-3</v>
      </c>
      <c r="U253" s="226">
        <v>0</v>
      </c>
      <c r="V253" s="227">
        <v>57</v>
      </c>
      <c r="W253" s="218"/>
      <c r="X253" s="226">
        <v>1959.1198750000001</v>
      </c>
      <c r="Y253" s="217">
        <v>753.95530087314103</v>
      </c>
      <c r="Z253" s="228">
        <v>573</v>
      </c>
      <c r="AA253" s="229">
        <v>1.31580331740513</v>
      </c>
      <c r="AB253" s="230">
        <v>333.22421475878298</v>
      </c>
      <c r="AC253" s="219">
        <v>0.02</v>
      </c>
      <c r="AD253" s="219">
        <v>0.02</v>
      </c>
      <c r="AE253" s="227">
        <v>0</v>
      </c>
      <c r="AF253" s="227">
        <v>0</v>
      </c>
      <c r="AG253" s="218"/>
      <c r="AH253" s="231">
        <v>154.9</v>
      </c>
      <c r="AI253" s="217">
        <v>59.612317549098201</v>
      </c>
      <c r="AJ253" s="232" t="s">
        <v>53</v>
      </c>
      <c r="AK253" s="233">
        <v>0.94622726268409796</v>
      </c>
      <c r="AL253" s="234">
        <v>-23.863397199296099</v>
      </c>
      <c r="AM253" s="219">
        <v>4.0000000000000001E-3</v>
      </c>
      <c r="AN253" s="219"/>
      <c r="AO253" s="227">
        <v>9</v>
      </c>
      <c r="AP253" s="227">
        <v>42</v>
      </c>
      <c r="AQ253" s="218"/>
      <c r="AR253" s="231">
        <v>21.6</v>
      </c>
      <c r="AS253" s="217">
        <v>8.3126278828955495</v>
      </c>
      <c r="AT253" s="232" t="s">
        <v>54</v>
      </c>
      <c r="AU253" s="224">
        <v>0.51953924268097196</v>
      </c>
      <c r="AV253" s="225">
        <v>-23.800227860138701</v>
      </c>
      <c r="AW253" s="219"/>
      <c r="AX253" s="219"/>
      <c r="AY253" s="227">
        <v>20</v>
      </c>
      <c r="AZ253" s="227">
        <v>29</v>
      </c>
      <c r="BA253" s="218"/>
      <c r="BB253" s="235">
        <v>86.8</v>
      </c>
      <c r="BC253" s="231">
        <v>33.404449084969201</v>
      </c>
      <c r="BD253" s="232" t="s">
        <v>55</v>
      </c>
      <c r="BE253" s="233">
        <v>1.04388903390529</v>
      </c>
      <c r="BF253" s="234">
        <v>-4.0004557202774</v>
      </c>
      <c r="BG253" s="219">
        <v>1.4999999999999999E-2</v>
      </c>
      <c r="BH253" s="219">
        <v>4.0000000000000001E-3</v>
      </c>
      <c r="BI253" s="227">
        <v>0</v>
      </c>
      <c r="BJ253" s="227">
        <v>13</v>
      </c>
      <c r="BK253" s="220"/>
      <c r="BL253" s="236">
        <v>0.8</v>
      </c>
      <c r="BM253" s="233">
        <v>0.86</v>
      </c>
      <c r="BN253" s="237">
        <v>2.2499999999999998E-3</v>
      </c>
      <c r="BO253" s="238">
        <v>0.95</v>
      </c>
      <c r="BP253" s="229">
        <v>1</v>
      </c>
      <c r="BQ253" s="237">
        <v>2.5000000000000001E-3</v>
      </c>
    </row>
    <row r="254" spans="1:69" s="207" customFormat="1" ht="22.35" customHeight="1" x14ac:dyDescent="0.2">
      <c r="A254" s="216" t="s">
        <v>275</v>
      </c>
      <c r="B254" s="216" t="s">
        <v>318</v>
      </c>
      <c r="C254" s="216" t="s">
        <v>323</v>
      </c>
      <c r="D254" s="217">
        <v>3.4220960403333298</v>
      </c>
      <c r="E254" s="218"/>
      <c r="F254" s="219">
        <v>0.05</v>
      </c>
      <c r="G254" s="219">
        <v>0.05</v>
      </c>
      <c r="H254" s="220"/>
      <c r="I254" s="221">
        <v>4</v>
      </c>
      <c r="J254" s="221">
        <v>4</v>
      </c>
      <c r="K254" s="218"/>
      <c r="L254" s="222">
        <v>2655.21639</v>
      </c>
      <c r="M254" s="222">
        <v>2103.4872300000002</v>
      </c>
      <c r="N254" s="222">
        <v>4758.7036200000002</v>
      </c>
      <c r="O254" s="217">
        <v>1390.58155116432</v>
      </c>
      <c r="P254" s="223">
        <v>237.096</v>
      </c>
      <c r="Q254" s="229">
        <v>5.8650569860491997</v>
      </c>
      <c r="R254" s="230">
        <v>3872.69273120547</v>
      </c>
      <c r="S254" s="219">
        <v>0.01</v>
      </c>
      <c r="T254" s="219">
        <v>0.01</v>
      </c>
      <c r="U254" s="226">
        <v>0</v>
      </c>
      <c r="V254" s="227">
        <v>0</v>
      </c>
      <c r="W254" s="218"/>
      <c r="X254" s="226">
        <v>2392.0116149999999</v>
      </c>
      <c r="Y254" s="217">
        <v>698.99020565390197</v>
      </c>
      <c r="Z254" s="228">
        <v>573</v>
      </c>
      <c r="AA254" s="229">
        <v>1.21987819485847</v>
      </c>
      <c r="AB254" s="230">
        <v>250.751369026791</v>
      </c>
      <c r="AC254" s="219">
        <v>0.02</v>
      </c>
      <c r="AD254" s="219">
        <v>0.02</v>
      </c>
      <c r="AE254" s="227">
        <v>0</v>
      </c>
      <c r="AF254" s="227">
        <v>0</v>
      </c>
      <c r="AG254" s="218"/>
      <c r="AH254" s="231">
        <v>118.25</v>
      </c>
      <c r="AI254" s="217">
        <v>34.554845511723798</v>
      </c>
      <c r="AJ254" s="232" t="s">
        <v>53</v>
      </c>
      <c r="AK254" s="224">
        <v>0.54848961129720297</v>
      </c>
      <c r="AL254" s="225">
        <v>-117.176519190772</v>
      </c>
      <c r="AM254" s="219"/>
      <c r="AN254" s="219"/>
      <c r="AO254" s="227">
        <v>98</v>
      </c>
      <c r="AP254" s="227">
        <v>141</v>
      </c>
      <c r="AQ254" s="218"/>
      <c r="AR254" s="231">
        <v>15</v>
      </c>
      <c r="AS254" s="217">
        <v>4.3832785004300803</v>
      </c>
      <c r="AT254" s="232" t="s">
        <v>54</v>
      </c>
      <c r="AU254" s="224">
        <v>0.27395490627688002</v>
      </c>
      <c r="AV254" s="225">
        <v>-44.790862016703898</v>
      </c>
      <c r="AW254" s="219"/>
      <c r="AX254" s="219"/>
      <c r="AY254" s="227">
        <v>40</v>
      </c>
      <c r="AZ254" s="227">
        <v>51</v>
      </c>
      <c r="BA254" s="218"/>
      <c r="BB254" s="235">
        <v>144.6</v>
      </c>
      <c r="BC254" s="231">
        <v>42.2548047441459</v>
      </c>
      <c r="BD254" s="232" t="s">
        <v>55</v>
      </c>
      <c r="BE254" s="229">
        <v>1.3204626482545601</v>
      </c>
      <c r="BF254" s="230">
        <v>25.0182759665921</v>
      </c>
      <c r="BG254" s="219">
        <v>0.02</v>
      </c>
      <c r="BH254" s="219">
        <v>0.02</v>
      </c>
      <c r="BI254" s="227">
        <v>0</v>
      </c>
      <c r="BJ254" s="227">
        <v>0</v>
      </c>
      <c r="BK254" s="220"/>
      <c r="BL254" s="236">
        <v>0.8</v>
      </c>
      <c r="BM254" s="239">
        <v>0.77</v>
      </c>
      <c r="BN254" s="237"/>
      <c r="BO254" s="238">
        <v>0.95</v>
      </c>
      <c r="BP254" s="229">
        <v>1</v>
      </c>
      <c r="BQ254" s="237">
        <v>2.5000000000000001E-3</v>
      </c>
    </row>
    <row r="255" spans="1:69" s="207" customFormat="1" ht="22.35" customHeight="1" x14ac:dyDescent="0.2">
      <c r="A255" s="216" t="s">
        <v>275</v>
      </c>
      <c r="B255" s="216" t="s">
        <v>318</v>
      </c>
      <c r="C255" s="216" t="s">
        <v>324</v>
      </c>
      <c r="D255" s="217">
        <v>2.6425147733333301</v>
      </c>
      <c r="E255" s="218"/>
      <c r="F255" s="219">
        <v>0.08</v>
      </c>
      <c r="G255" s="219">
        <v>7.5999999999999998E-2</v>
      </c>
      <c r="H255" s="220"/>
      <c r="I255" s="221">
        <v>6</v>
      </c>
      <c r="J255" s="221">
        <v>6</v>
      </c>
      <c r="K255" s="218"/>
      <c r="L255" s="222">
        <v>2005.5875100000001</v>
      </c>
      <c r="M255" s="222">
        <v>854.26978999999994</v>
      </c>
      <c r="N255" s="222">
        <v>2859.8573000000001</v>
      </c>
      <c r="O255" s="217">
        <v>1082.2483676761101</v>
      </c>
      <c r="P255" s="223">
        <v>265.19900000000001</v>
      </c>
      <c r="Q255" s="229">
        <v>4.0808915858510399</v>
      </c>
      <c r="R255" s="230">
        <v>2094.5921352924402</v>
      </c>
      <c r="S255" s="219">
        <v>0.01</v>
      </c>
      <c r="T255" s="219">
        <v>0.01</v>
      </c>
      <c r="U255" s="226">
        <v>0</v>
      </c>
      <c r="V255" s="227">
        <v>0</v>
      </c>
      <c r="W255" s="218"/>
      <c r="X255" s="226">
        <v>1962.0951299999999</v>
      </c>
      <c r="Y255" s="217">
        <v>742.51056221152703</v>
      </c>
      <c r="Z255" s="228">
        <v>573</v>
      </c>
      <c r="AA255" s="229">
        <v>1.2958299515035401</v>
      </c>
      <c r="AB255" s="230">
        <v>308.631356088963</v>
      </c>
      <c r="AC255" s="219">
        <v>0.02</v>
      </c>
      <c r="AD255" s="219">
        <v>0.02</v>
      </c>
      <c r="AE255" s="227">
        <v>0</v>
      </c>
      <c r="AF255" s="227">
        <v>0</v>
      </c>
      <c r="AG255" s="218"/>
      <c r="AH255" s="231">
        <v>192.8</v>
      </c>
      <c r="AI255" s="217">
        <v>72.960803075018305</v>
      </c>
      <c r="AJ255" s="232" t="s">
        <v>53</v>
      </c>
      <c r="AK255" s="229">
        <v>1.1581079853177501</v>
      </c>
      <c r="AL255" s="230">
        <v>11.005553653760201</v>
      </c>
      <c r="AM255" s="219">
        <v>0.02</v>
      </c>
      <c r="AN255" s="219">
        <v>1.6E-2</v>
      </c>
      <c r="AO255" s="227">
        <v>0</v>
      </c>
      <c r="AP255" s="227">
        <v>7</v>
      </c>
      <c r="AQ255" s="218"/>
      <c r="AR255" s="231">
        <v>56.2</v>
      </c>
      <c r="AS255" s="217">
        <v>21.267619983485599</v>
      </c>
      <c r="AT255" s="232" t="s">
        <v>54</v>
      </c>
      <c r="AU255" s="229">
        <v>1.3292262489678499</v>
      </c>
      <c r="AV255" s="230">
        <v>10.029981880320101</v>
      </c>
      <c r="AW255" s="219">
        <v>0.01</v>
      </c>
      <c r="AX255" s="219">
        <v>0.01</v>
      </c>
      <c r="AY255" s="227">
        <v>0</v>
      </c>
      <c r="AZ255" s="227">
        <v>0</v>
      </c>
      <c r="BA255" s="218"/>
      <c r="BB255" s="235">
        <v>168.8</v>
      </c>
      <c r="BC255" s="231">
        <v>63.878545430825199</v>
      </c>
      <c r="BD255" s="232" t="s">
        <v>55</v>
      </c>
      <c r="BE255" s="229">
        <v>1.9962045447132899</v>
      </c>
      <c r="BF255" s="230">
        <v>76.459963760640093</v>
      </c>
      <c r="BG255" s="219">
        <v>0.02</v>
      </c>
      <c r="BH255" s="219">
        <v>0.02</v>
      </c>
      <c r="BI255" s="227">
        <v>0</v>
      </c>
      <c r="BJ255" s="227">
        <v>0</v>
      </c>
      <c r="BK255" s="220"/>
      <c r="BL255" s="236">
        <v>0.8</v>
      </c>
      <c r="BM255" s="239">
        <v>0.78</v>
      </c>
      <c r="BN255" s="237"/>
      <c r="BO255" s="238">
        <v>0.95</v>
      </c>
      <c r="BP255" s="229">
        <v>1</v>
      </c>
      <c r="BQ255" s="237">
        <v>2.5000000000000001E-3</v>
      </c>
    </row>
    <row r="256" spans="1:69" s="207" customFormat="1" ht="22.35" customHeight="1" x14ac:dyDescent="0.2">
      <c r="A256" s="216" t="s">
        <v>275</v>
      </c>
      <c r="B256" s="216" t="s">
        <v>318</v>
      </c>
      <c r="C256" s="216" t="s">
        <v>325</v>
      </c>
      <c r="D256" s="217">
        <v>3.04966082633333</v>
      </c>
      <c r="E256" s="218"/>
      <c r="F256" s="219">
        <v>3.7999999999999999E-2</v>
      </c>
      <c r="G256" s="219">
        <v>1.7000000000000001E-2</v>
      </c>
      <c r="H256" s="220"/>
      <c r="I256" s="221">
        <v>5</v>
      </c>
      <c r="J256" s="221">
        <v>4</v>
      </c>
      <c r="K256" s="218"/>
      <c r="L256" s="222">
        <v>687.19646</v>
      </c>
      <c r="M256" s="222">
        <v>2370.8344400000001</v>
      </c>
      <c r="N256" s="222">
        <v>3058.0309000000002</v>
      </c>
      <c r="O256" s="217">
        <v>1002.74459165898</v>
      </c>
      <c r="P256" s="223">
        <v>266.08300000000003</v>
      </c>
      <c r="Q256" s="229">
        <v>3.7685406119856601</v>
      </c>
      <c r="R256" s="230">
        <v>2171.9134113946502</v>
      </c>
      <c r="S256" s="219">
        <v>0.01</v>
      </c>
      <c r="T256" s="219">
        <v>0.01</v>
      </c>
      <c r="U256" s="226">
        <v>0</v>
      </c>
      <c r="V256" s="227">
        <v>0</v>
      </c>
      <c r="W256" s="218"/>
      <c r="X256" s="226">
        <v>1874.3177499999999</v>
      </c>
      <c r="Y256" s="217">
        <v>614.59875597166899</v>
      </c>
      <c r="Z256" s="228">
        <v>573</v>
      </c>
      <c r="AA256" s="233">
        <v>1.0725981779610301</v>
      </c>
      <c r="AB256" s="234">
        <v>-33.903823609985899</v>
      </c>
      <c r="AC256" s="219">
        <v>1.7999999999999999E-2</v>
      </c>
      <c r="AD256" s="219">
        <v>7.0000000000000001E-3</v>
      </c>
      <c r="AE256" s="227">
        <v>0</v>
      </c>
      <c r="AF256" s="227">
        <v>223</v>
      </c>
      <c r="AG256" s="218"/>
      <c r="AH256" s="231">
        <v>114.25</v>
      </c>
      <c r="AI256" s="217">
        <v>37.463182467200802</v>
      </c>
      <c r="AJ256" s="232" t="s">
        <v>53</v>
      </c>
      <c r="AK256" s="224">
        <v>0.594653689955568</v>
      </c>
      <c r="AL256" s="225">
        <v>-95.554466208427797</v>
      </c>
      <c r="AM256" s="219"/>
      <c r="AN256" s="219"/>
      <c r="AO256" s="227">
        <v>78</v>
      </c>
      <c r="AP256" s="227">
        <v>117</v>
      </c>
      <c r="AQ256" s="218"/>
      <c r="AR256" s="231">
        <v>5.5</v>
      </c>
      <c r="AS256" s="217">
        <v>1.8034792434976299</v>
      </c>
      <c r="AT256" s="232" t="s">
        <v>54</v>
      </c>
      <c r="AU256" s="224">
        <v>0.11271745271860199</v>
      </c>
      <c r="AV256" s="225">
        <v>-47.783673957695903</v>
      </c>
      <c r="AW256" s="219"/>
      <c r="AX256" s="219"/>
      <c r="AY256" s="227">
        <v>44</v>
      </c>
      <c r="AZ256" s="227">
        <v>54</v>
      </c>
      <c r="BA256" s="218"/>
      <c r="BB256" s="235">
        <v>97.4</v>
      </c>
      <c r="BC256" s="231">
        <v>31.937977875758001</v>
      </c>
      <c r="BD256" s="232" t="s">
        <v>55</v>
      </c>
      <c r="BE256" s="233">
        <v>0.99806180861743898</v>
      </c>
      <c r="BF256" s="234">
        <v>-9.1673479153918898</v>
      </c>
      <c r="BG256" s="219">
        <v>0.01</v>
      </c>
      <c r="BH256" s="219">
        <v>0</v>
      </c>
      <c r="BI256" s="227">
        <v>1</v>
      </c>
      <c r="BJ256" s="227">
        <v>20</v>
      </c>
      <c r="BK256" s="220"/>
      <c r="BL256" s="236">
        <v>0.8</v>
      </c>
      <c r="BM256" s="233">
        <v>0.85</v>
      </c>
      <c r="BN256" s="237">
        <v>1.8749999999999999E-3</v>
      </c>
      <c r="BO256" s="238">
        <v>0.95</v>
      </c>
      <c r="BP256" s="229">
        <v>1</v>
      </c>
      <c r="BQ256" s="237">
        <v>2.5000000000000001E-3</v>
      </c>
    </row>
    <row r="257" spans="1:69" s="207" customFormat="1" ht="22.35" customHeight="1" x14ac:dyDescent="0.2">
      <c r="A257" s="216" t="s">
        <v>275</v>
      </c>
      <c r="B257" s="216" t="s">
        <v>318</v>
      </c>
      <c r="C257" s="216" t="s">
        <v>326</v>
      </c>
      <c r="D257" s="217">
        <v>2.8493458841111101</v>
      </c>
      <c r="E257" s="218"/>
      <c r="F257" s="219">
        <v>0.05</v>
      </c>
      <c r="G257" s="219">
        <v>3.9E-2</v>
      </c>
      <c r="H257" s="220"/>
      <c r="I257" s="221">
        <v>5</v>
      </c>
      <c r="J257" s="221">
        <v>5</v>
      </c>
      <c r="K257" s="218"/>
      <c r="L257" s="222">
        <v>2423.97183</v>
      </c>
      <c r="M257" s="222">
        <v>2422.7262300000002</v>
      </c>
      <c r="N257" s="222">
        <v>4846.6980599999997</v>
      </c>
      <c r="O257" s="217">
        <v>1700.98621126581</v>
      </c>
      <c r="P257" s="223">
        <v>263.75299999999999</v>
      </c>
      <c r="Q257" s="229">
        <v>6.44916346455134</v>
      </c>
      <c r="R257" s="230">
        <v>4026.0343707306201</v>
      </c>
      <c r="S257" s="219">
        <v>0.01</v>
      </c>
      <c r="T257" s="219">
        <v>0.01</v>
      </c>
      <c r="U257" s="226">
        <v>0</v>
      </c>
      <c r="V257" s="227">
        <v>0</v>
      </c>
      <c r="W257" s="218"/>
      <c r="X257" s="226">
        <v>1820.2441100000001</v>
      </c>
      <c r="Y257" s="217">
        <v>638.82876422630204</v>
      </c>
      <c r="Z257" s="228">
        <v>573</v>
      </c>
      <c r="AA257" s="229">
        <v>1.1148844052814999</v>
      </c>
      <c r="AB257" s="230">
        <v>37.362800777532598</v>
      </c>
      <c r="AC257" s="219">
        <v>0.02</v>
      </c>
      <c r="AD257" s="219">
        <v>1.0999999999999999E-2</v>
      </c>
      <c r="AE257" s="227">
        <v>0</v>
      </c>
      <c r="AF257" s="227">
        <v>139</v>
      </c>
      <c r="AG257" s="218"/>
      <c r="AH257" s="231">
        <v>156.25</v>
      </c>
      <c r="AI257" s="217">
        <v>54.837147315565097</v>
      </c>
      <c r="AJ257" s="232" t="s">
        <v>53</v>
      </c>
      <c r="AK257" s="239">
        <v>0.87043090977087401</v>
      </c>
      <c r="AL257" s="222">
        <v>-39.773599443307901</v>
      </c>
      <c r="AM257" s="219"/>
      <c r="AN257" s="219"/>
      <c r="AO257" s="227">
        <v>24</v>
      </c>
      <c r="AP257" s="227">
        <v>60</v>
      </c>
      <c r="AQ257" s="218"/>
      <c r="AR257" s="231">
        <v>29.9</v>
      </c>
      <c r="AS257" s="217">
        <v>10.4936365103065</v>
      </c>
      <c r="AT257" s="232" t="s">
        <v>54</v>
      </c>
      <c r="AU257" s="224">
        <v>0.65585228189415801</v>
      </c>
      <c r="AV257" s="225">
        <v>-19.883771287189301</v>
      </c>
      <c r="AW257" s="219"/>
      <c r="AX257" s="219"/>
      <c r="AY257" s="227">
        <v>16</v>
      </c>
      <c r="AZ257" s="227">
        <v>25</v>
      </c>
      <c r="BA257" s="218"/>
      <c r="BB257" s="235">
        <v>108</v>
      </c>
      <c r="BC257" s="231">
        <v>37.9034362245186</v>
      </c>
      <c r="BD257" s="232" t="s">
        <v>55</v>
      </c>
      <c r="BE257" s="229">
        <v>1.18448238201621</v>
      </c>
      <c r="BF257" s="230">
        <v>8.4324574256213705</v>
      </c>
      <c r="BG257" s="219">
        <v>0.02</v>
      </c>
      <c r="BH257" s="219">
        <v>1.7999999999999999E-2</v>
      </c>
      <c r="BI257" s="227">
        <v>0</v>
      </c>
      <c r="BJ257" s="227">
        <v>2</v>
      </c>
      <c r="BK257" s="220"/>
      <c r="BL257" s="236">
        <v>0.8</v>
      </c>
      <c r="BM257" s="233">
        <v>0.87</v>
      </c>
      <c r="BN257" s="237">
        <v>2.6250000000000002E-3</v>
      </c>
      <c r="BO257" s="238">
        <v>0.95</v>
      </c>
      <c r="BP257" s="229">
        <v>1</v>
      </c>
      <c r="BQ257" s="237">
        <v>2.5000000000000001E-3</v>
      </c>
    </row>
    <row r="258" spans="1:69" s="207" customFormat="1" ht="22.35" customHeight="1" x14ac:dyDescent="0.2">
      <c r="A258" s="216" t="s">
        <v>275</v>
      </c>
      <c r="B258" s="216" t="s">
        <v>318</v>
      </c>
      <c r="C258" s="216" t="s">
        <v>327</v>
      </c>
      <c r="D258" s="217">
        <v>7.8533208782222204</v>
      </c>
      <c r="E258" s="218"/>
      <c r="F258" s="219">
        <v>3.5000000000000003E-2</v>
      </c>
      <c r="G258" s="219">
        <v>1.6E-2</v>
      </c>
      <c r="H258" s="220"/>
      <c r="I258" s="221">
        <v>5</v>
      </c>
      <c r="J258" s="221">
        <v>4</v>
      </c>
      <c r="K258" s="218"/>
      <c r="L258" s="222">
        <v>4301.7128700000003</v>
      </c>
      <c r="M258" s="222">
        <v>-1270.0618999999999</v>
      </c>
      <c r="N258" s="222">
        <v>3031.6509700000001</v>
      </c>
      <c r="O258" s="217">
        <v>386.03426716040201</v>
      </c>
      <c r="P258" s="223">
        <v>267.36500000000001</v>
      </c>
      <c r="Q258" s="229">
        <v>1.4438474264036101</v>
      </c>
      <c r="R258" s="230">
        <v>738.77514482637503</v>
      </c>
      <c r="S258" s="219">
        <v>0.01</v>
      </c>
      <c r="T258" s="219">
        <v>0.01</v>
      </c>
      <c r="U258" s="226">
        <v>0</v>
      </c>
      <c r="V258" s="227">
        <v>0</v>
      </c>
      <c r="W258" s="218"/>
      <c r="X258" s="226">
        <v>4756.6229499999999</v>
      </c>
      <c r="Y258" s="217">
        <v>605.68300006566994</v>
      </c>
      <c r="Z258" s="228">
        <v>573</v>
      </c>
      <c r="AA258" s="233">
        <v>1.0570383945299699</v>
      </c>
      <c r="AB258" s="234">
        <v>-157.32557663769501</v>
      </c>
      <c r="AC258" s="219">
        <v>1.6E-2</v>
      </c>
      <c r="AD258" s="219">
        <v>6.0000000000000001E-3</v>
      </c>
      <c r="AE258" s="227">
        <v>0</v>
      </c>
      <c r="AF258" s="227">
        <v>644</v>
      </c>
      <c r="AG258" s="218"/>
      <c r="AH258" s="231">
        <v>415.3</v>
      </c>
      <c r="AI258" s="217">
        <v>52.882087264720603</v>
      </c>
      <c r="AJ258" s="232" t="s">
        <v>53</v>
      </c>
      <c r="AK258" s="239">
        <v>0.83939821055112096</v>
      </c>
      <c r="AL258" s="222">
        <v>-124.97706313817601</v>
      </c>
      <c r="AM258" s="219"/>
      <c r="AN258" s="219"/>
      <c r="AO258" s="227">
        <v>80</v>
      </c>
      <c r="AP258" s="227">
        <v>179</v>
      </c>
      <c r="AQ258" s="218"/>
      <c r="AR258" s="231">
        <v>61.6</v>
      </c>
      <c r="AS258" s="217">
        <v>7.8438154960433204</v>
      </c>
      <c r="AT258" s="232" t="s">
        <v>54</v>
      </c>
      <c r="AU258" s="224">
        <v>0.49023846850270802</v>
      </c>
      <c r="AV258" s="225">
        <v>-75.613222384298595</v>
      </c>
      <c r="AW258" s="219"/>
      <c r="AX258" s="219"/>
      <c r="AY258" s="227">
        <v>65</v>
      </c>
      <c r="AZ258" s="227">
        <v>90</v>
      </c>
      <c r="BA258" s="218"/>
      <c r="BB258" s="235">
        <v>250.2</v>
      </c>
      <c r="BC258" s="231">
        <v>31.859133719318798</v>
      </c>
      <c r="BD258" s="232" t="s">
        <v>55</v>
      </c>
      <c r="BE258" s="233">
        <v>0.995597928728713</v>
      </c>
      <c r="BF258" s="234">
        <v>-24.226444768597201</v>
      </c>
      <c r="BG258" s="219">
        <v>8.9999999999999993E-3</v>
      </c>
      <c r="BH258" s="219">
        <v>0</v>
      </c>
      <c r="BI258" s="227">
        <v>2</v>
      </c>
      <c r="BJ258" s="227">
        <v>52</v>
      </c>
      <c r="BK258" s="220"/>
      <c r="BL258" s="236">
        <v>0.8</v>
      </c>
      <c r="BM258" s="233">
        <v>0.81</v>
      </c>
      <c r="BN258" s="237">
        <v>3.7500000000000001E-4</v>
      </c>
      <c r="BO258" s="238">
        <v>0.95</v>
      </c>
      <c r="BP258" s="229">
        <v>1</v>
      </c>
      <c r="BQ258" s="237">
        <v>2.5000000000000001E-3</v>
      </c>
    </row>
    <row r="259" spans="1:69" s="207" customFormat="1" ht="22.35" customHeight="1" x14ac:dyDescent="0.2">
      <c r="A259" s="216" t="s">
        <v>275</v>
      </c>
      <c r="B259" s="216" t="s">
        <v>318</v>
      </c>
      <c r="C259" s="216" t="s">
        <v>328</v>
      </c>
      <c r="D259" s="217">
        <v>8.9100383940000007</v>
      </c>
      <c r="E259" s="218"/>
      <c r="F259" s="219">
        <v>3.0000000000000001E-3</v>
      </c>
      <c r="G259" s="219"/>
      <c r="H259" s="220"/>
      <c r="I259" s="221">
        <v>2</v>
      </c>
      <c r="J259" s="221">
        <v>1</v>
      </c>
      <c r="K259" s="218"/>
      <c r="L259" s="222">
        <v>4024.8695699999998</v>
      </c>
      <c r="M259" s="222">
        <v>-1955.86383</v>
      </c>
      <c r="N259" s="222">
        <v>2069.0057400000001</v>
      </c>
      <c r="O259" s="217">
        <v>232.21064248087501</v>
      </c>
      <c r="P259" s="223">
        <v>266.08300000000003</v>
      </c>
      <c r="Q259" s="239">
        <v>0.87270003149721898</v>
      </c>
      <c r="R259" s="222">
        <v>-519.91850262184698</v>
      </c>
      <c r="S259" s="219"/>
      <c r="T259" s="219"/>
      <c r="U259" s="226">
        <v>302</v>
      </c>
      <c r="V259" s="227">
        <v>776</v>
      </c>
      <c r="W259" s="218"/>
      <c r="X259" s="226">
        <v>3567.6172350000002</v>
      </c>
      <c r="Y259" s="217">
        <v>400.40424936916401</v>
      </c>
      <c r="Z259" s="228">
        <v>573</v>
      </c>
      <c r="AA259" s="224">
        <v>0.69878577551337495</v>
      </c>
      <c r="AB259" s="225">
        <v>-2007.5363487401</v>
      </c>
      <c r="AC259" s="219"/>
      <c r="AD259" s="219"/>
      <c r="AE259" s="227">
        <v>1538</v>
      </c>
      <c r="AF259" s="227">
        <v>2559</v>
      </c>
      <c r="AG259" s="218"/>
      <c r="AH259" s="231">
        <v>404.45</v>
      </c>
      <c r="AI259" s="217">
        <v>45.392621458551197</v>
      </c>
      <c r="AJ259" s="232" t="s">
        <v>53</v>
      </c>
      <c r="AK259" s="224">
        <v>0.720517800929385</v>
      </c>
      <c r="AL259" s="225">
        <v>-208.52500135362399</v>
      </c>
      <c r="AM259" s="219"/>
      <c r="AN259" s="219"/>
      <c r="AO259" s="227">
        <v>157</v>
      </c>
      <c r="AP259" s="227">
        <v>270</v>
      </c>
      <c r="AQ259" s="218"/>
      <c r="AR259" s="231">
        <v>60.6</v>
      </c>
      <c r="AS259" s="217">
        <v>6.8013174938514203</v>
      </c>
      <c r="AT259" s="232" t="s">
        <v>54</v>
      </c>
      <c r="AU259" s="224">
        <v>0.42508234336571399</v>
      </c>
      <c r="AV259" s="225">
        <v>-95.076190819968005</v>
      </c>
      <c r="AW259" s="219"/>
      <c r="AX259" s="219"/>
      <c r="AY259" s="227">
        <v>82</v>
      </c>
      <c r="AZ259" s="227">
        <v>111</v>
      </c>
      <c r="BA259" s="218"/>
      <c r="BB259" s="235">
        <v>267.2</v>
      </c>
      <c r="BC259" s="231">
        <v>29.9886474316353</v>
      </c>
      <c r="BD259" s="232" t="s">
        <v>55</v>
      </c>
      <c r="BE259" s="233">
        <v>0.93714523223860302</v>
      </c>
      <c r="BF259" s="234">
        <v>-44.152381639936003</v>
      </c>
      <c r="BG259" s="219">
        <v>3.0000000000000001E-3</v>
      </c>
      <c r="BH259" s="219"/>
      <c r="BI259" s="227">
        <v>18</v>
      </c>
      <c r="BJ259" s="227">
        <v>75</v>
      </c>
      <c r="BK259" s="220"/>
      <c r="BL259" s="236">
        <v>0.8</v>
      </c>
      <c r="BM259" s="239">
        <v>0.73</v>
      </c>
      <c r="BN259" s="237"/>
      <c r="BO259" s="238">
        <v>0.95</v>
      </c>
      <c r="BP259" s="229">
        <v>1</v>
      </c>
      <c r="BQ259" s="237">
        <v>2.5000000000000001E-3</v>
      </c>
    </row>
    <row r="260" spans="1:69" s="207" customFormat="1" ht="22.35" customHeight="1" x14ac:dyDescent="0.2">
      <c r="A260" s="216" t="s">
        <v>275</v>
      </c>
      <c r="B260" s="216" t="s">
        <v>318</v>
      </c>
      <c r="C260" s="216" t="s">
        <v>329</v>
      </c>
      <c r="D260" s="217">
        <v>3.7235578407777798</v>
      </c>
      <c r="E260" s="218"/>
      <c r="F260" s="219">
        <v>5.8000000000000003E-2</v>
      </c>
      <c r="G260" s="219">
        <v>0.05</v>
      </c>
      <c r="H260" s="220"/>
      <c r="I260" s="221">
        <v>5</v>
      </c>
      <c r="J260" s="221">
        <v>4</v>
      </c>
      <c r="K260" s="218"/>
      <c r="L260" s="222">
        <v>1445.00873</v>
      </c>
      <c r="M260" s="222">
        <v>1335.5442399999999</v>
      </c>
      <c r="N260" s="222">
        <v>2780.5529700000002</v>
      </c>
      <c r="O260" s="217">
        <v>746.74628108346997</v>
      </c>
      <c r="P260" s="223">
        <v>287.5</v>
      </c>
      <c r="Q260" s="229">
        <v>2.59737836898598</v>
      </c>
      <c r="R260" s="230">
        <v>1611.5419858878199</v>
      </c>
      <c r="S260" s="219">
        <v>0.01</v>
      </c>
      <c r="T260" s="219">
        <v>0.01</v>
      </c>
      <c r="U260" s="226">
        <v>0</v>
      </c>
      <c r="V260" s="227">
        <v>0</v>
      </c>
      <c r="W260" s="218"/>
      <c r="X260" s="226">
        <v>2821.0601550000001</v>
      </c>
      <c r="Y260" s="217">
        <v>757.62490489760603</v>
      </c>
      <c r="Z260" s="228">
        <v>573</v>
      </c>
      <c r="AA260" s="229">
        <v>1.3222075129103099</v>
      </c>
      <c r="AB260" s="230">
        <v>491.17043709989002</v>
      </c>
      <c r="AC260" s="219">
        <v>0.02</v>
      </c>
      <c r="AD260" s="219">
        <v>0.02</v>
      </c>
      <c r="AE260" s="227">
        <v>0</v>
      </c>
      <c r="AF260" s="227">
        <v>0</v>
      </c>
      <c r="AG260" s="218"/>
      <c r="AH260" s="231">
        <v>230.55</v>
      </c>
      <c r="AI260" s="217">
        <v>61.916588880446298</v>
      </c>
      <c r="AJ260" s="232" t="s">
        <v>53</v>
      </c>
      <c r="AK260" s="233">
        <v>0.98280299810232197</v>
      </c>
      <c r="AL260" s="234">
        <v>-25.6158852141482</v>
      </c>
      <c r="AM260" s="219">
        <v>8.0000000000000002E-3</v>
      </c>
      <c r="AN260" s="219"/>
      <c r="AO260" s="227">
        <v>5</v>
      </c>
      <c r="AP260" s="227">
        <v>51</v>
      </c>
      <c r="AQ260" s="218"/>
      <c r="AR260" s="231">
        <v>29.2</v>
      </c>
      <c r="AS260" s="217">
        <v>7.8419622438040903</v>
      </c>
      <c r="AT260" s="232" t="s">
        <v>54</v>
      </c>
      <c r="AU260" s="224">
        <v>0.49012264023775598</v>
      </c>
      <c r="AV260" s="225">
        <v>-35.858002594069397</v>
      </c>
      <c r="AW260" s="219"/>
      <c r="AX260" s="219"/>
      <c r="AY260" s="227">
        <v>31</v>
      </c>
      <c r="AZ260" s="227">
        <v>43</v>
      </c>
      <c r="BA260" s="218"/>
      <c r="BB260" s="235">
        <v>153.80000000000001</v>
      </c>
      <c r="BC260" s="231">
        <v>41.304581955379</v>
      </c>
      <c r="BD260" s="232" t="s">
        <v>55</v>
      </c>
      <c r="BE260" s="229">
        <v>1.2907681861056</v>
      </c>
      <c r="BF260" s="230">
        <v>23.6839948118613</v>
      </c>
      <c r="BG260" s="219">
        <v>0.02</v>
      </c>
      <c r="BH260" s="219">
        <v>0.02</v>
      </c>
      <c r="BI260" s="227">
        <v>0</v>
      </c>
      <c r="BJ260" s="227">
        <v>0</v>
      </c>
      <c r="BK260" s="220"/>
      <c r="BL260" s="236">
        <v>0.8</v>
      </c>
      <c r="BM260" s="239">
        <v>0.78</v>
      </c>
      <c r="BN260" s="237"/>
      <c r="BO260" s="238">
        <v>0.95</v>
      </c>
      <c r="BP260" s="229">
        <v>1</v>
      </c>
      <c r="BQ260" s="237">
        <v>2.5000000000000001E-3</v>
      </c>
    </row>
    <row r="261" spans="1:69" s="207" customFormat="1" ht="22.35" customHeight="1" x14ac:dyDescent="0.2">
      <c r="A261" s="216" t="s">
        <v>275</v>
      </c>
      <c r="B261" s="216" t="s">
        <v>318</v>
      </c>
      <c r="C261" s="216" t="s">
        <v>330</v>
      </c>
      <c r="D261" s="217">
        <v>2.4875433197777799</v>
      </c>
      <c r="E261" s="218"/>
      <c r="F261" s="219">
        <v>3.4000000000000002E-2</v>
      </c>
      <c r="G261" s="219">
        <v>2.4E-2</v>
      </c>
      <c r="H261" s="220"/>
      <c r="I261" s="221">
        <v>6</v>
      </c>
      <c r="J261" s="221">
        <v>4</v>
      </c>
      <c r="K261" s="218"/>
      <c r="L261" s="222">
        <v>486.73545999999999</v>
      </c>
      <c r="M261" s="222">
        <v>822.65927999999997</v>
      </c>
      <c r="N261" s="222">
        <v>1309.39474</v>
      </c>
      <c r="O261" s="217">
        <v>526.38067831396495</v>
      </c>
      <c r="P261" s="223">
        <v>263.75299999999999</v>
      </c>
      <c r="Q261" s="229">
        <v>1.99573342602346</v>
      </c>
      <c r="R261" s="230">
        <v>592.93680156228697</v>
      </c>
      <c r="S261" s="219">
        <v>0.01</v>
      </c>
      <c r="T261" s="219">
        <v>0.01</v>
      </c>
      <c r="U261" s="226">
        <v>0</v>
      </c>
      <c r="V261" s="227">
        <v>0</v>
      </c>
      <c r="W261" s="218"/>
      <c r="X261" s="226">
        <v>1308.4677750000001</v>
      </c>
      <c r="Y261" s="217">
        <v>526.00803555730295</v>
      </c>
      <c r="Z261" s="228">
        <v>573</v>
      </c>
      <c r="AA261" s="233">
        <v>0.91798959085044096</v>
      </c>
      <c r="AB261" s="234">
        <v>-248.027880878074</v>
      </c>
      <c r="AC261" s="219">
        <v>1E-3</v>
      </c>
      <c r="AD261" s="219"/>
      <c r="AE261" s="227">
        <v>117</v>
      </c>
      <c r="AF261" s="227">
        <v>402</v>
      </c>
      <c r="AG261" s="218"/>
      <c r="AH261" s="231">
        <v>147.6</v>
      </c>
      <c r="AI261" s="217">
        <v>59.335650087567402</v>
      </c>
      <c r="AJ261" s="232" t="s">
        <v>53</v>
      </c>
      <c r="AK261" s="233">
        <v>0.94183571567567304</v>
      </c>
      <c r="AL261" s="234">
        <v>-23.533030227432199</v>
      </c>
      <c r="AM261" s="219">
        <v>3.0000000000000001E-3</v>
      </c>
      <c r="AN261" s="219"/>
      <c r="AO261" s="227">
        <v>10</v>
      </c>
      <c r="AP261" s="227">
        <v>41</v>
      </c>
      <c r="AQ261" s="218"/>
      <c r="AR261" s="231">
        <v>16.399999999999999</v>
      </c>
      <c r="AS261" s="217">
        <v>6.5928500097297098</v>
      </c>
      <c r="AT261" s="232" t="s">
        <v>54</v>
      </c>
      <c r="AU261" s="224">
        <v>0.41205312560810697</v>
      </c>
      <c r="AV261" s="225">
        <v>-27.062356883157399</v>
      </c>
      <c r="AW261" s="219"/>
      <c r="AX261" s="219"/>
      <c r="AY261" s="227">
        <v>24</v>
      </c>
      <c r="AZ261" s="227">
        <v>32</v>
      </c>
      <c r="BA261" s="218"/>
      <c r="BB261" s="235">
        <v>90.6</v>
      </c>
      <c r="BC261" s="231">
        <v>36.421476273262897</v>
      </c>
      <c r="BD261" s="232" t="s">
        <v>55</v>
      </c>
      <c r="BE261" s="229">
        <v>1.13817113353947</v>
      </c>
      <c r="BF261" s="230">
        <v>3.6752862336852399</v>
      </c>
      <c r="BG261" s="219">
        <v>0.02</v>
      </c>
      <c r="BH261" s="219">
        <v>1.4E-2</v>
      </c>
      <c r="BI261" s="227">
        <v>0</v>
      </c>
      <c r="BJ261" s="227">
        <v>5</v>
      </c>
      <c r="BK261" s="220"/>
      <c r="BL261" s="236">
        <v>0.8</v>
      </c>
      <c r="BM261" s="233">
        <v>0.9</v>
      </c>
      <c r="BN261" s="237">
        <v>3.7499999999999999E-3</v>
      </c>
      <c r="BO261" s="238">
        <v>0.95</v>
      </c>
      <c r="BP261" s="229">
        <v>1</v>
      </c>
      <c r="BQ261" s="237">
        <v>2.5000000000000001E-3</v>
      </c>
    </row>
    <row r="262" spans="1:69" s="207" customFormat="1" ht="22.35" customHeight="1" x14ac:dyDescent="0.2">
      <c r="A262" s="216" t="s">
        <v>275</v>
      </c>
      <c r="B262" s="216" t="s">
        <v>318</v>
      </c>
      <c r="C262" s="216" t="s">
        <v>331</v>
      </c>
      <c r="D262" s="217">
        <v>2.6455275504444402</v>
      </c>
      <c r="E262" s="218"/>
      <c r="F262" s="219">
        <v>7.0000000000000007E-2</v>
      </c>
      <c r="G262" s="219">
        <v>6.8000000000000005E-2</v>
      </c>
      <c r="H262" s="220"/>
      <c r="I262" s="221">
        <v>6</v>
      </c>
      <c r="J262" s="221">
        <v>6</v>
      </c>
      <c r="K262" s="218"/>
      <c r="L262" s="222">
        <v>594.21762999999999</v>
      </c>
      <c r="M262" s="222">
        <v>221.00318999999999</v>
      </c>
      <c r="N262" s="222">
        <v>815.22082</v>
      </c>
      <c r="O262" s="217">
        <v>308.15056900958899</v>
      </c>
      <c r="P262" s="223">
        <v>266.08300000000003</v>
      </c>
      <c r="Q262" s="229">
        <v>1.15809942390002</v>
      </c>
      <c r="R262" s="230">
        <v>46.529361332240697</v>
      </c>
      <c r="S262" s="219">
        <v>0.01</v>
      </c>
      <c r="T262" s="219">
        <v>8.0000000000000002E-3</v>
      </c>
      <c r="U262" s="226">
        <v>0</v>
      </c>
      <c r="V262" s="227">
        <v>30</v>
      </c>
      <c r="W262" s="218"/>
      <c r="X262" s="226">
        <v>1911.418365</v>
      </c>
      <c r="Y262" s="217">
        <v>722.50934021794001</v>
      </c>
      <c r="Z262" s="228">
        <v>573</v>
      </c>
      <c r="AA262" s="229">
        <v>1.2609238049178699</v>
      </c>
      <c r="AB262" s="230">
        <v>256.06944824610702</v>
      </c>
      <c r="AC262" s="219">
        <v>0.02</v>
      </c>
      <c r="AD262" s="219">
        <v>0.02</v>
      </c>
      <c r="AE262" s="227">
        <v>0</v>
      </c>
      <c r="AF262" s="227">
        <v>0</v>
      </c>
      <c r="AG262" s="218"/>
      <c r="AH262" s="231">
        <v>269.45</v>
      </c>
      <c r="AI262" s="217">
        <v>101.85114116643101</v>
      </c>
      <c r="AJ262" s="232" t="s">
        <v>53</v>
      </c>
      <c r="AK262" s="229">
        <v>1.6166847804195399</v>
      </c>
      <c r="AL262" s="230">
        <v>87.4482866396243</v>
      </c>
      <c r="AM262" s="219">
        <v>0.02</v>
      </c>
      <c r="AN262" s="219">
        <v>0.02</v>
      </c>
      <c r="AO262" s="227">
        <v>0</v>
      </c>
      <c r="AP262" s="227">
        <v>0</v>
      </c>
      <c r="AQ262" s="218"/>
      <c r="AR262" s="231">
        <v>31.2</v>
      </c>
      <c r="AS262" s="217">
        <v>11.793488975292799</v>
      </c>
      <c r="AT262" s="232" t="s">
        <v>54</v>
      </c>
      <c r="AU262" s="239">
        <v>0.73709306095580096</v>
      </c>
      <c r="AV262" s="222">
        <v>-15.022657361365299</v>
      </c>
      <c r="AW262" s="219"/>
      <c r="AX262" s="219"/>
      <c r="AY262" s="227">
        <v>12</v>
      </c>
      <c r="AZ262" s="227">
        <v>20</v>
      </c>
      <c r="BA262" s="218"/>
      <c r="BB262" s="235">
        <v>167.8</v>
      </c>
      <c r="BC262" s="231">
        <v>63.427802886350499</v>
      </c>
      <c r="BD262" s="232" t="s">
        <v>55</v>
      </c>
      <c r="BE262" s="229">
        <v>1.98211884019845</v>
      </c>
      <c r="BF262" s="230">
        <v>75.354685277269496</v>
      </c>
      <c r="BG262" s="219">
        <v>0.02</v>
      </c>
      <c r="BH262" s="219">
        <v>0.02</v>
      </c>
      <c r="BI262" s="227">
        <v>0</v>
      </c>
      <c r="BJ262" s="227">
        <v>0</v>
      </c>
      <c r="BK262" s="220"/>
      <c r="BL262" s="236">
        <v>0.8</v>
      </c>
      <c r="BM262" s="233">
        <v>0.81</v>
      </c>
      <c r="BN262" s="237">
        <v>3.7500000000000001E-4</v>
      </c>
      <c r="BO262" s="238">
        <v>0.95</v>
      </c>
      <c r="BP262" s="229">
        <v>1</v>
      </c>
      <c r="BQ262" s="237">
        <v>2.5000000000000001E-3</v>
      </c>
    </row>
    <row r="263" spans="1:69" s="207" customFormat="1" ht="22.35" customHeight="1" x14ac:dyDescent="0.2">
      <c r="A263" s="216" t="s">
        <v>275</v>
      </c>
      <c r="B263" s="216" t="s">
        <v>318</v>
      </c>
      <c r="C263" s="216" t="s">
        <v>332</v>
      </c>
      <c r="D263" s="217">
        <v>2.5458872463333302</v>
      </c>
      <c r="E263" s="218"/>
      <c r="F263" s="219">
        <v>3.1E-2</v>
      </c>
      <c r="G263" s="219">
        <v>1.9E-2</v>
      </c>
      <c r="H263" s="220"/>
      <c r="I263" s="221">
        <v>4</v>
      </c>
      <c r="J263" s="221">
        <v>3</v>
      </c>
      <c r="K263" s="218"/>
      <c r="L263" s="222">
        <v>1751.53935</v>
      </c>
      <c r="M263" s="222">
        <v>1246.39967</v>
      </c>
      <c r="N263" s="222">
        <v>2997.9390199999998</v>
      </c>
      <c r="O263" s="217">
        <v>1177.5615845979501</v>
      </c>
      <c r="P263" s="223">
        <v>287.5</v>
      </c>
      <c r="Q263" s="229">
        <v>4.0958663812102598</v>
      </c>
      <c r="R263" s="230">
        <v>2198.65771901365</v>
      </c>
      <c r="S263" s="219">
        <v>0.01</v>
      </c>
      <c r="T263" s="219">
        <v>0.01</v>
      </c>
      <c r="U263" s="226">
        <v>0</v>
      </c>
      <c r="V263" s="227">
        <v>0</v>
      </c>
      <c r="W263" s="218"/>
      <c r="X263" s="226">
        <v>1334.525445</v>
      </c>
      <c r="Y263" s="217">
        <v>524.18874674124902</v>
      </c>
      <c r="Z263" s="228">
        <v>573</v>
      </c>
      <c r="AA263" s="233">
        <v>0.91481456673865502</v>
      </c>
      <c r="AB263" s="234">
        <v>-258.47693922670601</v>
      </c>
      <c r="AC263" s="219">
        <v>1E-3</v>
      </c>
      <c r="AD263" s="219"/>
      <c r="AE263" s="227">
        <v>125</v>
      </c>
      <c r="AF263" s="227">
        <v>417</v>
      </c>
      <c r="AG263" s="218"/>
      <c r="AH263" s="231">
        <v>115.95</v>
      </c>
      <c r="AI263" s="217">
        <v>45.544043699105202</v>
      </c>
      <c r="AJ263" s="232" t="s">
        <v>53</v>
      </c>
      <c r="AK263" s="224">
        <v>0.72292132855722602</v>
      </c>
      <c r="AL263" s="225">
        <v>-59.1968589987478</v>
      </c>
      <c r="AM263" s="219"/>
      <c r="AN263" s="219"/>
      <c r="AO263" s="227">
        <v>45</v>
      </c>
      <c r="AP263" s="227">
        <v>77</v>
      </c>
      <c r="AQ263" s="218"/>
      <c r="AR263" s="231">
        <v>9.8000000000000007</v>
      </c>
      <c r="AS263" s="217">
        <v>3.8493456511533499</v>
      </c>
      <c r="AT263" s="232" t="s">
        <v>54</v>
      </c>
      <c r="AU263" s="224">
        <v>0.24058410319708401</v>
      </c>
      <c r="AV263" s="225">
        <v>-34.681741967935899</v>
      </c>
      <c r="AW263" s="219"/>
      <c r="AX263" s="219"/>
      <c r="AY263" s="227">
        <v>31</v>
      </c>
      <c r="AZ263" s="227">
        <v>40</v>
      </c>
      <c r="BA263" s="218"/>
      <c r="BB263" s="235">
        <v>88.6</v>
      </c>
      <c r="BC263" s="231">
        <v>34.801227009406801</v>
      </c>
      <c r="BD263" s="232" t="s">
        <v>55</v>
      </c>
      <c r="BE263" s="229">
        <v>1.0875383440439601</v>
      </c>
      <c r="BF263" s="230">
        <v>-0.36348393587188399</v>
      </c>
      <c r="BG263" s="219">
        <v>0.02</v>
      </c>
      <c r="BH263" s="219">
        <v>8.9999999999999993E-3</v>
      </c>
      <c r="BI263" s="227">
        <v>0</v>
      </c>
      <c r="BJ263" s="227">
        <v>10</v>
      </c>
      <c r="BK263" s="220"/>
      <c r="BL263" s="236">
        <v>0.8</v>
      </c>
      <c r="BM263" s="239">
        <v>0.8</v>
      </c>
      <c r="BN263" s="237">
        <v>0</v>
      </c>
      <c r="BO263" s="238">
        <v>0.95</v>
      </c>
      <c r="BP263" s="229">
        <v>1</v>
      </c>
      <c r="BQ263" s="237">
        <v>2.5000000000000001E-3</v>
      </c>
    </row>
    <row r="264" spans="1:69" s="207" customFormat="1" ht="22.35" customHeight="1" x14ac:dyDescent="0.2">
      <c r="A264" s="216" t="s">
        <v>275</v>
      </c>
      <c r="B264" s="216" t="s">
        <v>318</v>
      </c>
      <c r="C264" s="216" t="s">
        <v>333</v>
      </c>
      <c r="D264" s="217">
        <v>2.3152426593333302</v>
      </c>
      <c r="E264" s="218"/>
      <c r="F264" s="219">
        <v>0.03</v>
      </c>
      <c r="G264" s="219">
        <v>1.9E-2</v>
      </c>
      <c r="H264" s="220"/>
      <c r="I264" s="221">
        <v>4</v>
      </c>
      <c r="J264" s="221">
        <v>4</v>
      </c>
      <c r="K264" s="218"/>
      <c r="L264" s="222">
        <v>1949.9929</v>
      </c>
      <c r="M264" s="222">
        <v>-1191.20679</v>
      </c>
      <c r="N264" s="222">
        <v>758.78611000000001</v>
      </c>
      <c r="O264" s="217">
        <v>327.73502463819102</v>
      </c>
      <c r="P264" s="223">
        <v>247.95</v>
      </c>
      <c r="Q264" s="229">
        <v>1.32177868375959</v>
      </c>
      <c r="R264" s="230">
        <v>131.907766219184</v>
      </c>
      <c r="S264" s="219">
        <v>0.01</v>
      </c>
      <c r="T264" s="219">
        <v>0.01</v>
      </c>
      <c r="U264" s="226">
        <v>0</v>
      </c>
      <c r="V264" s="227">
        <v>0</v>
      </c>
      <c r="W264" s="218"/>
      <c r="X264" s="226">
        <v>1445.844525</v>
      </c>
      <c r="Y264" s="217">
        <v>624.48941115154003</v>
      </c>
      <c r="Z264" s="228">
        <v>573</v>
      </c>
      <c r="AA264" s="229">
        <v>1.08985935628541</v>
      </c>
      <c r="AB264" s="230">
        <v>-2.83985082741401</v>
      </c>
      <c r="AC264" s="219">
        <v>0.02</v>
      </c>
      <c r="AD264" s="219">
        <v>8.9999999999999993E-3</v>
      </c>
      <c r="AE264" s="227">
        <v>0</v>
      </c>
      <c r="AF264" s="227">
        <v>147</v>
      </c>
      <c r="AG264" s="218"/>
      <c r="AH264" s="231">
        <v>68.349999999999994</v>
      </c>
      <c r="AI264" s="217">
        <v>29.521743530624601</v>
      </c>
      <c r="AJ264" s="232" t="s">
        <v>53</v>
      </c>
      <c r="AK264" s="224">
        <v>0.46859910366070801</v>
      </c>
      <c r="AL264" s="225">
        <v>-90.929433991495799</v>
      </c>
      <c r="AM264" s="219"/>
      <c r="AN264" s="219"/>
      <c r="AO264" s="227">
        <v>78</v>
      </c>
      <c r="AP264" s="227">
        <v>107</v>
      </c>
      <c r="AQ264" s="218"/>
      <c r="AR264" s="231">
        <v>6</v>
      </c>
      <c r="AS264" s="217">
        <v>2.5915210121982102</v>
      </c>
      <c r="AT264" s="232" t="s">
        <v>54</v>
      </c>
      <c r="AU264" s="224">
        <v>0.161970063262388</v>
      </c>
      <c r="AV264" s="225">
        <v>-34.451919743871898</v>
      </c>
      <c r="AW264" s="219"/>
      <c r="AX264" s="219"/>
      <c r="AY264" s="227">
        <v>32</v>
      </c>
      <c r="AZ264" s="227">
        <v>39</v>
      </c>
      <c r="BA264" s="218"/>
      <c r="BB264" s="235">
        <v>61</v>
      </c>
      <c r="BC264" s="231">
        <v>26.3471302906818</v>
      </c>
      <c r="BD264" s="232" t="s">
        <v>55</v>
      </c>
      <c r="BE264" s="239">
        <v>0.82334782158380704</v>
      </c>
      <c r="BF264" s="222">
        <v>-19.903839487743902</v>
      </c>
      <c r="BG264" s="219"/>
      <c r="BH264" s="219"/>
      <c r="BI264" s="227">
        <v>14</v>
      </c>
      <c r="BJ264" s="227">
        <v>28</v>
      </c>
      <c r="BK264" s="220"/>
      <c r="BL264" s="236">
        <v>0.8</v>
      </c>
      <c r="BM264" s="233">
        <v>0.86</v>
      </c>
      <c r="BN264" s="237">
        <v>2.2499999999999998E-3</v>
      </c>
      <c r="BO264" s="238">
        <v>0.95</v>
      </c>
      <c r="BP264" s="229">
        <v>1</v>
      </c>
      <c r="BQ264" s="237">
        <v>2.5000000000000001E-3</v>
      </c>
    </row>
    <row r="265" spans="1:69" s="207" customFormat="1" ht="22.35" customHeight="1" x14ac:dyDescent="0.2">
      <c r="A265" s="216" t="s">
        <v>275</v>
      </c>
      <c r="B265" s="216" t="s">
        <v>318</v>
      </c>
      <c r="C265" s="216" t="s">
        <v>334</v>
      </c>
      <c r="D265" s="217">
        <v>8.72427697</v>
      </c>
      <c r="E265" s="218"/>
      <c r="F265" s="219">
        <v>1.4999999999999999E-2</v>
      </c>
      <c r="G265" s="219">
        <v>0.01</v>
      </c>
      <c r="H265" s="220"/>
      <c r="I265" s="221">
        <v>3</v>
      </c>
      <c r="J265" s="221">
        <v>2</v>
      </c>
      <c r="K265" s="218"/>
      <c r="L265" s="222">
        <v>9726.3323999999993</v>
      </c>
      <c r="M265" s="222">
        <v>919.89266999999995</v>
      </c>
      <c r="N265" s="222">
        <v>10646.22507</v>
      </c>
      <c r="O265" s="217">
        <v>1220.2988404206999</v>
      </c>
      <c r="P265" s="223">
        <v>287.5</v>
      </c>
      <c r="Q265" s="229">
        <v>4.2445177058111296</v>
      </c>
      <c r="R265" s="230">
        <v>7907.2383152684997</v>
      </c>
      <c r="S265" s="219">
        <v>0.01</v>
      </c>
      <c r="T265" s="219">
        <v>0.01</v>
      </c>
      <c r="U265" s="226">
        <v>0</v>
      </c>
      <c r="V265" s="227">
        <v>0</v>
      </c>
      <c r="W265" s="218"/>
      <c r="X265" s="226">
        <v>3451.98261</v>
      </c>
      <c r="Y265" s="217">
        <v>395.67549515796702</v>
      </c>
      <c r="Z265" s="228">
        <v>573</v>
      </c>
      <c r="AA265" s="224">
        <v>0.69053315036294405</v>
      </c>
      <c r="AB265" s="225">
        <v>-2006.9370785605199</v>
      </c>
      <c r="AC265" s="219"/>
      <c r="AD265" s="219"/>
      <c r="AE265" s="227">
        <v>1548</v>
      </c>
      <c r="AF265" s="227">
        <v>2547</v>
      </c>
      <c r="AG265" s="218"/>
      <c r="AH265" s="231">
        <v>489.75</v>
      </c>
      <c r="AI265" s="217">
        <v>56.136457116629103</v>
      </c>
      <c r="AJ265" s="232" t="s">
        <v>53</v>
      </c>
      <c r="AK265" s="239">
        <v>0.89105487486712898</v>
      </c>
      <c r="AL265" s="222">
        <v>-110.44535842812</v>
      </c>
      <c r="AM265" s="219"/>
      <c r="AN265" s="219"/>
      <c r="AO265" s="227">
        <v>60</v>
      </c>
      <c r="AP265" s="227">
        <v>170</v>
      </c>
      <c r="AQ265" s="218"/>
      <c r="AR265" s="231">
        <v>24.6</v>
      </c>
      <c r="AS265" s="217">
        <v>2.8197179072365</v>
      </c>
      <c r="AT265" s="232" t="s">
        <v>54</v>
      </c>
      <c r="AU265" s="224">
        <v>0.176232369202281</v>
      </c>
      <c r="AV265" s="225">
        <v>-127.83056721984001</v>
      </c>
      <c r="AW265" s="219"/>
      <c r="AX265" s="219"/>
      <c r="AY265" s="227">
        <v>115</v>
      </c>
      <c r="AZ265" s="227">
        <v>143</v>
      </c>
      <c r="BA265" s="218"/>
      <c r="BB265" s="235">
        <v>267</v>
      </c>
      <c r="BC265" s="231">
        <v>30.604255334640101</v>
      </c>
      <c r="BD265" s="232" t="s">
        <v>55</v>
      </c>
      <c r="BE265" s="233">
        <v>0.95638297920750204</v>
      </c>
      <c r="BF265" s="234">
        <v>-37.861134439680001</v>
      </c>
      <c r="BG265" s="219">
        <v>5.0000000000000001E-3</v>
      </c>
      <c r="BH265" s="219"/>
      <c r="BI265" s="227">
        <v>13</v>
      </c>
      <c r="BJ265" s="227">
        <v>69</v>
      </c>
      <c r="BK265" s="220"/>
      <c r="BL265" s="236">
        <v>0.8</v>
      </c>
      <c r="BM265" s="239">
        <v>0.73</v>
      </c>
      <c r="BN265" s="237"/>
      <c r="BO265" s="238">
        <v>0.95</v>
      </c>
      <c r="BP265" s="229">
        <v>1</v>
      </c>
      <c r="BQ265" s="237">
        <v>2.5000000000000001E-3</v>
      </c>
    </row>
    <row r="266" spans="1:69" s="207" customFormat="1" ht="22.35" customHeight="1" x14ac:dyDescent="0.2">
      <c r="A266" s="216" t="s">
        <v>275</v>
      </c>
      <c r="B266" s="216" t="s">
        <v>318</v>
      </c>
      <c r="C266" s="216" t="s">
        <v>335</v>
      </c>
      <c r="D266" s="217">
        <v>1.9537440934444401</v>
      </c>
      <c r="E266" s="218"/>
      <c r="F266" s="219">
        <v>0.08</v>
      </c>
      <c r="G266" s="219">
        <v>0.08</v>
      </c>
      <c r="H266" s="220"/>
      <c r="I266" s="221">
        <v>7</v>
      </c>
      <c r="J266" s="221">
        <v>7</v>
      </c>
      <c r="K266" s="218"/>
      <c r="L266" s="222">
        <v>1677.0603699999999</v>
      </c>
      <c r="M266" s="222">
        <v>3248.50621</v>
      </c>
      <c r="N266" s="222">
        <v>4925.5665799999997</v>
      </c>
      <c r="O266" s="217">
        <v>2521.0909640250002</v>
      </c>
      <c r="P266" s="223">
        <v>242.66300000000001</v>
      </c>
      <c r="Q266" s="229">
        <v>10.3892680961869</v>
      </c>
      <c r="R266" s="230">
        <v>4407.8478479813202</v>
      </c>
      <c r="S266" s="219">
        <v>0.01</v>
      </c>
      <c r="T266" s="219">
        <v>0.01</v>
      </c>
      <c r="U266" s="226">
        <v>0</v>
      </c>
      <c r="V266" s="227">
        <v>0</v>
      </c>
      <c r="W266" s="218"/>
      <c r="X266" s="226">
        <v>1773.9150950000001</v>
      </c>
      <c r="Y266" s="217">
        <v>907.95672829013802</v>
      </c>
      <c r="Z266" s="228">
        <v>573</v>
      </c>
      <c r="AA266" s="229">
        <v>1.5845667160386401</v>
      </c>
      <c r="AB266" s="230">
        <v>551.42615582631902</v>
      </c>
      <c r="AC266" s="219">
        <v>0.02</v>
      </c>
      <c r="AD266" s="219">
        <v>0.02</v>
      </c>
      <c r="AE266" s="227">
        <v>0</v>
      </c>
      <c r="AF266" s="227">
        <v>0</v>
      </c>
      <c r="AG266" s="218"/>
      <c r="AH266" s="231">
        <v>159.5</v>
      </c>
      <c r="AI266" s="217">
        <v>81.638122687194894</v>
      </c>
      <c r="AJ266" s="232" t="s">
        <v>53</v>
      </c>
      <c r="AK266" s="229">
        <v>1.29584321725706</v>
      </c>
      <c r="AL266" s="230">
        <v>25.090221347396302</v>
      </c>
      <c r="AM266" s="219">
        <v>0.02</v>
      </c>
      <c r="AN266" s="219">
        <v>0.02</v>
      </c>
      <c r="AO266" s="227">
        <v>0</v>
      </c>
      <c r="AP266" s="227">
        <v>0</v>
      </c>
      <c r="AQ266" s="218"/>
      <c r="AR266" s="231">
        <v>43.7</v>
      </c>
      <c r="AS266" s="217">
        <v>22.367310103011999</v>
      </c>
      <c r="AT266" s="232" t="s">
        <v>54</v>
      </c>
      <c r="AU266" s="229">
        <v>1.3979568814382499</v>
      </c>
      <c r="AV266" s="230">
        <v>9.5641831993387498</v>
      </c>
      <c r="AW266" s="219">
        <v>0.01</v>
      </c>
      <c r="AX266" s="219">
        <v>0.01</v>
      </c>
      <c r="AY266" s="227">
        <v>0</v>
      </c>
      <c r="AZ266" s="227">
        <v>0</v>
      </c>
      <c r="BA266" s="218"/>
      <c r="BB266" s="235">
        <v>101.8</v>
      </c>
      <c r="BC266" s="231">
        <v>52.105083947062298</v>
      </c>
      <c r="BD266" s="232" t="s">
        <v>55</v>
      </c>
      <c r="BE266" s="229">
        <v>1.6282838733456999</v>
      </c>
      <c r="BF266" s="230">
        <v>33.528366398677498</v>
      </c>
      <c r="BG266" s="219">
        <v>0.02</v>
      </c>
      <c r="BH266" s="219">
        <v>0.02</v>
      </c>
      <c r="BI266" s="227">
        <v>0</v>
      </c>
      <c r="BJ266" s="227">
        <v>0</v>
      </c>
      <c r="BK266" s="220"/>
      <c r="BL266" s="236">
        <v>0.8</v>
      </c>
      <c r="BM266" s="233">
        <v>0.87</v>
      </c>
      <c r="BN266" s="237">
        <v>2.6250000000000002E-3</v>
      </c>
      <c r="BO266" s="238">
        <v>0.95</v>
      </c>
      <c r="BP266" s="229">
        <v>1</v>
      </c>
      <c r="BQ266" s="237">
        <v>2.5000000000000001E-3</v>
      </c>
    </row>
    <row r="267" spans="1:69" s="207" customFormat="1" ht="22.35" customHeight="1" x14ac:dyDescent="0.2">
      <c r="A267" s="216" t="s">
        <v>275</v>
      </c>
      <c r="B267" s="216" t="s">
        <v>318</v>
      </c>
      <c r="C267" s="216" t="s">
        <v>336</v>
      </c>
      <c r="D267" s="217">
        <v>1.6595588506666701</v>
      </c>
      <c r="E267" s="218"/>
      <c r="F267" s="219"/>
      <c r="G267" s="219"/>
      <c r="H267" s="220"/>
      <c r="I267" s="221">
        <v>1</v>
      </c>
      <c r="J267" s="221">
        <v>1</v>
      </c>
      <c r="K267" s="218"/>
      <c r="L267" s="222"/>
      <c r="M267" s="222">
        <v>149.07517000000001</v>
      </c>
      <c r="N267" s="222">
        <v>149.07517000000001</v>
      </c>
      <c r="O267" s="217">
        <v>89.828191353451899</v>
      </c>
      <c r="P267" s="223">
        <v>287.5</v>
      </c>
      <c r="Q267" s="224">
        <v>0.31244588296852799</v>
      </c>
      <c r="R267" s="225">
        <v>-371.94333116680099</v>
      </c>
      <c r="S267" s="219"/>
      <c r="T267" s="219"/>
      <c r="U267" s="226">
        <v>329</v>
      </c>
      <c r="V267" s="227">
        <v>424</v>
      </c>
      <c r="W267" s="218"/>
      <c r="X267" s="226">
        <v>186.24148</v>
      </c>
      <c r="Y267" s="217">
        <v>112.223486335049</v>
      </c>
      <c r="Z267" s="228">
        <v>573</v>
      </c>
      <c r="AA267" s="224">
        <v>0.19585250669293</v>
      </c>
      <c r="AB267" s="225">
        <v>-852.17104580374598</v>
      </c>
      <c r="AC267" s="219"/>
      <c r="AD267" s="219"/>
      <c r="AE267" s="227">
        <v>765</v>
      </c>
      <c r="AF267" s="227">
        <v>955</v>
      </c>
      <c r="AG267" s="218"/>
      <c r="AH267" s="231">
        <v>13.8</v>
      </c>
      <c r="AI267" s="217">
        <v>8.3154628680123999</v>
      </c>
      <c r="AJ267" s="232" t="s">
        <v>53</v>
      </c>
      <c r="AK267" s="224">
        <v>0.13199147409543499</v>
      </c>
      <c r="AL267" s="225">
        <v>-100.371010690464</v>
      </c>
      <c r="AM267" s="219"/>
      <c r="AN267" s="219"/>
      <c r="AO267" s="227">
        <v>91</v>
      </c>
      <c r="AP267" s="227">
        <v>112</v>
      </c>
      <c r="AQ267" s="218"/>
      <c r="AR267" s="231"/>
      <c r="AS267" s="217" t="s">
        <v>145</v>
      </c>
      <c r="AT267" s="232" t="s">
        <v>54</v>
      </c>
      <c r="AU267" s="224"/>
      <c r="AV267" s="225"/>
      <c r="AW267" s="219"/>
      <c r="AX267" s="219"/>
      <c r="AY267" s="227">
        <v>27</v>
      </c>
      <c r="AZ267" s="227">
        <v>32</v>
      </c>
      <c r="BA267" s="218"/>
      <c r="BB267" s="235">
        <v>1</v>
      </c>
      <c r="BC267" s="231">
        <v>0.60256977304437698</v>
      </c>
      <c r="BD267" s="232" t="s">
        <v>55</v>
      </c>
      <c r="BE267" s="224">
        <v>1.8830305407636801E-2</v>
      </c>
      <c r="BF267" s="225">
        <v>-56.991624477696099</v>
      </c>
      <c r="BG267" s="219"/>
      <c r="BH267" s="219"/>
      <c r="BI267" s="227">
        <v>53</v>
      </c>
      <c r="BJ267" s="227">
        <v>63</v>
      </c>
      <c r="BK267" s="220"/>
      <c r="BL267" s="236">
        <v>0.8</v>
      </c>
      <c r="BM267" s="224"/>
      <c r="BN267" s="237"/>
      <c r="BO267" s="238">
        <v>0.95</v>
      </c>
      <c r="BP267" s="229">
        <v>1</v>
      </c>
      <c r="BQ267" s="237">
        <v>2.5000000000000001E-3</v>
      </c>
    </row>
    <row r="268" spans="1:69" s="207" customFormat="1" ht="22.35" customHeight="1" x14ac:dyDescent="0.2">
      <c r="A268" s="216" t="s">
        <v>275</v>
      </c>
      <c r="B268" s="216" t="s">
        <v>318</v>
      </c>
      <c r="C268" s="216" t="s">
        <v>337</v>
      </c>
      <c r="D268" s="217">
        <v>1.9110045248888901</v>
      </c>
      <c r="E268" s="218"/>
      <c r="F268" s="219">
        <v>7.6999999999999999E-2</v>
      </c>
      <c r="G268" s="219">
        <v>7.1999999999999995E-2</v>
      </c>
      <c r="H268" s="220"/>
      <c r="I268" s="221">
        <v>6</v>
      </c>
      <c r="J268" s="221">
        <v>6</v>
      </c>
      <c r="K268" s="218"/>
      <c r="L268" s="222">
        <v>1157.6691499999999</v>
      </c>
      <c r="M268" s="222">
        <v>1313.32446</v>
      </c>
      <c r="N268" s="222">
        <v>2470.99361</v>
      </c>
      <c r="O268" s="217">
        <v>1293.03388757997</v>
      </c>
      <c r="P268" s="223">
        <v>245.202</v>
      </c>
      <c r="Q268" s="229">
        <v>5.2733415207868202</v>
      </c>
      <c r="R268" s="230">
        <v>1959.3019223891099</v>
      </c>
      <c r="S268" s="219">
        <v>0.01</v>
      </c>
      <c r="T268" s="219">
        <v>0.01</v>
      </c>
      <c r="U268" s="226">
        <v>0</v>
      </c>
      <c r="V268" s="227">
        <v>0</v>
      </c>
      <c r="W268" s="218"/>
      <c r="X268" s="226">
        <v>1369.4345249999999</v>
      </c>
      <c r="Y268" s="217">
        <v>716.60454340348701</v>
      </c>
      <c r="Z268" s="228">
        <v>573</v>
      </c>
      <c r="AA268" s="229">
        <v>1.2506187493952701</v>
      </c>
      <c r="AB268" s="230">
        <v>173.68841770462299</v>
      </c>
      <c r="AC268" s="219">
        <v>0.02</v>
      </c>
      <c r="AD268" s="219">
        <v>0.02</v>
      </c>
      <c r="AE268" s="227">
        <v>0</v>
      </c>
      <c r="AF268" s="227">
        <v>0</v>
      </c>
      <c r="AG268" s="218"/>
      <c r="AH268" s="231">
        <v>155.69999999999999</v>
      </c>
      <c r="AI268" s="217">
        <v>81.475474271340502</v>
      </c>
      <c r="AJ268" s="232" t="s">
        <v>53</v>
      </c>
      <c r="AK268" s="229">
        <v>1.29326149637048</v>
      </c>
      <c r="AL268" s="230">
        <v>24.230532705743901</v>
      </c>
      <c r="AM268" s="219">
        <v>0.02</v>
      </c>
      <c r="AN268" s="219">
        <v>0.02</v>
      </c>
      <c r="AO268" s="227">
        <v>0</v>
      </c>
      <c r="AP268" s="227">
        <v>0</v>
      </c>
      <c r="AQ268" s="218"/>
      <c r="AR268" s="231">
        <v>31.8</v>
      </c>
      <c r="AS268" s="217">
        <v>16.640462953298801</v>
      </c>
      <c r="AT268" s="232" t="s">
        <v>54</v>
      </c>
      <c r="AU268" s="233">
        <v>1.04002893458118</v>
      </c>
      <c r="AV268" s="234">
        <v>-1.5890710588586801</v>
      </c>
      <c r="AW268" s="219">
        <v>7.0000000000000001E-3</v>
      </c>
      <c r="AX268" s="219">
        <v>2E-3</v>
      </c>
      <c r="AY268" s="227">
        <v>0</v>
      </c>
      <c r="AZ268" s="227">
        <v>5</v>
      </c>
      <c r="BA268" s="218"/>
      <c r="BB268" s="235">
        <v>129</v>
      </c>
      <c r="BC268" s="231">
        <v>67.5037648105519</v>
      </c>
      <c r="BD268" s="232" t="s">
        <v>55</v>
      </c>
      <c r="BE268" s="229">
        <v>2.10949265032975</v>
      </c>
      <c r="BF268" s="230">
        <v>62.221857882282599</v>
      </c>
      <c r="BG268" s="219">
        <v>0.02</v>
      </c>
      <c r="BH268" s="219">
        <v>0.02</v>
      </c>
      <c r="BI268" s="227">
        <v>0</v>
      </c>
      <c r="BJ268" s="227">
        <v>0</v>
      </c>
      <c r="BK268" s="220"/>
      <c r="BL268" s="236">
        <v>0.8</v>
      </c>
      <c r="BM268" s="239">
        <v>0.76</v>
      </c>
      <c r="BN268" s="237"/>
      <c r="BO268" s="238">
        <v>0.95</v>
      </c>
      <c r="BP268" s="229">
        <v>1</v>
      </c>
      <c r="BQ268" s="237">
        <v>2.5000000000000001E-3</v>
      </c>
    </row>
    <row r="269" spans="1:69" s="207" customFormat="1" ht="22.35" customHeight="1" x14ac:dyDescent="0.2">
      <c r="A269" s="216" t="s">
        <v>275</v>
      </c>
      <c r="B269" s="216" t="s">
        <v>318</v>
      </c>
      <c r="C269" s="216" t="s">
        <v>338</v>
      </c>
      <c r="D269" s="217">
        <v>4.3293466174444397</v>
      </c>
      <c r="E269" s="218"/>
      <c r="F269" s="219">
        <v>3.4000000000000002E-2</v>
      </c>
      <c r="G269" s="219">
        <v>0.02</v>
      </c>
      <c r="H269" s="220"/>
      <c r="I269" s="221">
        <v>4</v>
      </c>
      <c r="J269" s="221">
        <v>3</v>
      </c>
      <c r="K269" s="218"/>
      <c r="L269" s="222">
        <v>2114.3624199999999</v>
      </c>
      <c r="M269" s="222">
        <v>1298.0138899999999</v>
      </c>
      <c r="N269" s="222">
        <v>3412.3763100000001</v>
      </c>
      <c r="O269" s="217">
        <v>788.19660598445705</v>
      </c>
      <c r="P269" s="223">
        <v>287.5</v>
      </c>
      <c r="Q269" s="229">
        <v>2.7415534121198499</v>
      </c>
      <c r="R269" s="230">
        <v>2053.1779394533201</v>
      </c>
      <c r="S269" s="219">
        <v>0.01</v>
      </c>
      <c r="T269" s="219">
        <v>0.01</v>
      </c>
      <c r="U269" s="226">
        <v>0</v>
      </c>
      <c r="V269" s="227">
        <v>0</v>
      </c>
      <c r="W269" s="218"/>
      <c r="X269" s="226">
        <v>2340.9368049999998</v>
      </c>
      <c r="Y269" s="217">
        <v>540.71364846777396</v>
      </c>
      <c r="Z269" s="228">
        <v>573</v>
      </c>
      <c r="AA269" s="233">
        <v>0.94365383676749304</v>
      </c>
      <c r="AB269" s="234">
        <v>-368.00464308086498</v>
      </c>
      <c r="AC269" s="219">
        <v>4.0000000000000001E-3</v>
      </c>
      <c r="AD269" s="219"/>
      <c r="AE269" s="227">
        <v>140</v>
      </c>
      <c r="AF269" s="227">
        <v>636</v>
      </c>
      <c r="AG269" s="218"/>
      <c r="AH269" s="231">
        <v>210.1</v>
      </c>
      <c r="AI269" s="217">
        <v>48.529262857687101</v>
      </c>
      <c r="AJ269" s="232" t="s">
        <v>53</v>
      </c>
      <c r="AK269" s="239">
        <v>0.77030575964582704</v>
      </c>
      <c r="AL269" s="222">
        <v>-87.741729893707699</v>
      </c>
      <c r="AM269" s="219"/>
      <c r="AN269" s="219"/>
      <c r="AO269" s="227">
        <v>63</v>
      </c>
      <c r="AP269" s="227">
        <v>118</v>
      </c>
      <c r="AQ269" s="218"/>
      <c r="AR269" s="231">
        <v>30.6</v>
      </c>
      <c r="AS269" s="217">
        <v>7.0680411396726601</v>
      </c>
      <c r="AT269" s="232" t="s">
        <v>54</v>
      </c>
      <c r="AU269" s="224">
        <v>0.44175257122954098</v>
      </c>
      <c r="AV269" s="225">
        <v>-45.0423440999893</v>
      </c>
      <c r="AW269" s="219"/>
      <c r="AX269" s="219"/>
      <c r="AY269" s="227">
        <v>39</v>
      </c>
      <c r="AZ269" s="227">
        <v>53</v>
      </c>
      <c r="BA269" s="218"/>
      <c r="BB269" s="235">
        <v>152.80000000000001</v>
      </c>
      <c r="BC269" s="231">
        <v>35.294009351045197</v>
      </c>
      <c r="BD269" s="232" t="s">
        <v>55</v>
      </c>
      <c r="BE269" s="229">
        <v>1.10293779222016</v>
      </c>
      <c r="BF269" s="230">
        <v>1.51531180002149</v>
      </c>
      <c r="BG269" s="219">
        <v>0.02</v>
      </c>
      <c r="BH269" s="219">
        <v>0.01</v>
      </c>
      <c r="BI269" s="227">
        <v>0</v>
      </c>
      <c r="BJ269" s="227">
        <v>14</v>
      </c>
      <c r="BK269" s="220"/>
      <c r="BL269" s="236">
        <v>0.8</v>
      </c>
      <c r="BM269" s="239">
        <v>0.79</v>
      </c>
      <c r="BN269" s="237"/>
      <c r="BO269" s="238">
        <v>0.95</v>
      </c>
      <c r="BP269" s="229">
        <v>1</v>
      </c>
      <c r="BQ269" s="237">
        <v>2.5000000000000001E-3</v>
      </c>
    </row>
    <row r="270" spans="1:69" s="207" customFormat="1" ht="22.35" customHeight="1" x14ac:dyDescent="0.2">
      <c r="A270" s="216" t="s">
        <v>339</v>
      </c>
      <c r="B270" s="216" t="s">
        <v>340</v>
      </c>
      <c r="C270" s="216" t="s">
        <v>341</v>
      </c>
      <c r="D270" s="217">
        <v>3.4371100664444398</v>
      </c>
      <c r="E270" s="218"/>
      <c r="F270" s="219">
        <v>0.01</v>
      </c>
      <c r="G270" s="219">
        <v>0.01</v>
      </c>
      <c r="H270" s="220"/>
      <c r="I270" s="221">
        <v>3</v>
      </c>
      <c r="J270" s="221">
        <v>3</v>
      </c>
      <c r="K270" s="218"/>
      <c r="L270" s="222">
        <v>1791.69309</v>
      </c>
      <c r="M270" s="222">
        <v>2750.7207800000001</v>
      </c>
      <c r="N270" s="222">
        <v>4542.4138700000003</v>
      </c>
      <c r="O270" s="217">
        <v>1321.57940309981</v>
      </c>
      <c r="P270" s="223">
        <v>242.35900000000001</v>
      </c>
      <c r="Q270" s="229">
        <v>5.4529825717213303</v>
      </c>
      <c r="R270" s="230">
        <v>3632.7619720160001</v>
      </c>
      <c r="S270" s="219">
        <v>0.01</v>
      </c>
      <c r="T270" s="219">
        <v>0.01</v>
      </c>
      <c r="U270" s="226">
        <v>0</v>
      </c>
      <c r="V270" s="227">
        <v>0</v>
      </c>
      <c r="W270" s="218"/>
      <c r="X270" s="226">
        <v>1356.5941499999999</v>
      </c>
      <c r="Y270" s="217">
        <v>394.69034269343098</v>
      </c>
      <c r="Z270" s="228">
        <v>573</v>
      </c>
      <c r="AA270" s="224">
        <v>0.68881386159412095</v>
      </c>
      <c r="AB270" s="225">
        <v>-794.06061233534899</v>
      </c>
      <c r="AC270" s="219"/>
      <c r="AD270" s="219"/>
      <c r="AE270" s="227">
        <v>613</v>
      </c>
      <c r="AF270" s="227">
        <v>1007</v>
      </c>
      <c r="AG270" s="218"/>
      <c r="AH270" s="231">
        <v>125.8</v>
      </c>
      <c r="AI270" s="217">
        <v>36.600515423742401</v>
      </c>
      <c r="AJ270" s="232" t="s">
        <v>53</v>
      </c>
      <c r="AK270" s="224">
        <v>0.58096056228162496</v>
      </c>
      <c r="AL270" s="225">
        <v>-110.659424131112</v>
      </c>
      <c r="AM270" s="219"/>
      <c r="AN270" s="219"/>
      <c r="AO270" s="227">
        <v>91</v>
      </c>
      <c r="AP270" s="227">
        <v>135</v>
      </c>
      <c r="AQ270" s="218"/>
      <c r="AR270" s="231">
        <v>15.8</v>
      </c>
      <c r="AS270" s="217">
        <v>4.5968850850169298</v>
      </c>
      <c r="AT270" s="232" t="s">
        <v>54</v>
      </c>
      <c r="AU270" s="224">
        <v>0.287305317813558</v>
      </c>
      <c r="AV270" s="225">
        <v>-44.2531870809173</v>
      </c>
      <c r="AW270" s="219"/>
      <c r="AX270" s="219"/>
      <c r="AY270" s="227">
        <v>40</v>
      </c>
      <c r="AZ270" s="227">
        <v>51</v>
      </c>
      <c r="BA270" s="218"/>
      <c r="BB270" s="235">
        <v>93.6</v>
      </c>
      <c r="BC270" s="231">
        <v>27.232179997315399</v>
      </c>
      <c r="BD270" s="232" t="s">
        <v>55</v>
      </c>
      <c r="BE270" s="239">
        <v>0.85100562491610798</v>
      </c>
      <c r="BF270" s="222">
        <v>-26.506374161834501</v>
      </c>
      <c r="BG270" s="219"/>
      <c r="BH270" s="219"/>
      <c r="BI270" s="227">
        <v>17</v>
      </c>
      <c r="BJ270" s="227">
        <v>39</v>
      </c>
      <c r="BK270" s="220"/>
      <c r="BL270" s="236">
        <v>0.8</v>
      </c>
      <c r="BM270" s="233">
        <v>0.83</v>
      </c>
      <c r="BN270" s="237">
        <v>1.1249999999999999E-3</v>
      </c>
      <c r="BO270" s="238">
        <v>0.95</v>
      </c>
      <c r="BP270" s="229">
        <v>1</v>
      </c>
      <c r="BQ270" s="237">
        <v>2.5000000000000001E-3</v>
      </c>
    </row>
    <row r="271" spans="1:69" s="207" customFormat="1" ht="22.35" customHeight="1" x14ac:dyDescent="0.2">
      <c r="A271" s="216" t="s">
        <v>339</v>
      </c>
      <c r="B271" s="216" t="s">
        <v>340</v>
      </c>
      <c r="C271" s="216" t="s">
        <v>342</v>
      </c>
      <c r="D271" s="217">
        <v>2.6865209235555598</v>
      </c>
      <c r="E271" s="218"/>
      <c r="F271" s="219">
        <v>0.05</v>
      </c>
      <c r="G271" s="219">
        <v>3.7999999999999999E-2</v>
      </c>
      <c r="H271" s="220"/>
      <c r="I271" s="221">
        <v>4</v>
      </c>
      <c r="J271" s="221">
        <v>4</v>
      </c>
      <c r="K271" s="218"/>
      <c r="L271" s="222">
        <v>1001.21659</v>
      </c>
      <c r="M271" s="222">
        <v>-29.028079999999999</v>
      </c>
      <c r="N271" s="222">
        <v>972.18850999999995</v>
      </c>
      <c r="O271" s="217">
        <v>361.876396150799</v>
      </c>
      <c r="P271" s="223">
        <v>212.5</v>
      </c>
      <c r="Q271" s="229">
        <v>1.70294774659199</v>
      </c>
      <c r="R271" s="230">
        <v>348.78132968893198</v>
      </c>
      <c r="S271" s="219">
        <v>0.01</v>
      </c>
      <c r="T271" s="219">
        <v>0.01</v>
      </c>
      <c r="U271" s="226">
        <v>0</v>
      </c>
      <c r="V271" s="227">
        <v>0</v>
      </c>
      <c r="W271" s="218"/>
      <c r="X271" s="226">
        <v>1819.8643300000001</v>
      </c>
      <c r="Y271" s="217">
        <v>677.40560441697505</v>
      </c>
      <c r="Z271" s="228">
        <v>573</v>
      </c>
      <c r="AA271" s="229">
        <v>1.182208733712</v>
      </c>
      <c r="AB271" s="230">
        <v>138.86520379650901</v>
      </c>
      <c r="AC271" s="219">
        <v>0.02</v>
      </c>
      <c r="AD271" s="219">
        <v>1.7999999999999999E-2</v>
      </c>
      <c r="AE271" s="227">
        <v>0</v>
      </c>
      <c r="AF271" s="227">
        <v>28</v>
      </c>
      <c r="AG271" s="218"/>
      <c r="AH271" s="231">
        <v>150.9</v>
      </c>
      <c r="AI271" s="217">
        <v>56.169300107399501</v>
      </c>
      <c r="AJ271" s="232" t="s">
        <v>53</v>
      </c>
      <c r="AK271" s="239">
        <v>0.89157619218094397</v>
      </c>
      <c r="AL271" s="222">
        <v>-33.921893456928302</v>
      </c>
      <c r="AM271" s="219"/>
      <c r="AN271" s="219"/>
      <c r="AO271" s="227">
        <v>19</v>
      </c>
      <c r="AP271" s="227">
        <v>53</v>
      </c>
      <c r="AQ271" s="218"/>
      <c r="AR271" s="231">
        <v>15</v>
      </c>
      <c r="AS271" s="217">
        <v>5.58342943413514</v>
      </c>
      <c r="AT271" s="232" t="s">
        <v>54</v>
      </c>
      <c r="AU271" s="224">
        <v>0.34896433963344597</v>
      </c>
      <c r="AV271" s="225">
        <v>-31.938893576362702</v>
      </c>
      <c r="AW271" s="219"/>
      <c r="AX271" s="219"/>
      <c r="AY271" s="227">
        <v>28</v>
      </c>
      <c r="AZ271" s="227">
        <v>37</v>
      </c>
      <c r="BA271" s="218"/>
      <c r="BB271" s="235">
        <v>94.4</v>
      </c>
      <c r="BC271" s="231">
        <v>35.138382572157099</v>
      </c>
      <c r="BD271" s="232" t="s">
        <v>55</v>
      </c>
      <c r="BE271" s="229">
        <v>1.09807445537991</v>
      </c>
      <c r="BF271" s="230">
        <v>0.522212847274517</v>
      </c>
      <c r="BG271" s="219">
        <v>0.02</v>
      </c>
      <c r="BH271" s="219">
        <v>0.01</v>
      </c>
      <c r="BI271" s="227">
        <v>0</v>
      </c>
      <c r="BJ271" s="227">
        <v>9</v>
      </c>
      <c r="BK271" s="220"/>
      <c r="BL271" s="236">
        <v>0.8</v>
      </c>
      <c r="BM271" s="239">
        <v>0.75</v>
      </c>
      <c r="BN271" s="237"/>
      <c r="BO271" s="238">
        <v>0.95</v>
      </c>
      <c r="BP271" s="229">
        <v>1</v>
      </c>
      <c r="BQ271" s="237">
        <v>2.5000000000000001E-3</v>
      </c>
    </row>
    <row r="272" spans="1:69" s="207" customFormat="1" ht="22.35" customHeight="1" x14ac:dyDescent="0.2">
      <c r="A272" s="216" t="s">
        <v>339</v>
      </c>
      <c r="B272" s="216" t="s">
        <v>340</v>
      </c>
      <c r="C272" s="216" t="s">
        <v>343</v>
      </c>
      <c r="D272" s="217">
        <v>1</v>
      </c>
      <c r="E272" s="218"/>
      <c r="F272" s="219">
        <v>0.03</v>
      </c>
      <c r="G272" s="219">
        <v>0.03</v>
      </c>
      <c r="H272" s="220"/>
      <c r="I272" s="221">
        <v>4</v>
      </c>
      <c r="J272" s="221">
        <v>4</v>
      </c>
      <c r="K272" s="218"/>
      <c r="L272" s="222">
        <v>514.62725</v>
      </c>
      <c r="M272" s="222">
        <v>225.52687</v>
      </c>
      <c r="N272" s="222">
        <v>740.15412000000003</v>
      </c>
      <c r="O272" s="217">
        <v>740.15412000000003</v>
      </c>
      <c r="P272" s="223">
        <v>212.5</v>
      </c>
      <c r="Q272" s="229">
        <v>3.4830782117647101</v>
      </c>
      <c r="R272" s="230">
        <v>508.10412000000002</v>
      </c>
      <c r="S272" s="219">
        <v>0.01</v>
      </c>
      <c r="T272" s="219">
        <v>0.01</v>
      </c>
      <c r="U272" s="226">
        <v>0</v>
      </c>
      <c r="V272" s="227">
        <v>0</v>
      </c>
      <c r="W272" s="218"/>
      <c r="X272" s="226">
        <v>350.16750500000001</v>
      </c>
      <c r="Y272" s="217">
        <v>350.16750500000001</v>
      </c>
      <c r="Z272" s="228">
        <v>573</v>
      </c>
      <c r="AA272" s="224">
        <v>0.61111257417103004</v>
      </c>
      <c r="AB272" s="225">
        <v>-275.548495</v>
      </c>
      <c r="AC272" s="219"/>
      <c r="AD272" s="219"/>
      <c r="AE272" s="227">
        <v>223</v>
      </c>
      <c r="AF272" s="227">
        <v>338</v>
      </c>
      <c r="AG272" s="218"/>
      <c r="AH272" s="231">
        <v>51.7</v>
      </c>
      <c r="AI272" s="217">
        <v>51.7</v>
      </c>
      <c r="AJ272" s="232" t="s">
        <v>53</v>
      </c>
      <c r="AK272" s="239">
        <v>0.82063492063492105</v>
      </c>
      <c r="AL272" s="222">
        <v>-17.096</v>
      </c>
      <c r="AM272" s="219"/>
      <c r="AN272" s="219"/>
      <c r="AO272" s="227">
        <v>12</v>
      </c>
      <c r="AP272" s="227">
        <v>24</v>
      </c>
      <c r="AQ272" s="218"/>
      <c r="AR272" s="231">
        <v>1</v>
      </c>
      <c r="AS272" s="217">
        <v>1</v>
      </c>
      <c r="AT272" s="232" t="s">
        <v>54</v>
      </c>
      <c r="AU272" s="224">
        <v>6.25E-2</v>
      </c>
      <c r="AV272" s="225">
        <v>-16.472000000000001</v>
      </c>
      <c r="AW272" s="219"/>
      <c r="AX272" s="219"/>
      <c r="AY272" s="227">
        <v>15</v>
      </c>
      <c r="AZ272" s="227">
        <v>19</v>
      </c>
      <c r="BA272" s="218"/>
      <c r="BB272" s="235">
        <v>47.2</v>
      </c>
      <c r="BC272" s="231">
        <v>47.2</v>
      </c>
      <c r="BD272" s="232" t="s">
        <v>55</v>
      </c>
      <c r="BE272" s="229">
        <v>1.4750000000000001</v>
      </c>
      <c r="BF272" s="230">
        <v>12.256</v>
      </c>
      <c r="BG272" s="219">
        <v>0.02</v>
      </c>
      <c r="BH272" s="219">
        <v>0.02</v>
      </c>
      <c r="BI272" s="227">
        <v>0</v>
      </c>
      <c r="BJ272" s="227">
        <v>0</v>
      </c>
      <c r="BK272" s="220"/>
      <c r="BL272" s="236">
        <v>0.8</v>
      </c>
      <c r="BM272" s="233">
        <v>0.85</v>
      </c>
      <c r="BN272" s="237">
        <v>1.8749999999999999E-3</v>
      </c>
      <c r="BO272" s="238">
        <v>0.95</v>
      </c>
      <c r="BP272" s="229">
        <v>1</v>
      </c>
      <c r="BQ272" s="237">
        <v>2.5000000000000001E-3</v>
      </c>
    </row>
    <row r="273" spans="1:69" s="207" customFormat="1" ht="22.35" customHeight="1" x14ac:dyDescent="0.2">
      <c r="A273" s="216" t="s">
        <v>339</v>
      </c>
      <c r="B273" s="216" t="s">
        <v>340</v>
      </c>
      <c r="C273" s="216" t="s">
        <v>344</v>
      </c>
      <c r="D273" s="217">
        <v>2.6251377059999998</v>
      </c>
      <c r="E273" s="218"/>
      <c r="F273" s="219"/>
      <c r="G273" s="219"/>
      <c r="H273" s="220"/>
      <c r="I273" s="221">
        <v>2</v>
      </c>
      <c r="J273" s="221">
        <v>2</v>
      </c>
      <c r="K273" s="218"/>
      <c r="L273" s="222">
        <v>833.91980000000001</v>
      </c>
      <c r="M273" s="222">
        <v>-663.44854999999995</v>
      </c>
      <c r="N273" s="222">
        <v>170.47125</v>
      </c>
      <c r="O273" s="217">
        <v>64.938021959904006</v>
      </c>
      <c r="P273" s="223">
        <v>212.5</v>
      </c>
      <c r="Q273" s="224">
        <v>0.30559069157601898</v>
      </c>
      <c r="R273" s="225">
        <v>-438.69195467729998</v>
      </c>
      <c r="S273" s="219"/>
      <c r="T273" s="219"/>
      <c r="U273" s="226">
        <v>388</v>
      </c>
      <c r="V273" s="227">
        <v>499</v>
      </c>
      <c r="W273" s="218"/>
      <c r="X273" s="226">
        <v>1338.6740299999999</v>
      </c>
      <c r="Y273" s="217">
        <v>509.94430766063601</v>
      </c>
      <c r="Z273" s="228">
        <v>573</v>
      </c>
      <c r="AA273" s="239">
        <v>0.88995516171140598</v>
      </c>
      <c r="AB273" s="222">
        <v>-303.91663484749603</v>
      </c>
      <c r="AC273" s="219"/>
      <c r="AD273" s="219"/>
      <c r="AE273" s="227">
        <v>166</v>
      </c>
      <c r="AF273" s="227">
        <v>467</v>
      </c>
      <c r="AG273" s="218"/>
      <c r="AH273" s="231">
        <v>78.2</v>
      </c>
      <c r="AI273" s="217">
        <v>29.7889134810972</v>
      </c>
      <c r="AJ273" s="232" t="s">
        <v>53</v>
      </c>
      <c r="AK273" s="224">
        <v>0.47283989652535202</v>
      </c>
      <c r="AL273" s="225">
        <v>-102.398973621976</v>
      </c>
      <c r="AM273" s="219"/>
      <c r="AN273" s="219"/>
      <c r="AO273" s="227">
        <v>88</v>
      </c>
      <c r="AP273" s="227">
        <v>121</v>
      </c>
      <c r="AQ273" s="218"/>
      <c r="AR273" s="231">
        <v>6</v>
      </c>
      <c r="AS273" s="217">
        <v>2.28559438473892</v>
      </c>
      <c r="AT273" s="232" t="s">
        <v>54</v>
      </c>
      <c r="AU273" s="224">
        <v>0.142849649046182</v>
      </c>
      <c r="AV273" s="225">
        <v>-39.866405999232001</v>
      </c>
      <c r="AW273" s="219"/>
      <c r="AX273" s="219"/>
      <c r="AY273" s="227">
        <v>37</v>
      </c>
      <c r="AZ273" s="227">
        <v>45</v>
      </c>
      <c r="BA273" s="218"/>
      <c r="BB273" s="235">
        <v>43.6</v>
      </c>
      <c r="BC273" s="231">
        <v>16.608652529102802</v>
      </c>
      <c r="BD273" s="232" t="s">
        <v>55</v>
      </c>
      <c r="BE273" s="224">
        <v>0.519020391534462</v>
      </c>
      <c r="BF273" s="225">
        <v>-48.132811998464</v>
      </c>
      <c r="BG273" s="219"/>
      <c r="BH273" s="219"/>
      <c r="BI273" s="227">
        <v>41</v>
      </c>
      <c r="BJ273" s="227">
        <v>58</v>
      </c>
      <c r="BK273" s="220"/>
      <c r="BL273" s="236">
        <v>0.8</v>
      </c>
      <c r="BM273" s="233">
        <v>0.82</v>
      </c>
      <c r="BN273" s="237">
        <v>7.5000000000000002E-4</v>
      </c>
      <c r="BO273" s="238">
        <v>0.95</v>
      </c>
      <c r="BP273" s="229">
        <v>1</v>
      </c>
      <c r="BQ273" s="237">
        <v>2.5000000000000001E-3</v>
      </c>
    </row>
    <row r="274" spans="1:69" s="207" customFormat="1" ht="22.35" customHeight="1" x14ac:dyDescent="0.2">
      <c r="A274" s="216" t="s">
        <v>339</v>
      </c>
      <c r="B274" s="216" t="s">
        <v>340</v>
      </c>
      <c r="C274" s="216" t="s">
        <v>345</v>
      </c>
      <c r="D274" s="217">
        <v>4.5014537384444404</v>
      </c>
      <c r="E274" s="218"/>
      <c r="F274" s="219">
        <v>0.01</v>
      </c>
      <c r="G274" s="219">
        <v>0.01</v>
      </c>
      <c r="H274" s="220"/>
      <c r="I274" s="221">
        <v>3</v>
      </c>
      <c r="J274" s="221">
        <v>3</v>
      </c>
      <c r="K274" s="218"/>
      <c r="L274" s="222">
        <v>3027.5766699999999</v>
      </c>
      <c r="M274" s="222">
        <v>-333.04876000000002</v>
      </c>
      <c r="N274" s="222">
        <v>2694.5279099999998</v>
      </c>
      <c r="O274" s="217">
        <v>598.59060351715198</v>
      </c>
      <c r="P274" s="223">
        <v>218.52799999999999</v>
      </c>
      <c r="Q274" s="229">
        <v>2.7391940781829001</v>
      </c>
      <c r="R274" s="230">
        <v>1620.33440865017</v>
      </c>
      <c r="S274" s="219">
        <v>0.01</v>
      </c>
      <c r="T274" s="219">
        <v>0.01</v>
      </c>
      <c r="U274" s="226">
        <v>0</v>
      </c>
      <c r="V274" s="227">
        <v>0</v>
      </c>
      <c r="W274" s="218"/>
      <c r="X274" s="226">
        <v>2284.5295099999998</v>
      </c>
      <c r="Y274" s="217">
        <v>507.50927205784399</v>
      </c>
      <c r="Z274" s="228">
        <v>573</v>
      </c>
      <c r="AA274" s="239">
        <v>0.88570553587756295</v>
      </c>
      <c r="AB274" s="222">
        <v>-532.10211740450097</v>
      </c>
      <c r="AC274" s="219"/>
      <c r="AD274" s="219"/>
      <c r="AE274" s="227">
        <v>295</v>
      </c>
      <c r="AF274" s="227">
        <v>811</v>
      </c>
      <c r="AG274" s="218"/>
      <c r="AH274" s="231">
        <v>167.9</v>
      </c>
      <c r="AI274" s="217">
        <v>37.299061537844601</v>
      </c>
      <c r="AJ274" s="232" t="s">
        <v>53</v>
      </c>
      <c r="AK274" s="224">
        <v>0.59204859583880298</v>
      </c>
      <c r="AL274" s="225">
        <v>-141.782011390024</v>
      </c>
      <c r="AM274" s="219"/>
      <c r="AN274" s="219"/>
      <c r="AO274" s="227">
        <v>116</v>
      </c>
      <c r="AP274" s="227">
        <v>173</v>
      </c>
      <c r="AQ274" s="218"/>
      <c r="AR274" s="231">
        <v>19.3</v>
      </c>
      <c r="AS274" s="217">
        <v>4.2875037979773696</v>
      </c>
      <c r="AT274" s="232" t="s">
        <v>54</v>
      </c>
      <c r="AU274" s="224">
        <v>0.26796898737358599</v>
      </c>
      <c r="AV274" s="225">
        <v>-59.349399718101303</v>
      </c>
      <c r="AW274" s="219"/>
      <c r="AX274" s="219"/>
      <c r="AY274" s="227">
        <v>53</v>
      </c>
      <c r="AZ274" s="227">
        <v>68</v>
      </c>
      <c r="BA274" s="218"/>
      <c r="BB274" s="235">
        <v>122.4</v>
      </c>
      <c r="BC274" s="231">
        <v>27.191215796499002</v>
      </c>
      <c r="BD274" s="232" t="s">
        <v>55</v>
      </c>
      <c r="BE274" s="239">
        <v>0.84972549364059302</v>
      </c>
      <c r="BF274" s="222">
        <v>-34.898799436202502</v>
      </c>
      <c r="BG274" s="219"/>
      <c r="BH274" s="219"/>
      <c r="BI274" s="227">
        <v>22</v>
      </c>
      <c r="BJ274" s="227">
        <v>51</v>
      </c>
      <c r="BK274" s="220"/>
      <c r="BL274" s="236">
        <v>0.8</v>
      </c>
      <c r="BM274" s="233">
        <v>0.85</v>
      </c>
      <c r="BN274" s="237">
        <v>1.8749999999999999E-3</v>
      </c>
      <c r="BO274" s="238">
        <v>0.95</v>
      </c>
      <c r="BP274" s="229">
        <v>1</v>
      </c>
      <c r="BQ274" s="237">
        <v>2.5000000000000001E-3</v>
      </c>
    </row>
    <row r="275" spans="1:69" s="207" customFormat="1" ht="22.35" customHeight="1" x14ac:dyDescent="0.2">
      <c r="A275" s="216" t="s">
        <v>339</v>
      </c>
      <c r="B275" s="216" t="s">
        <v>340</v>
      </c>
      <c r="C275" s="216" t="s">
        <v>346</v>
      </c>
      <c r="D275" s="217">
        <v>8.6759634033333306</v>
      </c>
      <c r="E275" s="218"/>
      <c r="F275" s="219">
        <v>0.03</v>
      </c>
      <c r="G275" s="219">
        <v>0.03</v>
      </c>
      <c r="H275" s="220"/>
      <c r="I275" s="221">
        <v>3</v>
      </c>
      <c r="J275" s="221">
        <v>3</v>
      </c>
      <c r="K275" s="218"/>
      <c r="L275" s="222">
        <v>7631.9891200000002</v>
      </c>
      <c r="M275" s="222">
        <v>3454.4063599999999</v>
      </c>
      <c r="N275" s="222">
        <v>11086.395479999999</v>
      </c>
      <c r="O275" s="217">
        <v>1277.8287510687901</v>
      </c>
      <c r="P275" s="223">
        <v>246.08699999999999</v>
      </c>
      <c r="Q275" s="229">
        <v>5.1925894137796398</v>
      </c>
      <c r="R275" s="230">
        <v>8754.9298278085898</v>
      </c>
      <c r="S275" s="219">
        <v>0.01</v>
      </c>
      <c r="T275" s="219">
        <v>0.01</v>
      </c>
      <c r="U275" s="226">
        <v>0</v>
      </c>
      <c r="V275" s="227">
        <v>0</v>
      </c>
      <c r="W275" s="218"/>
      <c r="X275" s="226">
        <v>4102.5174299999999</v>
      </c>
      <c r="Y275" s="217">
        <v>472.86015849534402</v>
      </c>
      <c r="Z275" s="228">
        <v>573</v>
      </c>
      <c r="AA275" s="239">
        <v>0.82523587870042503</v>
      </c>
      <c r="AB275" s="222">
        <v>-1326.17168688012</v>
      </c>
      <c r="AC275" s="219"/>
      <c r="AD275" s="219"/>
      <c r="AE275" s="227">
        <v>869</v>
      </c>
      <c r="AF275" s="227">
        <v>1864</v>
      </c>
      <c r="AG275" s="218"/>
      <c r="AH275" s="231">
        <v>474.15</v>
      </c>
      <c r="AI275" s="217">
        <v>54.650991245286903</v>
      </c>
      <c r="AJ275" s="232" t="s">
        <v>53</v>
      </c>
      <c r="AK275" s="239">
        <v>0.86747605151249096</v>
      </c>
      <c r="AL275" s="222">
        <v>-122.72157829571999</v>
      </c>
      <c r="AM275" s="219"/>
      <c r="AN275" s="219"/>
      <c r="AO275" s="227">
        <v>73</v>
      </c>
      <c r="AP275" s="227">
        <v>182</v>
      </c>
      <c r="AQ275" s="218"/>
      <c r="AR275" s="231">
        <v>49.7</v>
      </c>
      <c r="AS275" s="217">
        <v>5.7284704521581</v>
      </c>
      <c r="AT275" s="232" t="s">
        <v>54</v>
      </c>
      <c r="AU275" s="224">
        <v>0.35802940325988097</v>
      </c>
      <c r="AV275" s="225">
        <v>-101.88643258304</v>
      </c>
      <c r="AW275" s="219"/>
      <c r="AX275" s="219"/>
      <c r="AY275" s="227">
        <v>90</v>
      </c>
      <c r="AZ275" s="227">
        <v>117</v>
      </c>
      <c r="BA275" s="218"/>
      <c r="BB275" s="235">
        <v>535.79999999999995</v>
      </c>
      <c r="BC275" s="231">
        <v>61.756830347410599</v>
      </c>
      <c r="BD275" s="232" t="s">
        <v>55</v>
      </c>
      <c r="BE275" s="229">
        <v>1.9299009483565801</v>
      </c>
      <c r="BF275" s="230">
        <v>232.62713483392</v>
      </c>
      <c r="BG275" s="219">
        <v>0.02</v>
      </c>
      <c r="BH275" s="219">
        <v>0.02</v>
      </c>
      <c r="BI275" s="227">
        <v>0</v>
      </c>
      <c r="BJ275" s="227">
        <v>0</v>
      </c>
      <c r="BK275" s="220"/>
      <c r="BL275" s="236">
        <v>0.8</v>
      </c>
      <c r="BM275" s="239">
        <v>0.74</v>
      </c>
      <c r="BN275" s="237"/>
      <c r="BO275" s="238">
        <v>0.95</v>
      </c>
      <c r="BP275" s="229">
        <v>1</v>
      </c>
      <c r="BQ275" s="237">
        <v>2.5000000000000001E-3</v>
      </c>
    </row>
    <row r="276" spans="1:69" s="207" customFormat="1" ht="22.35" customHeight="1" x14ac:dyDescent="0.2">
      <c r="A276" s="216" t="s">
        <v>339</v>
      </c>
      <c r="B276" s="216" t="s">
        <v>340</v>
      </c>
      <c r="C276" s="216" t="s">
        <v>347</v>
      </c>
      <c r="D276" s="217">
        <v>1.8989247312222199</v>
      </c>
      <c r="E276" s="218"/>
      <c r="F276" s="219">
        <v>0.03</v>
      </c>
      <c r="G276" s="219">
        <v>0.03</v>
      </c>
      <c r="H276" s="220"/>
      <c r="I276" s="221">
        <v>3</v>
      </c>
      <c r="J276" s="221">
        <v>3</v>
      </c>
      <c r="K276" s="218"/>
      <c r="L276" s="222">
        <v>713.65629000000001</v>
      </c>
      <c r="M276" s="222">
        <v>582.46632999999997</v>
      </c>
      <c r="N276" s="222">
        <v>1296.1226200000001</v>
      </c>
      <c r="O276" s="217">
        <v>682.55607960077703</v>
      </c>
      <c r="P276" s="223">
        <v>246.08699999999999</v>
      </c>
      <c r="Q276" s="229">
        <v>2.7736372892545198</v>
      </c>
      <c r="R276" s="230">
        <v>785.830266157148</v>
      </c>
      <c r="S276" s="219">
        <v>0.01</v>
      </c>
      <c r="T276" s="219">
        <v>0.01</v>
      </c>
      <c r="U276" s="226">
        <v>0</v>
      </c>
      <c r="V276" s="227">
        <v>0</v>
      </c>
      <c r="W276" s="218"/>
      <c r="X276" s="226">
        <v>967.91809499999999</v>
      </c>
      <c r="Y276" s="217">
        <v>509.71904209021</v>
      </c>
      <c r="Z276" s="228">
        <v>573</v>
      </c>
      <c r="AA276" s="239">
        <v>0.889562028080645</v>
      </c>
      <c r="AB276" s="222">
        <v>-220.26949212144299</v>
      </c>
      <c r="AC276" s="219"/>
      <c r="AD276" s="219"/>
      <c r="AE276" s="227">
        <v>121</v>
      </c>
      <c r="AF276" s="227">
        <v>338</v>
      </c>
      <c r="AG276" s="218"/>
      <c r="AH276" s="231">
        <v>101.7</v>
      </c>
      <c r="AI276" s="217">
        <v>53.556625140450898</v>
      </c>
      <c r="AJ276" s="232" t="s">
        <v>53</v>
      </c>
      <c r="AK276" s="239">
        <v>0.85010516095953803</v>
      </c>
      <c r="AL276" s="222">
        <v>-28.938425809163899</v>
      </c>
      <c r="AM276" s="219"/>
      <c r="AN276" s="219"/>
      <c r="AO276" s="227">
        <v>18</v>
      </c>
      <c r="AP276" s="227">
        <v>42</v>
      </c>
      <c r="AQ276" s="218"/>
      <c r="AR276" s="231">
        <v>15.8</v>
      </c>
      <c r="AS276" s="217">
        <v>8.320498301073</v>
      </c>
      <c r="AT276" s="232" t="s">
        <v>54</v>
      </c>
      <c r="AU276" s="224">
        <v>0.52003114381706295</v>
      </c>
      <c r="AV276" s="225">
        <v>-17.378012903914598</v>
      </c>
      <c r="AW276" s="219"/>
      <c r="AX276" s="219"/>
      <c r="AY276" s="227">
        <v>15</v>
      </c>
      <c r="AZ276" s="227">
        <v>21</v>
      </c>
      <c r="BA276" s="218"/>
      <c r="BB276" s="235">
        <v>83.4</v>
      </c>
      <c r="BC276" s="231">
        <v>43.919592298068899</v>
      </c>
      <c r="BD276" s="232" t="s">
        <v>55</v>
      </c>
      <c r="BE276" s="229">
        <v>1.37248725931465</v>
      </c>
      <c r="BF276" s="230">
        <v>17.043974192170801</v>
      </c>
      <c r="BG276" s="219">
        <v>0.02</v>
      </c>
      <c r="BH276" s="219">
        <v>0.02</v>
      </c>
      <c r="BI276" s="227">
        <v>0</v>
      </c>
      <c r="BJ276" s="227">
        <v>0</v>
      </c>
      <c r="BK276" s="220"/>
      <c r="BL276" s="236">
        <v>0.8</v>
      </c>
      <c r="BM276" s="239">
        <v>0.78</v>
      </c>
      <c r="BN276" s="237"/>
      <c r="BO276" s="238">
        <v>0.95</v>
      </c>
      <c r="BP276" s="229">
        <v>1</v>
      </c>
      <c r="BQ276" s="237">
        <v>2.5000000000000001E-3</v>
      </c>
    </row>
    <row r="277" spans="1:69" s="207" customFormat="1" ht="22.35" customHeight="1" x14ac:dyDescent="0.2">
      <c r="A277" s="216" t="s">
        <v>339</v>
      </c>
      <c r="B277" s="216" t="s">
        <v>340</v>
      </c>
      <c r="C277" s="216" t="s">
        <v>348</v>
      </c>
      <c r="D277" s="217">
        <v>1.8613756613333301</v>
      </c>
      <c r="E277" s="218"/>
      <c r="F277" s="219">
        <v>0.08</v>
      </c>
      <c r="G277" s="219">
        <v>0.08</v>
      </c>
      <c r="H277" s="220"/>
      <c r="I277" s="221">
        <v>7</v>
      </c>
      <c r="J277" s="221">
        <v>7</v>
      </c>
      <c r="K277" s="218"/>
      <c r="L277" s="222">
        <v>1223.3950199999999</v>
      </c>
      <c r="M277" s="222">
        <v>2838.4063099999998</v>
      </c>
      <c r="N277" s="222">
        <v>4061.8013299999998</v>
      </c>
      <c r="O277" s="217">
        <v>2182.15023134581</v>
      </c>
      <c r="P277" s="223">
        <v>246.08699999999999</v>
      </c>
      <c r="Q277" s="229">
        <v>8.8673933663534008</v>
      </c>
      <c r="R277" s="230">
        <v>3561.5994252113801</v>
      </c>
      <c r="S277" s="219">
        <v>0.01</v>
      </c>
      <c r="T277" s="219">
        <v>0.01</v>
      </c>
      <c r="U277" s="226">
        <v>0</v>
      </c>
      <c r="V277" s="227">
        <v>0</v>
      </c>
      <c r="W277" s="218"/>
      <c r="X277" s="226">
        <v>1735.7796249999999</v>
      </c>
      <c r="Y277" s="217">
        <v>932.52515387282597</v>
      </c>
      <c r="Z277" s="228">
        <v>573</v>
      </c>
      <c r="AA277" s="229">
        <v>1.62744354951628</v>
      </c>
      <c r="AB277" s="230">
        <v>571.08709169315398</v>
      </c>
      <c r="AC277" s="219">
        <v>0.02</v>
      </c>
      <c r="AD277" s="219">
        <v>0.02</v>
      </c>
      <c r="AE277" s="227">
        <v>0</v>
      </c>
      <c r="AF277" s="227">
        <v>0</v>
      </c>
      <c r="AG277" s="218"/>
      <c r="AH277" s="231">
        <v>140.80000000000001</v>
      </c>
      <c r="AI277" s="217">
        <v>75.642978967041302</v>
      </c>
      <c r="AJ277" s="232" t="s">
        <v>53</v>
      </c>
      <c r="AK277" s="229">
        <v>1.20068220582605</v>
      </c>
      <c r="AL277" s="230">
        <v>12.7448000029122</v>
      </c>
      <c r="AM277" s="219">
        <v>0.02</v>
      </c>
      <c r="AN277" s="219">
        <v>0.02</v>
      </c>
      <c r="AO277" s="227">
        <v>0</v>
      </c>
      <c r="AP277" s="227">
        <v>0</v>
      </c>
      <c r="AQ277" s="218"/>
      <c r="AR277" s="231">
        <v>47</v>
      </c>
      <c r="AS277" s="217">
        <v>25.250142126782301</v>
      </c>
      <c r="AT277" s="232" t="s">
        <v>54</v>
      </c>
      <c r="AU277" s="229">
        <v>1.57813388292389</v>
      </c>
      <c r="AV277" s="230">
        <v>14.4780444451841</v>
      </c>
      <c r="AW277" s="219">
        <v>0.01</v>
      </c>
      <c r="AX277" s="219">
        <v>0.01</v>
      </c>
      <c r="AY277" s="227">
        <v>0</v>
      </c>
      <c r="AZ277" s="227">
        <v>0</v>
      </c>
      <c r="BA277" s="218"/>
      <c r="BB277" s="235">
        <v>105.8</v>
      </c>
      <c r="BC277" s="231">
        <v>56.839681638586498</v>
      </c>
      <c r="BD277" s="232" t="s">
        <v>55</v>
      </c>
      <c r="BE277" s="229">
        <v>1.7762400512058301</v>
      </c>
      <c r="BF277" s="230">
        <v>40.756088890368098</v>
      </c>
      <c r="BG277" s="219">
        <v>0.02</v>
      </c>
      <c r="BH277" s="219">
        <v>0.02</v>
      </c>
      <c r="BI277" s="227">
        <v>0</v>
      </c>
      <c r="BJ277" s="227">
        <v>0</v>
      </c>
      <c r="BK277" s="220"/>
      <c r="BL277" s="236">
        <v>0.8</v>
      </c>
      <c r="BM277" s="233">
        <v>0.87</v>
      </c>
      <c r="BN277" s="237">
        <v>2.6250000000000002E-3</v>
      </c>
      <c r="BO277" s="238">
        <v>0.95</v>
      </c>
      <c r="BP277" s="229">
        <v>1</v>
      </c>
      <c r="BQ277" s="237">
        <v>2.5000000000000001E-3</v>
      </c>
    </row>
    <row r="278" spans="1:69" s="207" customFormat="1" ht="22.35" customHeight="1" x14ac:dyDescent="0.2">
      <c r="A278" s="216" t="s">
        <v>339</v>
      </c>
      <c r="B278" s="216" t="s">
        <v>340</v>
      </c>
      <c r="C278" s="216" t="s">
        <v>349</v>
      </c>
      <c r="D278" s="217">
        <v>4.0649831650000001</v>
      </c>
      <c r="E278" s="218"/>
      <c r="F278" s="219">
        <v>2.9000000000000001E-2</v>
      </c>
      <c r="G278" s="219">
        <v>1.7999999999999999E-2</v>
      </c>
      <c r="H278" s="220"/>
      <c r="I278" s="221">
        <v>3</v>
      </c>
      <c r="J278" s="221">
        <v>3</v>
      </c>
      <c r="K278" s="218"/>
      <c r="L278" s="222">
        <v>986.04044999999996</v>
      </c>
      <c r="M278" s="222">
        <v>616.46918000000005</v>
      </c>
      <c r="N278" s="222">
        <v>1602.50963</v>
      </c>
      <c r="O278" s="217">
        <v>394.22294384828001</v>
      </c>
      <c r="P278" s="223">
        <v>212.5</v>
      </c>
      <c r="Q278" s="229">
        <v>1.85516679458014</v>
      </c>
      <c r="R278" s="230">
        <v>659.23028656174995</v>
      </c>
      <c r="S278" s="219">
        <v>0.01</v>
      </c>
      <c r="T278" s="219">
        <v>0.01</v>
      </c>
      <c r="U278" s="226">
        <v>0</v>
      </c>
      <c r="V278" s="227">
        <v>0</v>
      </c>
      <c r="W278" s="218"/>
      <c r="X278" s="226">
        <v>1478.75477</v>
      </c>
      <c r="Y278" s="217">
        <v>363.77881776541102</v>
      </c>
      <c r="Z278" s="228">
        <v>573</v>
      </c>
      <c r="AA278" s="224">
        <v>0.63486704671101402</v>
      </c>
      <c r="AB278" s="225">
        <v>-1064.7702360711401</v>
      </c>
      <c r="AC278" s="219"/>
      <c r="AD278" s="219"/>
      <c r="AE278" s="227">
        <v>851</v>
      </c>
      <c r="AF278" s="227">
        <v>1317</v>
      </c>
      <c r="AG278" s="218"/>
      <c r="AH278" s="231">
        <v>153.5</v>
      </c>
      <c r="AI278" s="217">
        <v>37.761534001334503</v>
      </c>
      <c r="AJ278" s="232" t="s">
        <v>53</v>
      </c>
      <c r="AK278" s="224">
        <v>0.59938942859261202</v>
      </c>
      <c r="AL278" s="225">
        <v>-126.15458181934</v>
      </c>
      <c r="AM278" s="219"/>
      <c r="AN278" s="219"/>
      <c r="AO278" s="227">
        <v>103</v>
      </c>
      <c r="AP278" s="227">
        <v>154</v>
      </c>
      <c r="AQ278" s="218"/>
      <c r="AR278" s="231">
        <v>23.4</v>
      </c>
      <c r="AS278" s="217">
        <v>5.7564814047636998</v>
      </c>
      <c r="AT278" s="232" t="s">
        <v>54</v>
      </c>
      <c r="AU278" s="224">
        <v>0.35978008779773102</v>
      </c>
      <c r="AV278" s="225">
        <v>-47.623385858879999</v>
      </c>
      <c r="AW278" s="219"/>
      <c r="AX278" s="219"/>
      <c r="AY278" s="227">
        <v>42</v>
      </c>
      <c r="AZ278" s="227">
        <v>55</v>
      </c>
      <c r="BA278" s="218"/>
      <c r="BB278" s="235">
        <v>140.4</v>
      </c>
      <c r="BC278" s="231">
        <v>34.538888428582197</v>
      </c>
      <c r="BD278" s="232" t="s">
        <v>55</v>
      </c>
      <c r="BE278" s="233">
        <v>1.0793402633931899</v>
      </c>
      <c r="BF278" s="234">
        <v>-1.6467717177600001</v>
      </c>
      <c r="BG278" s="219">
        <v>1.9E-2</v>
      </c>
      <c r="BH278" s="219">
        <v>8.0000000000000002E-3</v>
      </c>
      <c r="BI278" s="227">
        <v>0</v>
      </c>
      <c r="BJ278" s="227">
        <v>16</v>
      </c>
      <c r="BK278" s="220"/>
      <c r="BL278" s="236">
        <v>0.8</v>
      </c>
      <c r="BM278" s="239">
        <v>0.79</v>
      </c>
      <c r="BN278" s="237"/>
      <c r="BO278" s="238">
        <v>0.95</v>
      </c>
      <c r="BP278" s="229">
        <v>1</v>
      </c>
      <c r="BQ278" s="237">
        <v>2.5000000000000001E-3</v>
      </c>
    </row>
    <row r="279" spans="1:69" s="207" customFormat="1" ht="22.35" customHeight="1" x14ac:dyDescent="0.2">
      <c r="A279" s="216" t="s">
        <v>339</v>
      </c>
      <c r="B279" s="216" t="s">
        <v>340</v>
      </c>
      <c r="C279" s="216" t="s">
        <v>350</v>
      </c>
      <c r="D279" s="217">
        <v>2.7843147968888902</v>
      </c>
      <c r="E279" s="218"/>
      <c r="F279" s="219">
        <v>1.0999999999999999E-2</v>
      </c>
      <c r="G279" s="219">
        <v>0.01</v>
      </c>
      <c r="H279" s="220"/>
      <c r="I279" s="221">
        <v>4</v>
      </c>
      <c r="J279" s="221">
        <v>3</v>
      </c>
      <c r="K279" s="218"/>
      <c r="L279" s="222">
        <v>1261.4038700000001</v>
      </c>
      <c r="M279" s="222">
        <v>495.44992000000002</v>
      </c>
      <c r="N279" s="222">
        <v>1756.8537899999999</v>
      </c>
      <c r="O279" s="217">
        <v>630.98245642448796</v>
      </c>
      <c r="P279" s="223">
        <v>243.43</v>
      </c>
      <c r="Q279" s="229">
        <v>2.59204887000159</v>
      </c>
      <c r="R279" s="230">
        <v>1016.71174990072</v>
      </c>
      <c r="S279" s="219">
        <v>0.01</v>
      </c>
      <c r="T279" s="219">
        <v>0.01</v>
      </c>
      <c r="U279" s="226">
        <v>0</v>
      </c>
      <c r="V279" s="227">
        <v>0</v>
      </c>
      <c r="W279" s="218"/>
      <c r="X279" s="226">
        <v>762.15051500000004</v>
      </c>
      <c r="Y279" s="217">
        <v>273.73000921146001</v>
      </c>
      <c r="Z279" s="228">
        <v>573</v>
      </c>
      <c r="AA279" s="224">
        <v>0.47771380316136097</v>
      </c>
      <c r="AB279" s="225">
        <v>-980.03980245012895</v>
      </c>
      <c r="AC279" s="219"/>
      <c r="AD279" s="219"/>
      <c r="AE279" s="227">
        <v>834</v>
      </c>
      <c r="AF279" s="227">
        <v>1153</v>
      </c>
      <c r="AG279" s="218"/>
      <c r="AH279" s="231">
        <v>150.19999999999999</v>
      </c>
      <c r="AI279" s="217">
        <v>53.945049664581397</v>
      </c>
      <c r="AJ279" s="232" t="s">
        <v>53</v>
      </c>
      <c r="AK279" s="239">
        <v>0.85627062959653</v>
      </c>
      <c r="AL279" s="222">
        <v>-41.349720766768101</v>
      </c>
      <c r="AM279" s="219"/>
      <c r="AN279" s="219"/>
      <c r="AO279" s="227">
        <v>26</v>
      </c>
      <c r="AP279" s="227">
        <v>61</v>
      </c>
      <c r="AQ279" s="218"/>
      <c r="AR279" s="231">
        <v>8.8000000000000007</v>
      </c>
      <c r="AS279" s="217">
        <v>3.1605621641032999</v>
      </c>
      <c r="AT279" s="232" t="s">
        <v>54</v>
      </c>
      <c r="AU279" s="224">
        <v>0.197535135256456</v>
      </c>
      <c r="AV279" s="225">
        <v>-39.847548131242696</v>
      </c>
      <c r="AW279" s="219"/>
      <c r="AX279" s="219"/>
      <c r="AY279" s="227">
        <v>36</v>
      </c>
      <c r="AZ279" s="227">
        <v>45</v>
      </c>
      <c r="BA279" s="218"/>
      <c r="BB279" s="235">
        <v>81.8</v>
      </c>
      <c r="BC279" s="231">
        <v>29.3788619345057</v>
      </c>
      <c r="BD279" s="232" t="s">
        <v>55</v>
      </c>
      <c r="BE279" s="233">
        <v>0.91808943545330302</v>
      </c>
      <c r="BF279" s="234">
        <v>-15.495096262485401</v>
      </c>
      <c r="BG279" s="219">
        <v>1E-3</v>
      </c>
      <c r="BH279" s="219"/>
      <c r="BI279" s="227">
        <v>8</v>
      </c>
      <c r="BJ279" s="227">
        <v>26</v>
      </c>
      <c r="BK279" s="220"/>
      <c r="BL279" s="236">
        <v>0.8</v>
      </c>
      <c r="BM279" s="233">
        <v>0.82</v>
      </c>
      <c r="BN279" s="237">
        <v>7.5000000000000002E-4</v>
      </c>
      <c r="BO279" s="238">
        <v>0.95</v>
      </c>
      <c r="BP279" s="229">
        <v>1</v>
      </c>
      <c r="BQ279" s="237">
        <v>2.5000000000000001E-3</v>
      </c>
    </row>
    <row r="280" spans="1:69" s="207" customFormat="1" ht="22.35" customHeight="1" x14ac:dyDescent="0.2">
      <c r="A280" s="216" t="s">
        <v>339</v>
      </c>
      <c r="B280" s="216" t="s">
        <v>340</v>
      </c>
      <c r="C280" s="216" t="s">
        <v>351</v>
      </c>
      <c r="D280" s="217">
        <v>4.6097894054444399</v>
      </c>
      <c r="E280" s="218"/>
      <c r="F280" s="219"/>
      <c r="G280" s="219"/>
      <c r="H280" s="220"/>
      <c r="I280" s="221">
        <v>1</v>
      </c>
      <c r="J280" s="221">
        <v>1</v>
      </c>
      <c r="K280" s="218"/>
      <c r="L280" s="222">
        <v>1167.36924</v>
      </c>
      <c r="M280" s="222">
        <v>-320.76745</v>
      </c>
      <c r="N280" s="222">
        <v>846.60179000000005</v>
      </c>
      <c r="O280" s="217">
        <v>183.65302957226399</v>
      </c>
      <c r="P280" s="223">
        <v>254.44499999999999</v>
      </c>
      <c r="Q280" s="224">
        <v>0.72177888963141101</v>
      </c>
      <c r="R280" s="225">
        <v>-434.24635887299502</v>
      </c>
      <c r="S280" s="219"/>
      <c r="T280" s="219"/>
      <c r="U280" s="226">
        <v>327</v>
      </c>
      <c r="V280" s="227">
        <v>561</v>
      </c>
      <c r="W280" s="218"/>
      <c r="X280" s="226">
        <v>1691.20444</v>
      </c>
      <c r="Y280" s="217">
        <v>366.87238640502397</v>
      </c>
      <c r="Z280" s="228">
        <v>573</v>
      </c>
      <c r="AA280" s="224">
        <v>0.64026594486042598</v>
      </c>
      <c r="AB280" s="225">
        <v>-1193.2145476170699</v>
      </c>
      <c r="AC280" s="219"/>
      <c r="AD280" s="219"/>
      <c r="AE280" s="227">
        <v>951</v>
      </c>
      <c r="AF280" s="227">
        <v>1479</v>
      </c>
      <c r="AG280" s="218"/>
      <c r="AH280" s="231">
        <v>238.2</v>
      </c>
      <c r="AI280" s="217">
        <v>51.672642511319701</v>
      </c>
      <c r="AJ280" s="232" t="s">
        <v>53</v>
      </c>
      <c r="AK280" s="239">
        <v>0.82020067478285297</v>
      </c>
      <c r="AL280" s="222">
        <v>-78.935071936955694</v>
      </c>
      <c r="AM280" s="219"/>
      <c r="AN280" s="219"/>
      <c r="AO280" s="227">
        <v>53</v>
      </c>
      <c r="AP280" s="227">
        <v>111</v>
      </c>
      <c r="AQ280" s="218"/>
      <c r="AR280" s="231">
        <v>13</v>
      </c>
      <c r="AS280" s="217">
        <v>2.8200854435229101</v>
      </c>
      <c r="AT280" s="232" t="s">
        <v>54</v>
      </c>
      <c r="AU280" s="224">
        <v>0.17625534022018199</v>
      </c>
      <c r="AV280" s="225">
        <v>-67.542240491925298</v>
      </c>
      <c r="AW280" s="219"/>
      <c r="AX280" s="219"/>
      <c r="AY280" s="227">
        <v>61</v>
      </c>
      <c r="AZ280" s="227">
        <v>76</v>
      </c>
      <c r="BA280" s="218"/>
      <c r="BB280" s="235">
        <v>133.19999999999999</v>
      </c>
      <c r="BC280" s="231">
        <v>28.895029313634701</v>
      </c>
      <c r="BD280" s="232" t="s">
        <v>55</v>
      </c>
      <c r="BE280" s="239">
        <v>0.90296966605108497</v>
      </c>
      <c r="BF280" s="222">
        <v>-27.884480983850501</v>
      </c>
      <c r="BG280" s="219"/>
      <c r="BH280" s="219"/>
      <c r="BI280" s="227">
        <v>15</v>
      </c>
      <c r="BJ280" s="227">
        <v>44</v>
      </c>
      <c r="BK280" s="220"/>
      <c r="BL280" s="236">
        <v>0.8</v>
      </c>
      <c r="BM280" s="239">
        <v>0.78</v>
      </c>
      <c r="BN280" s="237"/>
      <c r="BO280" s="238">
        <v>0.95</v>
      </c>
      <c r="BP280" s="229">
        <v>1</v>
      </c>
      <c r="BQ280" s="237">
        <v>2.5000000000000001E-3</v>
      </c>
    </row>
    <row r="281" spans="1:69" s="207" customFormat="1" ht="22.35" customHeight="1" x14ac:dyDescent="0.2">
      <c r="A281" s="216" t="s">
        <v>339</v>
      </c>
      <c r="B281" s="216" t="s">
        <v>340</v>
      </c>
      <c r="C281" s="216" t="s">
        <v>352</v>
      </c>
      <c r="D281" s="217">
        <v>4.6161616162222199</v>
      </c>
      <c r="E281" s="218"/>
      <c r="F281" s="219">
        <v>2.4E-2</v>
      </c>
      <c r="G281" s="219">
        <v>1.0999999999999999E-2</v>
      </c>
      <c r="H281" s="220"/>
      <c r="I281" s="221">
        <v>4</v>
      </c>
      <c r="J281" s="221">
        <v>3</v>
      </c>
      <c r="K281" s="218"/>
      <c r="L281" s="222">
        <v>2390.1131</v>
      </c>
      <c r="M281" s="222">
        <v>2576.4576900000002</v>
      </c>
      <c r="N281" s="222">
        <v>4966.5707899999998</v>
      </c>
      <c r="O281" s="217">
        <v>1075.90920832285</v>
      </c>
      <c r="P281" s="223">
        <v>212.5</v>
      </c>
      <c r="Q281" s="229">
        <v>5.06310215681341</v>
      </c>
      <c r="R281" s="230">
        <v>3895.39048695563</v>
      </c>
      <c r="S281" s="219">
        <v>0.01</v>
      </c>
      <c r="T281" s="219">
        <v>0.01</v>
      </c>
      <c r="U281" s="226">
        <v>0</v>
      </c>
      <c r="V281" s="227">
        <v>0</v>
      </c>
      <c r="W281" s="218"/>
      <c r="X281" s="226">
        <v>2481.2841250000001</v>
      </c>
      <c r="Y281" s="217">
        <v>537.52106864720997</v>
      </c>
      <c r="Z281" s="228">
        <v>573</v>
      </c>
      <c r="AA281" s="233">
        <v>0.93808214423596803</v>
      </c>
      <c r="AB281" s="234">
        <v>-407.12205685610297</v>
      </c>
      <c r="AC281" s="219">
        <v>3.0000000000000001E-3</v>
      </c>
      <c r="AD281" s="219"/>
      <c r="AE281" s="227">
        <v>164</v>
      </c>
      <c r="AF281" s="227">
        <v>693</v>
      </c>
      <c r="AG281" s="218"/>
      <c r="AH281" s="231">
        <v>169.95</v>
      </c>
      <c r="AI281" s="217">
        <v>36.816301968882101</v>
      </c>
      <c r="AJ281" s="232" t="s">
        <v>53</v>
      </c>
      <c r="AK281" s="224">
        <v>0.58438574553780998</v>
      </c>
      <c r="AL281" s="225">
        <v>-147.623454549624</v>
      </c>
      <c r="AM281" s="219"/>
      <c r="AN281" s="219"/>
      <c r="AO281" s="227">
        <v>121</v>
      </c>
      <c r="AP281" s="227">
        <v>180</v>
      </c>
      <c r="AQ281" s="218"/>
      <c r="AR281" s="231">
        <v>38.799999999999997</v>
      </c>
      <c r="AS281" s="217">
        <v>8.4052516410274993</v>
      </c>
      <c r="AT281" s="232" t="s">
        <v>54</v>
      </c>
      <c r="AU281" s="224">
        <v>0.52532822756421904</v>
      </c>
      <c r="AV281" s="225">
        <v>-41.853575758634598</v>
      </c>
      <c r="AW281" s="219"/>
      <c r="AX281" s="219"/>
      <c r="AY281" s="227">
        <v>36</v>
      </c>
      <c r="AZ281" s="227">
        <v>50</v>
      </c>
      <c r="BA281" s="218"/>
      <c r="BB281" s="235">
        <v>149.19999999999999</v>
      </c>
      <c r="BC281" s="231">
        <v>32.321225382507798</v>
      </c>
      <c r="BD281" s="232" t="s">
        <v>55</v>
      </c>
      <c r="BE281" s="233">
        <v>1.01003829320337</v>
      </c>
      <c r="BF281" s="234">
        <v>-12.1071515172692</v>
      </c>
      <c r="BG281" s="219">
        <v>1.0999999999999999E-2</v>
      </c>
      <c r="BH281" s="219">
        <v>1E-3</v>
      </c>
      <c r="BI281" s="227">
        <v>0</v>
      </c>
      <c r="BJ281" s="227">
        <v>29</v>
      </c>
      <c r="BK281" s="220"/>
      <c r="BL281" s="236">
        <v>0.8</v>
      </c>
      <c r="BM281" s="239">
        <v>0.76</v>
      </c>
      <c r="BN281" s="237"/>
      <c r="BO281" s="238">
        <v>0.95</v>
      </c>
      <c r="BP281" s="229">
        <v>1</v>
      </c>
      <c r="BQ281" s="237">
        <v>2.5000000000000001E-3</v>
      </c>
    </row>
    <row r="282" spans="1:69" s="207" customFormat="1" ht="22.35" customHeight="1" x14ac:dyDescent="0.2">
      <c r="A282" s="216" t="s">
        <v>339</v>
      </c>
      <c r="B282" s="216" t="s">
        <v>340</v>
      </c>
      <c r="C282" s="216" t="s">
        <v>353</v>
      </c>
      <c r="D282" s="217">
        <v>6.3981030344444401</v>
      </c>
      <c r="E282" s="218"/>
      <c r="F282" s="219">
        <v>0.03</v>
      </c>
      <c r="G282" s="219">
        <v>2.4E-2</v>
      </c>
      <c r="H282" s="220"/>
      <c r="I282" s="221">
        <v>3</v>
      </c>
      <c r="J282" s="221">
        <v>3</v>
      </c>
      <c r="K282" s="218"/>
      <c r="L282" s="222">
        <v>2133.5116899999998</v>
      </c>
      <c r="M282" s="222">
        <v>3332.8605299999999</v>
      </c>
      <c r="N282" s="222">
        <v>5466.3722200000002</v>
      </c>
      <c r="O282" s="217">
        <v>854.37389653957803</v>
      </c>
      <c r="P282" s="223">
        <v>250.489</v>
      </c>
      <c r="Q282" s="229">
        <v>3.4108240143861699</v>
      </c>
      <c r="R282" s="230">
        <v>3716.2735813535101</v>
      </c>
      <c r="S282" s="219">
        <v>0.01</v>
      </c>
      <c r="T282" s="219">
        <v>0.01</v>
      </c>
      <c r="U282" s="226">
        <v>0</v>
      </c>
      <c r="V282" s="227">
        <v>0</v>
      </c>
      <c r="W282" s="218"/>
      <c r="X282" s="226">
        <v>2497.36319</v>
      </c>
      <c r="Y282" s="217">
        <v>390.328692200695</v>
      </c>
      <c r="Z282" s="228">
        <v>573</v>
      </c>
      <c r="AA282" s="224">
        <v>0.681201906109416</v>
      </c>
      <c r="AB282" s="225">
        <v>-1506.03224830044</v>
      </c>
      <c r="AC282" s="219"/>
      <c r="AD282" s="219"/>
      <c r="AE282" s="227">
        <v>1169</v>
      </c>
      <c r="AF282" s="227">
        <v>1902</v>
      </c>
      <c r="AG282" s="218"/>
      <c r="AH282" s="231">
        <v>242.9</v>
      </c>
      <c r="AI282" s="217">
        <v>37.964377674497896</v>
      </c>
      <c r="AJ282" s="232" t="s">
        <v>53</v>
      </c>
      <c r="AK282" s="224">
        <v>0.60260916943647502</v>
      </c>
      <c r="AL282" s="225">
        <v>-197.26389635763999</v>
      </c>
      <c r="AM282" s="219"/>
      <c r="AN282" s="219"/>
      <c r="AO282" s="227">
        <v>161</v>
      </c>
      <c r="AP282" s="227">
        <v>241</v>
      </c>
      <c r="AQ282" s="218"/>
      <c r="AR282" s="231">
        <v>47.4</v>
      </c>
      <c r="AS282" s="217">
        <v>7.4084458697867497</v>
      </c>
      <c r="AT282" s="232" t="s">
        <v>54</v>
      </c>
      <c r="AU282" s="224">
        <v>0.46302786686167202</v>
      </c>
      <c r="AV282" s="225">
        <v>-64.387656217813301</v>
      </c>
      <c r="AW282" s="219"/>
      <c r="AX282" s="219"/>
      <c r="AY282" s="227">
        <v>55</v>
      </c>
      <c r="AZ282" s="227">
        <v>76</v>
      </c>
      <c r="BA282" s="218"/>
      <c r="BB282" s="235">
        <v>233.8</v>
      </c>
      <c r="BC282" s="231">
        <v>36.542081104559898</v>
      </c>
      <c r="BD282" s="232" t="s">
        <v>55</v>
      </c>
      <c r="BE282" s="229">
        <v>1.1419400345174999</v>
      </c>
      <c r="BF282" s="230">
        <v>10.2246875643735</v>
      </c>
      <c r="BG282" s="219">
        <v>0.02</v>
      </c>
      <c r="BH282" s="219">
        <v>1.4E-2</v>
      </c>
      <c r="BI282" s="227">
        <v>0</v>
      </c>
      <c r="BJ282" s="227">
        <v>12</v>
      </c>
      <c r="BK282" s="220"/>
      <c r="BL282" s="236">
        <v>0.8</v>
      </c>
      <c r="BM282" s="239">
        <v>0.77</v>
      </c>
      <c r="BN282" s="237"/>
      <c r="BO282" s="238">
        <v>0.95</v>
      </c>
      <c r="BP282" s="229">
        <v>1</v>
      </c>
      <c r="BQ282" s="237">
        <v>2.5000000000000001E-3</v>
      </c>
    </row>
    <row r="283" spans="1:69" s="207" customFormat="1" ht="22.35" customHeight="1" x14ac:dyDescent="0.2">
      <c r="A283" s="216" t="s">
        <v>339</v>
      </c>
      <c r="B283" s="216" t="s">
        <v>340</v>
      </c>
      <c r="C283" s="216" t="s">
        <v>354</v>
      </c>
      <c r="D283" s="217">
        <v>5.0444772765555603</v>
      </c>
      <c r="E283" s="218"/>
      <c r="F283" s="219">
        <v>4.5999999999999999E-2</v>
      </c>
      <c r="G283" s="219">
        <v>2.9000000000000001E-2</v>
      </c>
      <c r="H283" s="220"/>
      <c r="I283" s="221">
        <v>4</v>
      </c>
      <c r="J283" s="221">
        <v>4</v>
      </c>
      <c r="K283" s="218"/>
      <c r="L283" s="222">
        <v>1628.31556</v>
      </c>
      <c r="M283" s="222">
        <v>1098.26316</v>
      </c>
      <c r="N283" s="222">
        <v>2726.57872</v>
      </c>
      <c r="O283" s="217">
        <v>540.50768206884402</v>
      </c>
      <c r="P283" s="223">
        <v>216.363</v>
      </c>
      <c r="Q283" s="229">
        <v>2.49815209656385</v>
      </c>
      <c r="R283" s="230">
        <v>1534.7281652097699</v>
      </c>
      <c r="S283" s="219">
        <v>0.01</v>
      </c>
      <c r="T283" s="219">
        <v>0.01</v>
      </c>
      <c r="U283" s="226">
        <v>0</v>
      </c>
      <c r="V283" s="227">
        <v>0</v>
      </c>
      <c r="W283" s="218"/>
      <c r="X283" s="226">
        <v>3063.7462500000001</v>
      </c>
      <c r="Y283" s="217">
        <v>607.34662523685097</v>
      </c>
      <c r="Z283" s="228">
        <v>573</v>
      </c>
      <c r="AA283" s="233">
        <v>1.05994175434005</v>
      </c>
      <c r="AB283" s="234">
        <v>-92.663893577238497</v>
      </c>
      <c r="AC283" s="219">
        <v>1.6E-2</v>
      </c>
      <c r="AD283" s="219">
        <v>6.0000000000000001E-3</v>
      </c>
      <c r="AE283" s="227">
        <v>0</v>
      </c>
      <c r="AF283" s="227">
        <v>405</v>
      </c>
      <c r="AG283" s="218"/>
      <c r="AH283" s="231">
        <v>192.1</v>
      </c>
      <c r="AI283" s="217">
        <v>38.081249942941298</v>
      </c>
      <c r="AJ283" s="232" t="s">
        <v>53</v>
      </c>
      <c r="AK283" s="224">
        <v>0.60446428480859205</v>
      </c>
      <c r="AL283" s="225">
        <v>-154.939858717916</v>
      </c>
      <c r="AM283" s="219"/>
      <c r="AN283" s="219"/>
      <c r="AO283" s="227">
        <v>126</v>
      </c>
      <c r="AP283" s="227">
        <v>190</v>
      </c>
      <c r="AQ283" s="218"/>
      <c r="AR283" s="231">
        <v>26.8</v>
      </c>
      <c r="AS283" s="217">
        <v>5.3127407520605301</v>
      </c>
      <c r="AT283" s="232" t="s">
        <v>54</v>
      </c>
      <c r="AU283" s="224">
        <v>0.33204629700378302</v>
      </c>
      <c r="AV283" s="225">
        <v>-61.337106975978699</v>
      </c>
      <c r="AW283" s="219"/>
      <c r="AX283" s="219"/>
      <c r="AY283" s="227">
        <v>54</v>
      </c>
      <c r="AZ283" s="227">
        <v>71</v>
      </c>
      <c r="BA283" s="218"/>
      <c r="BB283" s="235">
        <v>182.2</v>
      </c>
      <c r="BC283" s="231">
        <v>36.118707650202502</v>
      </c>
      <c r="BD283" s="232" t="s">
        <v>55</v>
      </c>
      <c r="BE283" s="229">
        <v>1.12870961406883</v>
      </c>
      <c r="BF283" s="230">
        <v>5.9257860480425402</v>
      </c>
      <c r="BG283" s="219">
        <v>0.02</v>
      </c>
      <c r="BH283" s="219">
        <v>1.2999999999999999E-2</v>
      </c>
      <c r="BI283" s="227">
        <v>0</v>
      </c>
      <c r="BJ283" s="227">
        <v>12</v>
      </c>
      <c r="BK283" s="220"/>
      <c r="BL283" s="236">
        <v>0.8</v>
      </c>
      <c r="BM283" s="239">
        <v>0.79</v>
      </c>
      <c r="BN283" s="237"/>
      <c r="BO283" s="238">
        <v>0.95</v>
      </c>
      <c r="BP283" s="229">
        <v>1</v>
      </c>
      <c r="BQ283" s="237">
        <v>2.5000000000000001E-3</v>
      </c>
    </row>
    <row r="284" spans="1:69" s="207" customFormat="1" ht="22.35" customHeight="1" x14ac:dyDescent="0.2">
      <c r="A284" s="216" t="s">
        <v>339</v>
      </c>
      <c r="B284" s="216" t="s">
        <v>340</v>
      </c>
      <c r="C284" s="216" t="s">
        <v>355</v>
      </c>
      <c r="D284" s="217">
        <v>3.2630691803333298</v>
      </c>
      <c r="E284" s="218"/>
      <c r="F284" s="219">
        <v>4.3999999999999997E-2</v>
      </c>
      <c r="G284" s="219">
        <v>2.8000000000000001E-2</v>
      </c>
      <c r="H284" s="220"/>
      <c r="I284" s="221">
        <v>6</v>
      </c>
      <c r="J284" s="221">
        <v>5</v>
      </c>
      <c r="K284" s="218"/>
      <c r="L284" s="222">
        <v>2012.2664299999999</v>
      </c>
      <c r="M284" s="222">
        <v>806.86382000000003</v>
      </c>
      <c r="N284" s="222">
        <v>2819.1302500000002</v>
      </c>
      <c r="O284" s="217">
        <v>863.95050003567997</v>
      </c>
      <c r="P284" s="223">
        <v>249.714</v>
      </c>
      <c r="Q284" s="229">
        <v>3.4597599655433</v>
      </c>
      <c r="R284" s="230">
        <v>1929.3314594308499</v>
      </c>
      <c r="S284" s="219">
        <v>0.01</v>
      </c>
      <c r="T284" s="219">
        <v>0.01</v>
      </c>
      <c r="U284" s="226">
        <v>0</v>
      </c>
      <c r="V284" s="227">
        <v>0</v>
      </c>
      <c r="W284" s="218"/>
      <c r="X284" s="226">
        <v>1763.1288999999999</v>
      </c>
      <c r="Y284" s="217">
        <v>540.328384891886</v>
      </c>
      <c r="Z284" s="228">
        <v>573</v>
      </c>
      <c r="AA284" s="233">
        <v>0.94298147450590897</v>
      </c>
      <c r="AB284" s="234">
        <v>-278.62569524144999</v>
      </c>
      <c r="AC284" s="219">
        <v>4.0000000000000001E-3</v>
      </c>
      <c r="AD284" s="219"/>
      <c r="AE284" s="227">
        <v>107</v>
      </c>
      <c r="AF284" s="227">
        <v>481</v>
      </c>
      <c r="AG284" s="218"/>
      <c r="AH284" s="231">
        <v>205.8</v>
      </c>
      <c r="AI284" s="217">
        <v>63.069456584115997</v>
      </c>
      <c r="AJ284" s="232" t="s">
        <v>53</v>
      </c>
      <c r="AK284" s="233">
        <v>1.00110248546216</v>
      </c>
      <c r="AL284" s="234">
        <v>-18.686107330211801</v>
      </c>
      <c r="AM284" s="219">
        <v>0.01</v>
      </c>
      <c r="AN284" s="219">
        <v>1E-3</v>
      </c>
      <c r="AO284" s="227">
        <v>0</v>
      </c>
      <c r="AP284" s="227">
        <v>41</v>
      </c>
      <c r="AQ284" s="218"/>
      <c r="AR284" s="231">
        <v>13.3</v>
      </c>
      <c r="AS284" s="217">
        <v>4.0759172622387903</v>
      </c>
      <c r="AT284" s="232" t="s">
        <v>54</v>
      </c>
      <c r="AU284" s="224">
        <v>0.254744828889924</v>
      </c>
      <c r="AV284" s="225">
        <v>-43.712344718783903</v>
      </c>
      <c r="AW284" s="219"/>
      <c r="AX284" s="219"/>
      <c r="AY284" s="227">
        <v>39</v>
      </c>
      <c r="AZ284" s="227">
        <v>50</v>
      </c>
      <c r="BA284" s="218"/>
      <c r="BB284" s="235">
        <v>122.2</v>
      </c>
      <c r="BC284" s="231">
        <v>37.449405221472098</v>
      </c>
      <c r="BD284" s="232" t="s">
        <v>55</v>
      </c>
      <c r="BE284" s="229">
        <v>1.170293913171</v>
      </c>
      <c r="BF284" s="230">
        <v>8.1753105624321201</v>
      </c>
      <c r="BG284" s="219">
        <v>0.02</v>
      </c>
      <c r="BH284" s="219">
        <v>1.7000000000000001E-2</v>
      </c>
      <c r="BI284" s="227">
        <v>0</v>
      </c>
      <c r="BJ284" s="227">
        <v>4</v>
      </c>
      <c r="BK284" s="220"/>
      <c r="BL284" s="236">
        <v>0.8</v>
      </c>
      <c r="BM284" s="233">
        <v>0.84</v>
      </c>
      <c r="BN284" s="237">
        <v>1.5E-3</v>
      </c>
      <c r="BO284" s="238">
        <v>0.95</v>
      </c>
      <c r="BP284" s="229">
        <v>1</v>
      </c>
      <c r="BQ284" s="237">
        <v>2.5000000000000001E-3</v>
      </c>
    </row>
    <row r="285" spans="1:69" s="207" customFormat="1" ht="22.35" customHeight="1" x14ac:dyDescent="0.2">
      <c r="A285" s="216" t="s">
        <v>339</v>
      </c>
      <c r="B285" s="216" t="s">
        <v>340</v>
      </c>
      <c r="C285" s="216" t="s">
        <v>356</v>
      </c>
      <c r="D285" s="217">
        <v>2.6091871092222201</v>
      </c>
      <c r="E285" s="218"/>
      <c r="F285" s="219">
        <v>6.0999999999999999E-2</v>
      </c>
      <c r="G285" s="219">
        <v>5.0999999999999997E-2</v>
      </c>
      <c r="H285" s="220"/>
      <c r="I285" s="221">
        <v>6</v>
      </c>
      <c r="J285" s="221">
        <v>6</v>
      </c>
      <c r="K285" s="218"/>
      <c r="L285" s="222">
        <v>770.84589000000005</v>
      </c>
      <c r="M285" s="222">
        <v>230.63695999999999</v>
      </c>
      <c r="N285" s="222">
        <v>1001.48285</v>
      </c>
      <c r="O285" s="217">
        <v>383.829448819611</v>
      </c>
      <c r="P285" s="223">
        <v>212.5</v>
      </c>
      <c r="Q285" s="229">
        <v>1.8062562297393501</v>
      </c>
      <c r="R285" s="230">
        <v>396.02098130498399</v>
      </c>
      <c r="S285" s="219">
        <v>0.01</v>
      </c>
      <c r="T285" s="219">
        <v>0.01</v>
      </c>
      <c r="U285" s="226">
        <v>0</v>
      </c>
      <c r="V285" s="227">
        <v>0</v>
      </c>
      <c r="W285" s="218"/>
      <c r="X285" s="226">
        <v>1860.5121549999999</v>
      </c>
      <c r="Y285" s="217">
        <v>713.06199100247898</v>
      </c>
      <c r="Z285" s="228">
        <v>573</v>
      </c>
      <c r="AA285" s="229">
        <v>1.24443628447204</v>
      </c>
      <c r="AB285" s="230">
        <v>227.90203376590901</v>
      </c>
      <c r="AC285" s="219">
        <v>0.02</v>
      </c>
      <c r="AD285" s="219">
        <v>0.02</v>
      </c>
      <c r="AE285" s="227">
        <v>0</v>
      </c>
      <c r="AF285" s="227">
        <v>0</v>
      </c>
      <c r="AG285" s="218"/>
      <c r="AH285" s="231">
        <v>165.4</v>
      </c>
      <c r="AI285" s="217">
        <v>63.391390910751703</v>
      </c>
      <c r="AJ285" s="232" t="s">
        <v>53</v>
      </c>
      <c r="AK285" s="233">
        <v>1.00621255413892</v>
      </c>
      <c r="AL285" s="234">
        <v>-14.101636366051901</v>
      </c>
      <c r="AM285" s="219">
        <v>1.0999999999999999E-2</v>
      </c>
      <c r="AN285" s="219">
        <v>1E-3</v>
      </c>
      <c r="AO285" s="227">
        <v>0</v>
      </c>
      <c r="AP285" s="227">
        <v>32</v>
      </c>
      <c r="AQ285" s="218"/>
      <c r="AR285" s="231">
        <v>12.2</v>
      </c>
      <c r="AS285" s="217">
        <v>4.6757857866455304</v>
      </c>
      <c r="AT285" s="232" t="s">
        <v>54</v>
      </c>
      <c r="AU285" s="224">
        <v>0.29223661166534598</v>
      </c>
      <c r="AV285" s="225">
        <v>-33.387717172330603</v>
      </c>
      <c r="AW285" s="219"/>
      <c r="AX285" s="219"/>
      <c r="AY285" s="227">
        <v>30</v>
      </c>
      <c r="AZ285" s="227">
        <v>38</v>
      </c>
      <c r="BA285" s="218"/>
      <c r="BB285" s="235">
        <v>117</v>
      </c>
      <c r="BC285" s="231">
        <v>44.841552216190699</v>
      </c>
      <c r="BD285" s="232" t="s">
        <v>55</v>
      </c>
      <c r="BE285" s="229">
        <v>1.40129850675596</v>
      </c>
      <c r="BF285" s="230">
        <v>25.824565655338699</v>
      </c>
      <c r="BG285" s="219">
        <v>0.02</v>
      </c>
      <c r="BH285" s="219">
        <v>0.02</v>
      </c>
      <c r="BI285" s="227">
        <v>0</v>
      </c>
      <c r="BJ285" s="227">
        <v>0</v>
      </c>
      <c r="BK285" s="220"/>
      <c r="BL285" s="236">
        <v>0.8</v>
      </c>
      <c r="BM285" s="233">
        <v>0.85</v>
      </c>
      <c r="BN285" s="237">
        <v>1.8749999999999999E-3</v>
      </c>
      <c r="BO285" s="238">
        <v>0.95</v>
      </c>
      <c r="BP285" s="229">
        <v>1</v>
      </c>
      <c r="BQ285" s="237">
        <v>2.5000000000000001E-3</v>
      </c>
    </row>
    <row r="286" spans="1:69" s="207" customFormat="1" ht="22.35" customHeight="1" x14ac:dyDescent="0.2">
      <c r="A286" s="216" t="s">
        <v>339</v>
      </c>
      <c r="B286" s="216" t="s">
        <v>357</v>
      </c>
      <c r="C286" s="216" t="s">
        <v>358</v>
      </c>
      <c r="D286" s="217">
        <v>2.5673660413333299</v>
      </c>
      <c r="E286" s="218"/>
      <c r="F286" s="219">
        <v>7.0000000000000007E-2</v>
      </c>
      <c r="G286" s="219">
        <v>7.0000000000000007E-2</v>
      </c>
      <c r="H286" s="220"/>
      <c r="I286" s="221">
        <v>6</v>
      </c>
      <c r="J286" s="221">
        <v>6</v>
      </c>
      <c r="K286" s="218"/>
      <c r="L286" s="222">
        <v>2034.1059399999999</v>
      </c>
      <c r="M286" s="222">
        <v>1300.2124899999999</v>
      </c>
      <c r="N286" s="222">
        <v>3334.3184299999998</v>
      </c>
      <c r="O286" s="217">
        <v>1298.7312195920299</v>
      </c>
      <c r="P286" s="223">
        <v>212.5</v>
      </c>
      <c r="Q286" s="229">
        <v>6.1116763274919101</v>
      </c>
      <c r="R286" s="230">
        <v>2738.5611401085998</v>
      </c>
      <c r="S286" s="219">
        <v>0.01</v>
      </c>
      <c r="T286" s="219">
        <v>0.01</v>
      </c>
      <c r="U286" s="226">
        <v>0</v>
      </c>
      <c r="V286" s="227">
        <v>0</v>
      </c>
      <c r="W286" s="218"/>
      <c r="X286" s="226">
        <v>2171.9652900000001</v>
      </c>
      <c r="Y286" s="217">
        <v>845.98972450068504</v>
      </c>
      <c r="Z286" s="228">
        <v>573</v>
      </c>
      <c r="AA286" s="229">
        <v>1.47642185776734</v>
      </c>
      <c r="AB286" s="230">
        <v>565.52328008107395</v>
      </c>
      <c r="AC286" s="219">
        <v>0.02</v>
      </c>
      <c r="AD286" s="219">
        <v>0.02</v>
      </c>
      <c r="AE286" s="227">
        <v>0</v>
      </c>
      <c r="AF286" s="227">
        <v>0</v>
      </c>
      <c r="AG286" s="218"/>
      <c r="AH286" s="231">
        <v>211.3</v>
      </c>
      <c r="AI286" s="217">
        <v>82.302249308502795</v>
      </c>
      <c r="AJ286" s="232" t="s">
        <v>53</v>
      </c>
      <c r="AK286" s="229">
        <v>1.3063849096587801</v>
      </c>
      <c r="AL286" s="230">
        <v>34.675485820432201</v>
      </c>
      <c r="AM286" s="219">
        <v>0.02</v>
      </c>
      <c r="AN286" s="219">
        <v>0.02</v>
      </c>
      <c r="AO286" s="227">
        <v>0</v>
      </c>
      <c r="AP286" s="227">
        <v>0</v>
      </c>
      <c r="AQ286" s="218"/>
      <c r="AR286" s="231">
        <v>22.4</v>
      </c>
      <c r="AS286" s="217">
        <v>8.7248953360646606</v>
      </c>
      <c r="AT286" s="232" t="s">
        <v>54</v>
      </c>
      <c r="AU286" s="224">
        <v>0.54530595850404096</v>
      </c>
      <c r="AV286" s="225">
        <v>-22.457019474175901</v>
      </c>
      <c r="AW286" s="219"/>
      <c r="AX286" s="219"/>
      <c r="AY286" s="227">
        <v>19</v>
      </c>
      <c r="AZ286" s="227">
        <v>27</v>
      </c>
      <c r="BA286" s="218"/>
      <c r="BB286" s="235">
        <v>131.4</v>
      </c>
      <c r="BC286" s="231">
        <v>51.180859248165</v>
      </c>
      <c r="BD286" s="232" t="s">
        <v>55</v>
      </c>
      <c r="BE286" s="229">
        <v>1.59940185150516</v>
      </c>
      <c r="BF286" s="230">
        <v>41.6859610516481</v>
      </c>
      <c r="BG286" s="219">
        <v>0.02</v>
      </c>
      <c r="BH286" s="219">
        <v>0.02</v>
      </c>
      <c r="BI286" s="227">
        <v>0</v>
      </c>
      <c r="BJ286" s="227">
        <v>0</v>
      </c>
      <c r="BK286" s="220"/>
      <c r="BL286" s="236">
        <v>0.8</v>
      </c>
      <c r="BM286" s="233">
        <v>0.81</v>
      </c>
      <c r="BN286" s="237">
        <v>3.7500000000000001E-4</v>
      </c>
      <c r="BO286" s="238">
        <v>0.95</v>
      </c>
      <c r="BP286" s="229">
        <v>1</v>
      </c>
      <c r="BQ286" s="237">
        <v>2.5000000000000001E-3</v>
      </c>
    </row>
    <row r="287" spans="1:69" s="207" customFormat="1" ht="22.35" customHeight="1" x14ac:dyDescent="0.2">
      <c r="A287" s="216" t="s">
        <v>339</v>
      </c>
      <c r="B287" s="216" t="s">
        <v>357</v>
      </c>
      <c r="C287" s="216" t="s">
        <v>359</v>
      </c>
      <c r="D287" s="217">
        <v>2.9278143756666699</v>
      </c>
      <c r="E287" s="218"/>
      <c r="F287" s="219">
        <v>6.8000000000000005E-2</v>
      </c>
      <c r="G287" s="219">
        <v>5.3999999999999999E-2</v>
      </c>
      <c r="H287" s="220"/>
      <c r="I287" s="221">
        <v>6</v>
      </c>
      <c r="J287" s="221">
        <v>6</v>
      </c>
      <c r="K287" s="218"/>
      <c r="L287" s="222">
        <v>1753.98982</v>
      </c>
      <c r="M287" s="222">
        <v>1013.408</v>
      </c>
      <c r="N287" s="222">
        <v>2767.3978200000001</v>
      </c>
      <c r="O287" s="217">
        <v>945.20945145979795</v>
      </c>
      <c r="P287" s="223">
        <v>220.75700000000001</v>
      </c>
      <c r="Q287" s="229">
        <v>4.2816737474227198</v>
      </c>
      <c r="R287" s="230">
        <v>2061.5994342030799</v>
      </c>
      <c r="S287" s="219">
        <v>0.01</v>
      </c>
      <c r="T287" s="219">
        <v>0.01</v>
      </c>
      <c r="U287" s="226">
        <v>0</v>
      </c>
      <c r="V287" s="227">
        <v>0</v>
      </c>
      <c r="W287" s="218"/>
      <c r="X287" s="226">
        <v>1960.322905</v>
      </c>
      <c r="Y287" s="217">
        <v>669.55163595493696</v>
      </c>
      <c r="Z287" s="228">
        <v>573</v>
      </c>
      <c r="AA287" s="229">
        <v>1.1685019824693501</v>
      </c>
      <c r="AB287" s="230">
        <v>128.34260511535399</v>
      </c>
      <c r="AC287" s="219">
        <v>0.02</v>
      </c>
      <c r="AD287" s="219">
        <v>1.7000000000000001E-2</v>
      </c>
      <c r="AE287" s="227">
        <v>0</v>
      </c>
      <c r="AF287" s="227">
        <v>53</v>
      </c>
      <c r="AG287" s="218"/>
      <c r="AH287" s="231">
        <v>197.9</v>
      </c>
      <c r="AI287" s="217">
        <v>67.593082964809895</v>
      </c>
      <c r="AJ287" s="232" t="s">
        <v>53</v>
      </c>
      <c r="AK287" s="233">
        <v>1.0729060788065099</v>
      </c>
      <c r="AL287" s="234">
        <v>-3.5219177883642501</v>
      </c>
      <c r="AM287" s="219">
        <v>1.7999999999999999E-2</v>
      </c>
      <c r="AN287" s="219">
        <v>7.0000000000000001E-3</v>
      </c>
      <c r="AO287" s="227">
        <v>0</v>
      </c>
      <c r="AP287" s="227">
        <v>24</v>
      </c>
      <c r="AQ287" s="218"/>
      <c r="AR287" s="231">
        <v>11</v>
      </c>
      <c r="AS287" s="217">
        <v>3.7570687853103002</v>
      </c>
      <c r="AT287" s="232" t="s">
        <v>54</v>
      </c>
      <c r="AU287" s="224">
        <v>0.23481679908189401</v>
      </c>
      <c r="AV287" s="225">
        <v>-40.154772771648098</v>
      </c>
      <c r="AW287" s="219"/>
      <c r="AX287" s="219"/>
      <c r="AY287" s="227">
        <v>36</v>
      </c>
      <c r="AZ287" s="227">
        <v>46</v>
      </c>
      <c r="BA287" s="218"/>
      <c r="BB287" s="235">
        <v>118.8</v>
      </c>
      <c r="BC287" s="231">
        <v>40.576342881351202</v>
      </c>
      <c r="BD287" s="232" t="s">
        <v>55</v>
      </c>
      <c r="BE287" s="229">
        <v>1.26801071504223</v>
      </c>
      <c r="BF287" s="230">
        <v>16.490454456703901</v>
      </c>
      <c r="BG287" s="219">
        <v>0.02</v>
      </c>
      <c r="BH287" s="219">
        <v>0.02</v>
      </c>
      <c r="BI287" s="227">
        <v>0</v>
      </c>
      <c r="BJ287" s="227">
        <v>0</v>
      </c>
      <c r="BK287" s="220"/>
      <c r="BL287" s="236">
        <v>0.8</v>
      </c>
      <c r="BM287" s="233">
        <v>0.87</v>
      </c>
      <c r="BN287" s="237">
        <v>2.6250000000000002E-3</v>
      </c>
      <c r="BO287" s="238">
        <v>0.95</v>
      </c>
      <c r="BP287" s="229">
        <v>1</v>
      </c>
      <c r="BQ287" s="237">
        <v>2.5000000000000001E-3</v>
      </c>
    </row>
    <row r="288" spans="1:69" s="207" customFormat="1" ht="22.35" customHeight="1" x14ac:dyDescent="0.2">
      <c r="A288" s="216" t="s">
        <v>339</v>
      </c>
      <c r="B288" s="216" t="s">
        <v>357</v>
      </c>
      <c r="C288" s="216" t="s">
        <v>360</v>
      </c>
      <c r="D288" s="217">
        <v>3.9837235643333302</v>
      </c>
      <c r="E288" s="218"/>
      <c r="F288" s="219">
        <v>3.4000000000000002E-2</v>
      </c>
      <c r="G288" s="219">
        <v>1.4999999999999999E-2</v>
      </c>
      <c r="H288" s="220"/>
      <c r="I288" s="221">
        <v>5</v>
      </c>
      <c r="J288" s="221">
        <v>4</v>
      </c>
      <c r="K288" s="218"/>
      <c r="L288" s="222">
        <v>1836.29216</v>
      </c>
      <c r="M288" s="222">
        <v>303.46744999999999</v>
      </c>
      <c r="N288" s="222">
        <v>2139.7596100000001</v>
      </c>
      <c r="O288" s="217">
        <v>537.125524762179</v>
      </c>
      <c r="P288" s="223">
        <v>222.58099999999999</v>
      </c>
      <c r="Q288" s="229">
        <v>2.4131688004015599</v>
      </c>
      <c r="R288" s="230">
        <v>1171.4819272572199</v>
      </c>
      <c r="S288" s="219">
        <v>0.01</v>
      </c>
      <c r="T288" s="219">
        <v>0.01</v>
      </c>
      <c r="U288" s="226">
        <v>0</v>
      </c>
      <c r="V288" s="227">
        <v>0</v>
      </c>
      <c r="W288" s="218"/>
      <c r="X288" s="226">
        <v>2262.2503000000002</v>
      </c>
      <c r="Y288" s="217">
        <v>567.87331336294199</v>
      </c>
      <c r="Z288" s="228">
        <v>573</v>
      </c>
      <c r="AA288" s="233">
        <v>0.99105290290216796</v>
      </c>
      <c r="AB288" s="234">
        <v>-230.429273780394</v>
      </c>
      <c r="AC288" s="219">
        <v>8.9999999999999993E-3</v>
      </c>
      <c r="AD288" s="219"/>
      <c r="AE288" s="227">
        <v>21</v>
      </c>
      <c r="AF288" s="227">
        <v>477</v>
      </c>
      <c r="AG288" s="218"/>
      <c r="AH288" s="231">
        <v>191.45</v>
      </c>
      <c r="AI288" s="217">
        <v>48.058053453826602</v>
      </c>
      <c r="AJ288" s="232" t="s">
        <v>53</v>
      </c>
      <c r="AK288" s="239">
        <v>0.76282624529883503</v>
      </c>
      <c r="AL288" s="222">
        <v>-82.614246331875805</v>
      </c>
      <c r="AM288" s="219"/>
      <c r="AN288" s="219"/>
      <c r="AO288" s="227">
        <v>60</v>
      </c>
      <c r="AP288" s="227">
        <v>110</v>
      </c>
      <c r="AQ288" s="218"/>
      <c r="AR288" s="231">
        <v>12.8</v>
      </c>
      <c r="AS288" s="217">
        <v>3.2130743494853999</v>
      </c>
      <c r="AT288" s="232" t="s">
        <v>54</v>
      </c>
      <c r="AU288" s="224">
        <v>0.200817146842837</v>
      </c>
      <c r="AV288" s="225">
        <v>-56.803618116031899</v>
      </c>
      <c r="AW288" s="219"/>
      <c r="AX288" s="219"/>
      <c r="AY288" s="227">
        <v>51</v>
      </c>
      <c r="AZ288" s="227">
        <v>64</v>
      </c>
      <c r="BA288" s="218"/>
      <c r="BB288" s="235">
        <v>133.6</v>
      </c>
      <c r="BC288" s="231">
        <v>33.536463522753898</v>
      </c>
      <c r="BD288" s="232" t="s">
        <v>55</v>
      </c>
      <c r="BE288" s="233">
        <v>1.04801448508606</v>
      </c>
      <c r="BF288" s="234">
        <v>-5.6072362320638804</v>
      </c>
      <c r="BG288" s="219">
        <v>1.4999999999999999E-2</v>
      </c>
      <c r="BH288" s="219">
        <v>5.0000000000000001E-3</v>
      </c>
      <c r="BI288" s="227">
        <v>0</v>
      </c>
      <c r="BJ288" s="227">
        <v>20</v>
      </c>
      <c r="BK288" s="220"/>
      <c r="BL288" s="236">
        <v>0.8</v>
      </c>
      <c r="BM288" s="233">
        <v>0.82</v>
      </c>
      <c r="BN288" s="237">
        <v>7.5000000000000002E-4</v>
      </c>
      <c r="BO288" s="238">
        <v>0.95</v>
      </c>
      <c r="BP288" s="229">
        <v>1</v>
      </c>
      <c r="BQ288" s="237">
        <v>2.5000000000000001E-3</v>
      </c>
    </row>
    <row r="289" spans="1:69" s="207" customFormat="1" ht="22.35" customHeight="1" x14ac:dyDescent="0.2">
      <c r="A289" s="216" t="s">
        <v>339</v>
      </c>
      <c r="B289" s="216" t="s">
        <v>357</v>
      </c>
      <c r="C289" s="216" t="s">
        <v>361</v>
      </c>
      <c r="D289" s="217">
        <v>5.0138817773333297</v>
      </c>
      <c r="E289" s="218"/>
      <c r="F289" s="219">
        <v>5.0999999999999997E-2</v>
      </c>
      <c r="G289" s="219">
        <v>3.4000000000000002E-2</v>
      </c>
      <c r="H289" s="220"/>
      <c r="I289" s="221">
        <v>6</v>
      </c>
      <c r="J289" s="221">
        <v>5</v>
      </c>
      <c r="K289" s="218"/>
      <c r="L289" s="222">
        <v>4991.2485999999999</v>
      </c>
      <c r="M289" s="222">
        <v>4067.6492600000001</v>
      </c>
      <c r="N289" s="222">
        <v>9058.8978599999991</v>
      </c>
      <c r="O289" s="217">
        <v>1806.7633546832501</v>
      </c>
      <c r="P289" s="223">
        <v>268.01799999999997</v>
      </c>
      <c r="Q289" s="229">
        <v>6.7412015412518898</v>
      </c>
      <c r="R289" s="230">
        <v>7591.4567217125204</v>
      </c>
      <c r="S289" s="219">
        <v>0.01</v>
      </c>
      <c r="T289" s="219">
        <v>0.01</v>
      </c>
      <c r="U289" s="226">
        <v>0</v>
      </c>
      <c r="V289" s="227">
        <v>0</v>
      </c>
      <c r="W289" s="218"/>
      <c r="X289" s="226">
        <v>3122.2858449999999</v>
      </c>
      <c r="Y289" s="217">
        <v>622.72825400773797</v>
      </c>
      <c r="Z289" s="228">
        <v>573</v>
      </c>
      <c r="AA289" s="233">
        <v>1.0867857836086201</v>
      </c>
      <c r="AB289" s="234">
        <v>-14.9802051859015</v>
      </c>
      <c r="AC289" s="219">
        <v>1.9E-2</v>
      </c>
      <c r="AD289" s="219">
        <v>8.9999999999999993E-3</v>
      </c>
      <c r="AE289" s="227">
        <v>0</v>
      </c>
      <c r="AF289" s="227">
        <v>326</v>
      </c>
      <c r="AG289" s="218"/>
      <c r="AH289" s="231">
        <v>294.14999999999998</v>
      </c>
      <c r="AI289" s="217">
        <v>58.667119222832099</v>
      </c>
      <c r="AJ289" s="232" t="s">
        <v>53</v>
      </c>
      <c r="AK289" s="233">
        <v>0.93122411464812904</v>
      </c>
      <c r="AL289" s="234">
        <v>-50.785010753423798</v>
      </c>
      <c r="AM289" s="219">
        <v>2E-3</v>
      </c>
      <c r="AN289" s="219"/>
      <c r="AO289" s="227">
        <v>22</v>
      </c>
      <c r="AP289" s="227">
        <v>85</v>
      </c>
      <c r="AQ289" s="218"/>
      <c r="AR289" s="231">
        <v>54.5</v>
      </c>
      <c r="AS289" s="217">
        <v>10.869821511624499</v>
      </c>
      <c r="AT289" s="232" t="s">
        <v>54</v>
      </c>
      <c r="AU289" s="224">
        <v>0.67936384447653198</v>
      </c>
      <c r="AV289" s="225">
        <v>-33.102542413567903</v>
      </c>
      <c r="AW289" s="219"/>
      <c r="AX289" s="219"/>
      <c r="AY289" s="227">
        <v>26</v>
      </c>
      <c r="AZ289" s="227">
        <v>42</v>
      </c>
      <c r="BA289" s="218"/>
      <c r="BB289" s="235">
        <v>185.2</v>
      </c>
      <c r="BC289" s="231">
        <v>36.937448512896502</v>
      </c>
      <c r="BD289" s="232" t="s">
        <v>55</v>
      </c>
      <c r="BE289" s="229">
        <v>1.1542952660280199</v>
      </c>
      <c r="BF289" s="230">
        <v>9.9949151728641308</v>
      </c>
      <c r="BG289" s="219">
        <v>0.02</v>
      </c>
      <c r="BH289" s="219">
        <v>1.4999999999999999E-2</v>
      </c>
      <c r="BI289" s="227">
        <v>0</v>
      </c>
      <c r="BJ289" s="227">
        <v>8</v>
      </c>
      <c r="BK289" s="220"/>
      <c r="BL289" s="236">
        <v>0.8</v>
      </c>
      <c r="BM289" s="233">
        <v>0.82</v>
      </c>
      <c r="BN289" s="237">
        <v>7.5000000000000002E-4</v>
      </c>
      <c r="BO289" s="238">
        <v>0.95</v>
      </c>
      <c r="BP289" s="229">
        <v>1</v>
      </c>
      <c r="BQ289" s="237">
        <v>2.5000000000000001E-3</v>
      </c>
    </row>
    <row r="290" spans="1:69" s="207" customFormat="1" ht="22.35" customHeight="1" x14ac:dyDescent="0.2">
      <c r="A290" s="216" t="s">
        <v>339</v>
      </c>
      <c r="B290" s="216" t="s">
        <v>357</v>
      </c>
      <c r="C290" s="216" t="s">
        <v>362</v>
      </c>
      <c r="D290" s="217">
        <v>1.8723945526666701</v>
      </c>
      <c r="E290" s="218"/>
      <c r="F290" s="219">
        <v>7.0000000000000007E-2</v>
      </c>
      <c r="G290" s="219">
        <v>6.8500000000000005E-2</v>
      </c>
      <c r="H290" s="220"/>
      <c r="I290" s="221">
        <v>6</v>
      </c>
      <c r="J290" s="221">
        <v>6</v>
      </c>
      <c r="K290" s="218"/>
      <c r="L290" s="222">
        <v>261.03483999999997</v>
      </c>
      <c r="M290" s="222">
        <v>216.99044000000001</v>
      </c>
      <c r="N290" s="222">
        <v>478.02528000000001</v>
      </c>
      <c r="O290" s="217">
        <v>255.30157589873099</v>
      </c>
      <c r="P290" s="223">
        <v>218.47</v>
      </c>
      <c r="Q290" s="229">
        <v>1.1685887119454901</v>
      </c>
      <c r="R290" s="230">
        <v>31.329534590172599</v>
      </c>
      <c r="S290" s="219">
        <v>0.01</v>
      </c>
      <c r="T290" s="219">
        <v>8.5000000000000006E-3</v>
      </c>
      <c r="U290" s="226">
        <v>0</v>
      </c>
      <c r="V290" s="227">
        <v>13</v>
      </c>
      <c r="W290" s="218"/>
      <c r="X290" s="226">
        <v>1861.2276099999999</v>
      </c>
      <c r="Y290" s="217">
        <v>994.03600985125502</v>
      </c>
      <c r="Z290" s="228">
        <v>573</v>
      </c>
      <c r="AA290" s="229">
        <v>1.73479233830935</v>
      </c>
      <c r="AB290" s="230">
        <v>689.64038008362195</v>
      </c>
      <c r="AC290" s="219">
        <v>0.02</v>
      </c>
      <c r="AD290" s="219">
        <v>0.02</v>
      </c>
      <c r="AE290" s="227">
        <v>0</v>
      </c>
      <c r="AF290" s="227">
        <v>0</v>
      </c>
      <c r="AG290" s="218"/>
      <c r="AH290" s="231">
        <v>173</v>
      </c>
      <c r="AI290" s="217">
        <v>92.395056241545404</v>
      </c>
      <c r="AJ290" s="232" t="s">
        <v>53</v>
      </c>
      <c r="AK290" s="229">
        <v>1.4665881943102499</v>
      </c>
      <c r="AL290" s="230">
        <v>44.186744354743801</v>
      </c>
      <c r="AM290" s="219">
        <v>0.02</v>
      </c>
      <c r="AN290" s="219">
        <v>0.02</v>
      </c>
      <c r="AO290" s="227">
        <v>0</v>
      </c>
      <c r="AP290" s="227">
        <v>0</v>
      </c>
      <c r="AQ290" s="218"/>
      <c r="AR290" s="231">
        <v>8</v>
      </c>
      <c r="AS290" s="217">
        <v>4.2726037568344699</v>
      </c>
      <c r="AT290" s="232" t="s">
        <v>54</v>
      </c>
      <c r="AU290" s="224">
        <v>0.26703773480215398</v>
      </c>
      <c r="AV290" s="225">
        <v>-24.714477624192099</v>
      </c>
      <c r="AW290" s="219"/>
      <c r="AX290" s="219"/>
      <c r="AY290" s="227">
        <v>22</v>
      </c>
      <c r="AZ290" s="227">
        <v>28</v>
      </c>
      <c r="BA290" s="218"/>
      <c r="BB290" s="235">
        <v>85.4</v>
      </c>
      <c r="BC290" s="231">
        <v>45.610045104207998</v>
      </c>
      <c r="BD290" s="232" t="s">
        <v>55</v>
      </c>
      <c r="BE290" s="229">
        <v>1.4253139095064999</v>
      </c>
      <c r="BF290" s="230">
        <v>19.971044751615899</v>
      </c>
      <c r="BG290" s="219">
        <v>0.02</v>
      </c>
      <c r="BH290" s="219">
        <v>0.02</v>
      </c>
      <c r="BI290" s="227">
        <v>0</v>
      </c>
      <c r="BJ290" s="227">
        <v>0</v>
      </c>
      <c r="BK290" s="220"/>
      <c r="BL290" s="236">
        <v>0.8</v>
      </c>
      <c r="BM290" s="233">
        <v>0.84</v>
      </c>
      <c r="BN290" s="237">
        <v>1.5E-3</v>
      </c>
      <c r="BO290" s="238">
        <v>0.95</v>
      </c>
      <c r="BP290" s="229">
        <v>1</v>
      </c>
      <c r="BQ290" s="237">
        <v>2.5000000000000001E-3</v>
      </c>
    </row>
    <row r="291" spans="1:69" s="207" customFormat="1" ht="22.35" customHeight="1" x14ac:dyDescent="0.2">
      <c r="A291" s="216" t="s">
        <v>339</v>
      </c>
      <c r="B291" s="216" t="s">
        <v>357</v>
      </c>
      <c r="C291" s="216" t="s">
        <v>363</v>
      </c>
      <c r="D291" s="217">
        <v>2.0195966231111102</v>
      </c>
      <c r="E291" s="218"/>
      <c r="F291" s="219">
        <v>0.01</v>
      </c>
      <c r="G291" s="219">
        <v>0.01</v>
      </c>
      <c r="H291" s="220"/>
      <c r="I291" s="221">
        <v>2</v>
      </c>
      <c r="J291" s="221">
        <v>2</v>
      </c>
      <c r="K291" s="218"/>
      <c r="L291" s="222">
        <v>1181.7398499999999</v>
      </c>
      <c r="M291" s="222">
        <v>-105.41585000000001</v>
      </c>
      <c r="N291" s="222">
        <v>1076.3240000000001</v>
      </c>
      <c r="O291" s="217">
        <v>532.94008698725395</v>
      </c>
      <c r="P291" s="223">
        <v>212.5</v>
      </c>
      <c r="Q291" s="229">
        <v>2.5079533505282501</v>
      </c>
      <c r="R291" s="230">
        <v>607.67660360706702</v>
      </c>
      <c r="S291" s="219">
        <v>0.01</v>
      </c>
      <c r="T291" s="219">
        <v>0.01</v>
      </c>
      <c r="U291" s="226">
        <v>0</v>
      </c>
      <c r="V291" s="227">
        <v>0</v>
      </c>
      <c r="W291" s="218"/>
      <c r="X291" s="226">
        <v>896.42077500000005</v>
      </c>
      <c r="Y291" s="217">
        <v>443.861296232065</v>
      </c>
      <c r="Z291" s="228">
        <v>573</v>
      </c>
      <c r="AA291" s="239">
        <v>0.77462704403501803</v>
      </c>
      <c r="AB291" s="222">
        <v>-367.27314562659097</v>
      </c>
      <c r="AC291" s="219"/>
      <c r="AD291" s="219"/>
      <c r="AE291" s="227">
        <v>261</v>
      </c>
      <c r="AF291" s="227">
        <v>493</v>
      </c>
      <c r="AG291" s="218"/>
      <c r="AH291" s="231">
        <v>76.7</v>
      </c>
      <c r="AI291" s="217">
        <v>37.977880890812003</v>
      </c>
      <c r="AJ291" s="232" t="s">
        <v>53</v>
      </c>
      <c r="AK291" s="224">
        <v>0.602823506203366</v>
      </c>
      <c r="AL291" s="225">
        <v>-62.2401692835519</v>
      </c>
      <c r="AM291" s="219"/>
      <c r="AN291" s="219"/>
      <c r="AO291" s="227">
        <v>51</v>
      </c>
      <c r="AP291" s="227">
        <v>76</v>
      </c>
      <c r="AQ291" s="218"/>
      <c r="AR291" s="231">
        <v>6</v>
      </c>
      <c r="AS291" s="217">
        <v>2.9708902913281898</v>
      </c>
      <c r="AT291" s="232" t="s">
        <v>54</v>
      </c>
      <c r="AU291" s="224">
        <v>0.185680643208012</v>
      </c>
      <c r="AV291" s="225">
        <v>-29.286392198997302</v>
      </c>
      <c r="AW291" s="219"/>
      <c r="AX291" s="219"/>
      <c r="AY291" s="227">
        <v>27</v>
      </c>
      <c r="AZ291" s="227">
        <v>33</v>
      </c>
      <c r="BA291" s="218"/>
      <c r="BB291" s="235">
        <v>55</v>
      </c>
      <c r="BC291" s="231">
        <v>27.233161003841701</v>
      </c>
      <c r="BD291" s="232" t="s">
        <v>55</v>
      </c>
      <c r="BE291" s="239">
        <v>0.85103628137005505</v>
      </c>
      <c r="BF291" s="222">
        <v>-15.572784397994599</v>
      </c>
      <c r="BG291" s="219"/>
      <c r="BH291" s="219"/>
      <c r="BI291" s="227">
        <v>10</v>
      </c>
      <c r="BJ291" s="227">
        <v>23</v>
      </c>
      <c r="BK291" s="220"/>
      <c r="BL291" s="236">
        <v>0.8</v>
      </c>
      <c r="BM291" s="239">
        <v>0.75</v>
      </c>
      <c r="BN291" s="237"/>
      <c r="BO291" s="238">
        <v>0.95</v>
      </c>
      <c r="BP291" s="229">
        <v>1</v>
      </c>
      <c r="BQ291" s="237">
        <v>2.5000000000000001E-3</v>
      </c>
    </row>
    <row r="292" spans="1:69" s="207" customFormat="1" ht="22.35" customHeight="1" x14ac:dyDescent="0.2">
      <c r="A292" s="216" t="s">
        <v>339</v>
      </c>
      <c r="B292" s="216" t="s">
        <v>357</v>
      </c>
      <c r="C292" s="216" t="s">
        <v>364</v>
      </c>
      <c r="D292" s="217">
        <v>2.89402288477778</v>
      </c>
      <c r="E292" s="218"/>
      <c r="F292" s="219">
        <v>0.01</v>
      </c>
      <c r="G292" s="219">
        <v>0.01</v>
      </c>
      <c r="H292" s="220"/>
      <c r="I292" s="221">
        <v>3</v>
      </c>
      <c r="J292" s="221">
        <v>3</v>
      </c>
      <c r="K292" s="218"/>
      <c r="L292" s="222">
        <v>1071.0959399999999</v>
      </c>
      <c r="M292" s="222">
        <v>575.09711000000004</v>
      </c>
      <c r="N292" s="222">
        <v>1646.1930500000001</v>
      </c>
      <c r="O292" s="217">
        <v>568.82516674584099</v>
      </c>
      <c r="P292" s="223">
        <v>212.5</v>
      </c>
      <c r="Q292" s="229">
        <v>2.6768243140980799</v>
      </c>
      <c r="R292" s="230">
        <v>974.63503958731599</v>
      </c>
      <c r="S292" s="219">
        <v>0.01</v>
      </c>
      <c r="T292" s="219">
        <v>0.01</v>
      </c>
      <c r="U292" s="226">
        <v>0</v>
      </c>
      <c r="V292" s="227">
        <v>0</v>
      </c>
      <c r="W292" s="218"/>
      <c r="X292" s="226">
        <v>1364.4360650000001</v>
      </c>
      <c r="Y292" s="217">
        <v>471.46692314590001</v>
      </c>
      <c r="Z292" s="228">
        <v>573</v>
      </c>
      <c r="AA292" s="239">
        <v>0.82280440339598604</v>
      </c>
      <c r="AB292" s="222">
        <v>-446.40035837161298</v>
      </c>
      <c r="AC292" s="219"/>
      <c r="AD292" s="219"/>
      <c r="AE292" s="227">
        <v>294</v>
      </c>
      <c r="AF292" s="227">
        <v>626</v>
      </c>
      <c r="AG292" s="218"/>
      <c r="AH292" s="231">
        <v>92.4</v>
      </c>
      <c r="AI292" s="217">
        <v>31.9278746847557</v>
      </c>
      <c r="AJ292" s="232" t="s">
        <v>53</v>
      </c>
      <c r="AK292" s="224">
        <v>0.506791661662788</v>
      </c>
      <c r="AL292" s="225">
        <v>-106.697198381172</v>
      </c>
      <c r="AM292" s="219"/>
      <c r="AN292" s="219"/>
      <c r="AO292" s="227">
        <v>90</v>
      </c>
      <c r="AP292" s="227">
        <v>127</v>
      </c>
      <c r="AQ292" s="218"/>
      <c r="AR292" s="231">
        <v>1</v>
      </c>
      <c r="AS292" s="217">
        <v>0.34553976931553798</v>
      </c>
      <c r="AT292" s="232" t="s">
        <v>54</v>
      </c>
      <c r="AU292" s="224">
        <v>2.15962355822211E-2</v>
      </c>
      <c r="AV292" s="225">
        <v>-49.564367842837399</v>
      </c>
      <c r="AW292" s="219"/>
      <c r="AX292" s="219"/>
      <c r="AY292" s="227">
        <v>46</v>
      </c>
      <c r="AZ292" s="227">
        <v>55</v>
      </c>
      <c r="BA292" s="218"/>
      <c r="BB292" s="235">
        <v>63.2</v>
      </c>
      <c r="BC292" s="231">
        <v>21.838113420742001</v>
      </c>
      <c r="BD292" s="232" t="s">
        <v>55</v>
      </c>
      <c r="BE292" s="224">
        <v>0.68244104439818698</v>
      </c>
      <c r="BF292" s="225">
        <v>-37.928735685674802</v>
      </c>
      <c r="BG292" s="219"/>
      <c r="BH292" s="219"/>
      <c r="BI292" s="227">
        <v>30</v>
      </c>
      <c r="BJ292" s="227">
        <v>48</v>
      </c>
      <c r="BK292" s="220"/>
      <c r="BL292" s="236">
        <v>0.8</v>
      </c>
      <c r="BM292" s="233">
        <v>0.85</v>
      </c>
      <c r="BN292" s="237">
        <v>1.8749999999999999E-3</v>
      </c>
      <c r="BO292" s="238">
        <v>0.95</v>
      </c>
      <c r="BP292" s="229">
        <v>1</v>
      </c>
      <c r="BQ292" s="237">
        <v>2.5000000000000001E-3</v>
      </c>
    </row>
    <row r="293" spans="1:69" s="207" customFormat="1" ht="22.35" customHeight="1" x14ac:dyDescent="0.2">
      <c r="A293" s="216" t="s">
        <v>339</v>
      </c>
      <c r="B293" s="216" t="s">
        <v>357</v>
      </c>
      <c r="C293" s="216" t="s">
        <v>365</v>
      </c>
      <c r="D293" s="217">
        <v>3.7017378756666699</v>
      </c>
      <c r="E293" s="218"/>
      <c r="F293" s="219">
        <v>0.04</v>
      </c>
      <c r="G293" s="219">
        <v>2.1999999999999999E-2</v>
      </c>
      <c r="H293" s="220"/>
      <c r="I293" s="221">
        <v>4</v>
      </c>
      <c r="J293" s="221">
        <v>4</v>
      </c>
      <c r="K293" s="218"/>
      <c r="L293" s="222">
        <v>2120.3780499999998</v>
      </c>
      <c r="M293" s="222">
        <v>-394.74322000000001</v>
      </c>
      <c r="N293" s="222">
        <v>1725.63483</v>
      </c>
      <c r="O293" s="217">
        <v>466.168834196349</v>
      </c>
      <c r="P293" s="223">
        <v>229.78899999999999</v>
      </c>
      <c r="Q293" s="229">
        <v>2.0286821135752802</v>
      </c>
      <c r="R293" s="230">
        <v>796.75926997496697</v>
      </c>
      <c r="S293" s="219">
        <v>0.01</v>
      </c>
      <c r="T293" s="219">
        <v>0.01</v>
      </c>
      <c r="U293" s="226">
        <v>0</v>
      </c>
      <c r="V293" s="227">
        <v>0</v>
      </c>
      <c r="W293" s="218"/>
      <c r="X293" s="226">
        <v>2126.98389</v>
      </c>
      <c r="Y293" s="217">
        <v>574.59062781881596</v>
      </c>
      <c r="Z293" s="228">
        <v>573</v>
      </c>
      <c r="AA293" s="233">
        <v>1.00277596477978</v>
      </c>
      <c r="AB293" s="234">
        <v>-189.25272661064599</v>
      </c>
      <c r="AC293" s="219">
        <v>0.01</v>
      </c>
      <c r="AD293" s="219">
        <v>1E-3</v>
      </c>
      <c r="AE293" s="227">
        <v>0</v>
      </c>
      <c r="AF293" s="227">
        <v>419</v>
      </c>
      <c r="AG293" s="218"/>
      <c r="AH293" s="231">
        <v>165.2</v>
      </c>
      <c r="AI293" s="217">
        <v>44.627687196854303</v>
      </c>
      <c r="AJ293" s="232" t="s">
        <v>53</v>
      </c>
      <c r="AK293" s="224">
        <v>0.70837598725165596</v>
      </c>
      <c r="AL293" s="225">
        <v>-89.464758894364195</v>
      </c>
      <c r="AM293" s="219"/>
      <c r="AN293" s="219"/>
      <c r="AO293" s="227">
        <v>69</v>
      </c>
      <c r="AP293" s="227">
        <v>115</v>
      </c>
      <c r="AQ293" s="218"/>
      <c r="AR293" s="231">
        <v>18</v>
      </c>
      <c r="AS293" s="217">
        <v>4.8625809294393303</v>
      </c>
      <c r="AT293" s="232" t="s">
        <v>54</v>
      </c>
      <c r="AU293" s="224">
        <v>0.30391130808995798</v>
      </c>
      <c r="AV293" s="225">
        <v>-46.676764163648102</v>
      </c>
      <c r="AW293" s="219"/>
      <c r="AX293" s="219"/>
      <c r="AY293" s="227">
        <v>42</v>
      </c>
      <c r="AZ293" s="227">
        <v>54</v>
      </c>
      <c r="BA293" s="218"/>
      <c r="BB293" s="235">
        <v>131.80000000000001</v>
      </c>
      <c r="BC293" s="231">
        <v>35.604898138894697</v>
      </c>
      <c r="BD293" s="232" t="s">
        <v>55</v>
      </c>
      <c r="BE293" s="229">
        <v>1.1126530668404599</v>
      </c>
      <c r="BF293" s="230">
        <v>2.4464716727038902</v>
      </c>
      <c r="BG293" s="219">
        <v>0.02</v>
      </c>
      <c r="BH293" s="219">
        <v>1.0999999999999999E-2</v>
      </c>
      <c r="BI293" s="227">
        <v>0</v>
      </c>
      <c r="BJ293" s="227">
        <v>11</v>
      </c>
      <c r="BK293" s="220"/>
      <c r="BL293" s="236">
        <v>0.8</v>
      </c>
      <c r="BM293" s="239">
        <v>0.76</v>
      </c>
      <c r="BN293" s="237"/>
      <c r="BO293" s="238">
        <v>0.95</v>
      </c>
      <c r="BP293" s="229">
        <v>1</v>
      </c>
      <c r="BQ293" s="237">
        <v>2.5000000000000001E-3</v>
      </c>
    </row>
    <row r="294" spans="1:69" s="207" customFormat="1" ht="22.35" customHeight="1" x14ac:dyDescent="0.2">
      <c r="A294" s="216" t="s">
        <v>339</v>
      </c>
      <c r="B294" s="216" t="s">
        <v>357</v>
      </c>
      <c r="C294" s="216" t="s">
        <v>366</v>
      </c>
      <c r="D294" s="217">
        <v>3.4620816407777801</v>
      </c>
      <c r="E294" s="218"/>
      <c r="F294" s="219">
        <v>0.05</v>
      </c>
      <c r="G294" s="219">
        <v>4.3999999999999997E-2</v>
      </c>
      <c r="H294" s="220"/>
      <c r="I294" s="221">
        <v>5</v>
      </c>
      <c r="J294" s="221">
        <v>5</v>
      </c>
      <c r="K294" s="218"/>
      <c r="L294" s="222">
        <v>1295.2341899999999</v>
      </c>
      <c r="M294" s="222">
        <v>27.224640000000001</v>
      </c>
      <c r="N294" s="222">
        <v>1322.45883</v>
      </c>
      <c r="O294" s="217">
        <v>381.98372170764299</v>
      </c>
      <c r="P294" s="223">
        <v>212.5</v>
      </c>
      <c r="Q294" s="229">
        <v>1.79757045509479</v>
      </c>
      <c r="R294" s="230">
        <v>519.08278525751598</v>
      </c>
      <c r="S294" s="219">
        <v>0.01</v>
      </c>
      <c r="T294" s="219">
        <v>0.01</v>
      </c>
      <c r="U294" s="226">
        <v>0</v>
      </c>
      <c r="V294" s="227">
        <v>0</v>
      </c>
      <c r="W294" s="218"/>
      <c r="X294" s="226">
        <v>2255.8943549999999</v>
      </c>
      <c r="Y294" s="217">
        <v>651.60056551791797</v>
      </c>
      <c r="Z294" s="228">
        <v>573</v>
      </c>
      <c r="AA294" s="229">
        <v>1.13717376181137</v>
      </c>
      <c r="AB294" s="230">
        <v>89.614479059090598</v>
      </c>
      <c r="AC294" s="219">
        <v>0.02</v>
      </c>
      <c r="AD294" s="219">
        <v>1.4E-2</v>
      </c>
      <c r="AE294" s="227">
        <v>0</v>
      </c>
      <c r="AF294" s="227">
        <v>125</v>
      </c>
      <c r="AG294" s="218"/>
      <c r="AH294" s="231">
        <v>186.8</v>
      </c>
      <c r="AI294" s="217">
        <v>53.955977756213201</v>
      </c>
      <c r="AJ294" s="232" t="s">
        <v>53</v>
      </c>
      <c r="AK294" s="239">
        <v>0.856444091368464</v>
      </c>
      <c r="AL294" s="222">
        <v>-51.377368558948199</v>
      </c>
      <c r="AM294" s="219"/>
      <c r="AN294" s="219"/>
      <c r="AO294" s="227">
        <v>32</v>
      </c>
      <c r="AP294" s="227">
        <v>75</v>
      </c>
      <c r="AQ294" s="218"/>
      <c r="AR294" s="231">
        <v>34.9</v>
      </c>
      <c r="AS294" s="217">
        <v>10.0806403837893</v>
      </c>
      <c r="AT294" s="232" t="s">
        <v>54</v>
      </c>
      <c r="AU294" s="224">
        <v>0.63004002398683101</v>
      </c>
      <c r="AV294" s="225">
        <v>-25.5894904276694</v>
      </c>
      <c r="AW294" s="219"/>
      <c r="AX294" s="219"/>
      <c r="AY294" s="227">
        <v>21</v>
      </c>
      <c r="AZ294" s="227">
        <v>32</v>
      </c>
      <c r="BA294" s="218"/>
      <c r="BB294" s="235">
        <v>134.80000000000001</v>
      </c>
      <c r="BC294" s="231">
        <v>38.936112427931199</v>
      </c>
      <c r="BD294" s="232" t="s">
        <v>55</v>
      </c>
      <c r="BE294" s="229">
        <v>1.21675351337285</v>
      </c>
      <c r="BF294" s="230">
        <v>13.8210191446612</v>
      </c>
      <c r="BG294" s="219">
        <v>0.02</v>
      </c>
      <c r="BH294" s="219">
        <v>0.02</v>
      </c>
      <c r="BI294" s="227">
        <v>0</v>
      </c>
      <c r="BJ294" s="227">
        <v>0</v>
      </c>
      <c r="BK294" s="220"/>
      <c r="BL294" s="236">
        <v>0.8</v>
      </c>
      <c r="BM294" s="233">
        <v>0.81</v>
      </c>
      <c r="BN294" s="237">
        <v>3.7500000000000001E-4</v>
      </c>
      <c r="BO294" s="238">
        <v>0.95</v>
      </c>
      <c r="BP294" s="229">
        <v>1</v>
      </c>
      <c r="BQ294" s="237">
        <v>2.5000000000000001E-3</v>
      </c>
    </row>
    <row r="295" spans="1:69" s="207" customFormat="1" ht="22.35" customHeight="1" x14ac:dyDescent="0.2">
      <c r="A295" s="216" t="s">
        <v>339</v>
      </c>
      <c r="B295" s="216" t="s">
        <v>357</v>
      </c>
      <c r="C295" s="216" t="s">
        <v>357</v>
      </c>
      <c r="D295" s="217">
        <v>10.277247066999999</v>
      </c>
      <c r="E295" s="218"/>
      <c r="F295" s="219">
        <v>0.03</v>
      </c>
      <c r="G295" s="219">
        <v>2.4E-2</v>
      </c>
      <c r="H295" s="220"/>
      <c r="I295" s="221">
        <v>3</v>
      </c>
      <c r="J295" s="221">
        <v>3</v>
      </c>
      <c r="K295" s="218"/>
      <c r="L295" s="222">
        <v>6960.7571600000001</v>
      </c>
      <c r="M295" s="222">
        <v>3610.0446200000001</v>
      </c>
      <c r="N295" s="222">
        <v>10570.80178</v>
      </c>
      <c r="O295" s="217">
        <v>1028.5635551122</v>
      </c>
      <c r="P295" s="223">
        <v>263.10899999999998</v>
      </c>
      <c r="Q295" s="229">
        <v>3.90926785139315</v>
      </c>
      <c r="R295" s="230">
        <v>7617.99425118198</v>
      </c>
      <c r="S295" s="219">
        <v>0.01</v>
      </c>
      <c r="T295" s="219">
        <v>0.01</v>
      </c>
      <c r="U295" s="226">
        <v>0</v>
      </c>
      <c r="V295" s="227">
        <v>0</v>
      </c>
      <c r="W295" s="218"/>
      <c r="X295" s="226">
        <v>4708.40553</v>
      </c>
      <c r="Y295" s="217">
        <v>458.13878943502101</v>
      </c>
      <c r="Z295" s="228">
        <v>573</v>
      </c>
      <c r="AA295" s="239">
        <v>0.79954413513965295</v>
      </c>
      <c r="AB295" s="222">
        <v>-1722.23239577497</v>
      </c>
      <c r="AC295" s="219"/>
      <c r="AD295" s="219"/>
      <c r="AE295" s="227">
        <v>1181</v>
      </c>
      <c r="AF295" s="227">
        <v>2359</v>
      </c>
      <c r="AG295" s="218"/>
      <c r="AH295" s="231">
        <v>439.45</v>
      </c>
      <c r="AI295" s="217">
        <v>42.759505258082498</v>
      </c>
      <c r="AJ295" s="232" t="s">
        <v>53</v>
      </c>
      <c r="AK295" s="224">
        <v>0.67872230568384995</v>
      </c>
      <c r="AL295" s="225">
        <v>-267.583489221332</v>
      </c>
      <c r="AM295" s="219"/>
      <c r="AN295" s="219"/>
      <c r="AO295" s="227">
        <v>209</v>
      </c>
      <c r="AP295" s="227">
        <v>338</v>
      </c>
      <c r="AQ295" s="218"/>
      <c r="AR295" s="231">
        <v>47.1</v>
      </c>
      <c r="AS295" s="217">
        <v>4.5829393506785499</v>
      </c>
      <c r="AT295" s="232" t="s">
        <v>54</v>
      </c>
      <c r="AU295" s="224">
        <v>0.28643370941740898</v>
      </c>
      <c r="AV295" s="225">
        <v>-132.464060754624</v>
      </c>
      <c r="AW295" s="219"/>
      <c r="AX295" s="219"/>
      <c r="AY295" s="227">
        <v>118</v>
      </c>
      <c r="AZ295" s="227">
        <v>151</v>
      </c>
      <c r="BA295" s="218"/>
      <c r="BB295" s="235">
        <v>374.2</v>
      </c>
      <c r="BC295" s="231">
        <v>36.410528769085197</v>
      </c>
      <c r="BD295" s="232" t="s">
        <v>55</v>
      </c>
      <c r="BE295" s="229">
        <v>1.13782902403391</v>
      </c>
      <c r="BF295" s="230">
        <v>15.071878490752001</v>
      </c>
      <c r="BG295" s="219">
        <v>0.02</v>
      </c>
      <c r="BH295" s="219">
        <v>1.4E-2</v>
      </c>
      <c r="BI295" s="227">
        <v>0</v>
      </c>
      <c r="BJ295" s="227">
        <v>21</v>
      </c>
      <c r="BK295" s="220"/>
      <c r="BL295" s="236">
        <v>0.8</v>
      </c>
      <c r="BM295" s="239">
        <v>0.79</v>
      </c>
      <c r="BN295" s="237"/>
      <c r="BO295" s="238">
        <v>0.95</v>
      </c>
      <c r="BP295" s="229">
        <v>1</v>
      </c>
      <c r="BQ295" s="237">
        <v>2.5000000000000001E-3</v>
      </c>
    </row>
    <row r="296" spans="1:69" s="207" customFormat="1" ht="22.35" customHeight="1" x14ac:dyDescent="0.2">
      <c r="A296" s="216" t="s">
        <v>339</v>
      </c>
      <c r="B296" s="216" t="s">
        <v>357</v>
      </c>
      <c r="C296" s="216" t="s">
        <v>367</v>
      </c>
      <c r="D296" s="217">
        <v>3.9912457913333301</v>
      </c>
      <c r="E296" s="218"/>
      <c r="F296" s="219">
        <v>2.7E-2</v>
      </c>
      <c r="G296" s="219">
        <v>1.6E-2</v>
      </c>
      <c r="H296" s="220"/>
      <c r="I296" s="221">
        <v>4</v>
      </c>
      <c r="J296" s="221">
        <v>4</v>
      </c>
      <c r="K296" s="218"/>
      <c r="L296" s="222">
        <v>1524.0484200000001</v>
      </c>
      <c r="M296" s="222">
        <v>618.37881000000004</v>
      </c>
      <c r="N296" s="222">
        <v>2142.4272299999998</v>
      </c>
      <c r="O296" s="217">
        <v>536.78158199430004</v>
      </c>
      <c r="P296" s="223">
        <v>212.5</v>
      </c>
      <c r="Q296" s="229">
        <v>2.52603097409082</v>
      </c>
      <c r="R296" s="230">
        <v>1216.2586441210999</v>
      </c>
      <c r="S296" s="219">
        <v>0.01</v>
      </c>
      <c r="T296" s="219">
        <v>0.01</v>
      </c>
      <c r="U296" s="226">
        <v>0</v>
      </c>
      <c r="V296" s="227">
        <v>0</v>
      </c>
      <c r="W296" s="218"/>
      <c r="X296" s="226">
        <v>2428.6663050000002</v>
      </c>
      <c r="Y296" s="217">
        <v>608.49830653718504</v>
      </c>
      <c r="Z296" s="228">
        <v>573</v>
      </c>
      <c r="AA296" s="233">
        <v>1.06195166934936</v>
      </c>
      <c r="AB296" s="234">
        <v>-68.720046569925699</v>
      </c>
      <c r="AC296" s="219">
        <v>1.7000000000000001E-2</v>
      </c>
      <c r="AD296" s="219">
        <v>6.0000000000000001E-3</v>
      </c>
      <c r="AE296" s="227">
        <v>0</v>
      </c>
      <c r="AF296" s="227">
        <v>316</v>
      </c>
      <c r="AG296" s="218"/>
      <c r="AH296" s="231">
        <v>211.05</v>
      </c>
      <c r="AI296" s="217">
        <v>52.878226757740102</v>
      </c>
      <c r="AJ296" s="232" t="s">
        <v>53</v>
      </c>
      <c r="AK296" s="239">
        <v>0.83933693266254195</v>
      </c>
      <c r="AL296" s="222">
        <v>-63.531745460567798</v>
      </c>
      <c r="AM296" s="219"/>
      <c r="AN296" s="219"/>
      <c r="AO296" s="227">
        <v>41</v>
      </c>
      <c r="AP296" s="227">
        <v>91</v>
      </c>
      <c r="AQ296" s="218"/>
      <c r="AR296" s="231">
        <v>15.8</v>
      </c>
      <c r="AS296" s="217">
        <v>3.9586637421098998</v>
      </c>
      <c r="AT296" s="232" t="s">
        <v>54</v>
      </c>
      <c r="AU296" s="224">
        <v>0.24741648388186899</v>
      </c>
      <c r="AV296" s="225">
        <v>-53.935046466175997</v>
      </c>
      <c r="AW296" s="219"/>
      <c r="AX296" s="219"/>
      <c r="AY296" s="227">
        <v>49</v>
      </c>
      <c r="AZ296" s="227">
        <v>61</v>
      </c>
      <c r="BA296" s="218"/>
      <c r="BB296" s="235">
        <v>97.6</v>
      </c>
      <c r="BC296" s="231">
        <v>24.453517799362402</v>
      </c>
      <c r="BD296" s="232" t="s">
        <v>55</v>
      </c>
      <c r="BE296" s="239">
        <v>0.76417243123007506</v>
      </c>
      <c r="BF296" s="222">
        <v>-41.870092932351902</v>
      </c>
      <c r="BG296" s="219"/>
      <c r="BH296" s="219"/>
      <c r="BI296" s="227">
        <v>31</v>
      </c>
      <c r="BJ296" s="227">
        <v>56</v>
      </c>
      <c r="BK296" s="220"/>
      <c r="BL296" s="236">
        <v>0.8</v>
      </c>
      <c r="BM296" s="233">
        <v>0.82</v>
      </c>
      <c r="BN296" s="237">
        <v>7.5000000000000002E-4</v>
      </c>
      <c r="BO296" s="238">
        <v>0.95</v>
      </c>
      <c r="BP296" s="229">
        <v>1</v>
      </c>
      <c r="BQ296" s="237">
        <v>2.5000000000000001E-3</v>
      </c>
    </row>
    <row r="297" spans="1:69" s="207" customFormat="1" ht="22.35" customHeight="1" x14ac:dyDescent="0.2">
      <c r="A297" s="216" t="s">
        <v>339</v>
      </c>
      <c r="B297" s="216" t="s">
        <v>357</v>
      </c>
      <c r="C297" s="216" t="s">
        <v>368</v>
      </c>
      <c r="D297" s="217">
        <v>1.8887926887777799</v>
      </c>
      <c r="E297" s="218"/>
      <c r="F297" s="219">
        <v>5.8999999999999997E-2</v>
      </c>
      <c r="G297" s="219">
        <v>4.8000000000000001E-2</v>
      </c>
      <c r="H297" s="220"/>
      <c r="I297" s="221">
        <v>4</v>
      </c>
      <c r="J297" s="221">
        <v>4</v>
      </c>
      <c r="K297" s="218"/>
      <c r="L297" s="222">
        <v>224.49773999999999</v>
      </c>
      <c r="M297" s="222">
        <v>19.251429999999999</v>
      </c>
      <c r="N297" s="222">
        <v>243.74916999999999</v>
      </c>
      <c r="O297" s="217">
        <v>129.05025069624099</v>
      </c>
      <c r="P297" s="223">
        <v>212.5</v>
      </c>
      <c r="Q297" s="224">
        <v>0.60729529739407695</v>
      </c>
      <c r="R297" s="225">
        <v>-194.54517343088401</v>
      </c>
      <c r="S297" s="219"/>
      <c r="T297" s="219"/>
      <c r="U297" s="226">
        <v>158</v>
      </c>
      <c r="V297" s="227">
        <v>238</v>
      </c>
      <c r="W297" s="218"/>
      <c r="X297" s="226">
        <v>1458.2094500000001</v>
      </c>
      <c r="Y297" s="217">
        <v>772.03255744472199</v>
      </c>
      <c r="Z297" s="228">
        <v>573</v>
      </c>
      <c r="AA297" s="229">
        <v>1.3473517581932299</v>
      </c>
      <c r="AB297" s="230">
        <v>276.36164394872299</v>
      </c>
      <c r="AC297" s="219">
        <v>0.02</v>
      </c>
      <c r="AD297" s="219">
        <v>0.02</v>
      </c>
      <c r="AE297" s="227">
        <v>0</v>
      </c>
      <c r="AF297" s="227">
        <v>0</v>
      </c>
      <c r="AG297" s="218"/>
      <c r="AH297" s="231">
        <v>172.75</v>
      </c>
      <c r="AI297" s="217">
        <v>91.460540389842905</v>
      </c>
      <c r="AJ297" s="232" t="s">
        <v>53</v>
      </c>
      <c r="AK297" s="229">
        <v>1.4517546093625899</v>
      </c>
      <c r="AL297" s="230">
        <v>42.808618182843801</v>
      </c>
      <c r="AM297" s="219">
        <v>0.02</v>
      </c>
      <c r="AN297" s="219">
        <v>0.02</v>
      </c>
      <c r="AO297" s="227">
        <v>0</v>
      </c>
      <c r="AP297" s="227">
        <v>0</v>
      </c>
      <c r="AQ297" s="218"/>
      <c r="AR297" s="231">
        <v>13.6</v>
      </c>
      <c r="AS297" s="217">
        <v>7.2003667108646301</v>
      </c>
      <c r="AT297" s="232" t="s">
        <v>54</v>
      </c>
      <c r="AU297" s="224">
        <v>0.45002291942903899</v>
      </c>
      <c r="AV297" s="225">
        <v>-19.400985858325399</v>
      </c>
      <c r="AW297" s="219"/>
      <c r="AX297" s="219"/>
      <c r="AY297" s="227">
        <v>17</v>
      </c>
      <c r="AZ297" s="227">
        <v>23</v>
      </c>
      <c r="BA297" s="218"/>
      <c r="BB297" s="235">
        <v>65.400000000000006</v>
      </c>
      <c r="BC297" s="231">
        <v>34.625292859599</v>
      </c>
      <c r="BD297" s="232" t="s">
        <v>55</v>
      </c>
      <c r="BE297" s="233">
        <v>1.0820404018624701</v>
      </c>
      <c r="BF297" s="234">
        <v>-0.60197171665073801</v>
      </c>
      <c r="BG297" s="219">
        <v>1.9E-2</v>
      </c>
      <c r="BH297" s="219">
        <v>8.0000000000000002E-3</v>
      </c>
      <c r="BI297" s="227">
        <v>0</v>
      </c>
      <c r="BJ297" s="227">
        <v>8</v>
      </c>
      <c r="BK297" s="220"/>
      <c r="BL297" s="236">
        <v>0.8</v>
      </c>
      <c r="BM297" s="239">
        <v>0.78</v>
      </c>
      <c r="BN297" s="237"/>
      <c r="BO297" s="238">
        <v>0.95</v>
      </c>
      <c r="BP297" s="229">
        <v>1</v>
      </c>
      <c r="BQ297" s="237">
        <v>2.5000000000000001E-3</v>
      </c>
    </row>
    <row r="298" spans="1:69" s="207" customFormat="1" ht="22.35" customHeight="1" x14ac:dyDescent="0.2">
      <c r="A298" s="216" t="s">
        <v>339</v>
      </c>
      <c r="B298" s="216" t="s">
        <v>357</v>
      </c>
      <c r="C298" s="216" t="s">
        <v>369</v>
      </c>
      <c r="D298" s="217">
        <v>3.20739114933333</v>
      </c>
      <c r="E298" s="218"/>
      <c r="F298" s="219">
        <v>3.5000000000000003E-2</v>
      </c>
      <c r="G298" s="219">
        <v>2.1999999999999999E-2</v>
      </c>
      <c r="H298" s="220"/>
      <c r="I298" s="221">
        <v>5</v>
      </c>
      <c r="J298" s="221">
        <v>4</v>
      </c>
      <c r="K298" s="218"/>
      <c r="L298" s="222">
        <v>2220.4430000000002</v>
      </c>
      <c r="M298" s="222">
        <v>263.84248000000002</v>
      </c>
      <c r="N298" s="222">
        <v>2484.28548</v>
      </c>
      <c r="O298" s="217">
        <v>774.55020742211798</v>
      </c>
      <c r="P298" s="223">
        <v>236.798</v>
      </c>
      <c r="Q298" s="229">
        <v>3.2709322182709202</v>
      </c>
      <c r="R298" s="230">
        <v>1654.9073201572201</v>
      </c>
      <c r="S298" s="219">
        <v>0.01</v>
      </c>
      <c r="T298" s="219">
        <v>0.01</v>
      </c>
      <c r="U298" s="226">
        <v>0</v>
      </c>
      <c r="V298" s="227">
        <v>0</v>
      </c>
      <c r="W298" s="218"/>
      <c r="X298" s="226">
        <v>1752.9531199999999</v>
      </c>
      <c r="Y298" s="217">
        <v>546.53549828631196</v>
      </c>
      <c r="Z298" s="228">
        <v>573</v>
      </c>
      <c r="AA298" s="233">
        <v>0.95381413313492502</v>
      </c>
      <c r="AB298" s="234">
        <v>-253.96284039625399</v>
      </c>
      <c r="AC298" s="219">
        <v>5.0000000000000001E-3</v>
      </c>
      <c r="AD298" s="219"/>
      <c r="AE298" s="227">
        <v>85</v>
      </c>
      <c r="AF298" s="227">
        <v>453</v>
      </c>
      <c r="AG298" s="218"/>
      <c r="AH298" s="231">
        <v>118.75</v>
      </c>
      <c r="AI298" s="217">
        <v>37.023859726208499</v>
      </c>
      <c r="AJ298" s="232" t="s">
        <v>53</v>
      </c>
      <c r="AK298" s="224">
        <v>0.58768031311442104</v>
      </c>
      <c r="AL298" s="225">
        <v>-101.905681509536</v>
      </c>
      <c r="AM298" s="219"/>
      <c r="AN298" s="219"/>
      <c r="AO298" s="227">
        <v>84</v>
      </c>
      <c r="AP298" s="227">
        <v>124</v>
      </c>
      <c r="AQ298" s="218"/>
      <c r="AR298" s="231">
        <v>12</v>
      </c>
      <c r="AS298" s="217">
        <v>3.7413584565431699</v>
      </c>
      <c r="AT298" s="232" t="s">
        <v>54</v>
      </c>
      <c r="AU298" s="224">
        <v>0.23383490353394801</v>
      </c>
      <c r="AV298" s="225">
        <v>-44.039538161151903</v>
      </c>
      <c r="AW298" s="219"/>
      <c r="AX298" s="219"/>
      <c r="AY298" s="227">
        <v>40</v>
      </c>
      <c r="AZ298" s="227">
        <v>50</v>
      </c>
      <c r="BA298" s="218"/>
      <c r="BB298" s="235">
        <v>115.2</v>
      </c>
      <c r="BC298" s="231">
        <v>35.917041182814501</v>
      </c>
      <c r="BD298" s="232" t="s">
        <v>55</v>
      </c>
      <c r="BE298" s="229">
        <v>1.12240753696295</v>
      </c>
      <c r="BF298" s="230">
        <v>3.1209236776961098</v>
      </c>
      <c r="BG298" s="219">
        <v>0.02</v>
      </c>
      <c r="BH298" s="219">
        <v>1.2E-2</v>
      </c>
      <c r="BI298" s="227">
        <v>0</v>
      </c>
      <c r="BJ298" s="227">
        <v>8</v>
      </c>
      <c r="BK298" s="220"/>
      <c r="BL298" s="236">
        <v>0.8</v>
      </c>
      <c r="BM298" s="233">
        <v>0.85</v>
      </c>
      <c r="BN298" s="237">
        <v>1.8749999999999999E-3</v>
      </c>
      <c r="BO298" s="238">
        <v>0.95</v>
      </c>
      <c r="BP298" s="229">
        <v>1</v>
      </c>
      <c r="BQ298" s="237">
        <v>2.5000000000000001E-3</v>
      </c>
    </row>
    <row r="299" spans="1:69" s="207" customFormat="1" ht="21.95" customHeight="1" x14ac:dyDescent="0.2">
      <c r="A299" s="240"/>
      <c r="B299" s="240"/>
      <c r="C299" s="241" t="s">
        <v>370</v>
      </c>
      <c r="D299" s="242">
        <v>1158.2086281173299</v>
      </c>
      <c r="E299" s="243"/>
      <c r="F299" s="240"/>
      <c r="G299" s="240"/>
      <c r="H299" s="244"/>
      <c r="I299" s="240"/>
      <c r="J299" s="240"/>
      <c r="K299" s="243"/>
      <c r="L299" s="245">
        <v>659617.61583999998</v>
      </c>
      <c r="M299" s="245">
        <v>354879.13844000001</v>
      </c>
      <c r="N299" s="245">
        <v>1014496.75428</v>
      </c>
      <c r="O299" s="242">
        <v>875.91883677214901</v>
      </c>
      <c r="P299" s="246"/>
      <c r="Q299" s="240"/>
      <c r="R299" s="240"/>
      <c r="S299" s="240"/>
      <c r="T299" s="240"/>
      <c r="U299" s="247">
        <v>41051</v>
      </c>
      <c r="V299" s="247">
        <v>45582</v>
      </c>
      <c r="W299" s="243"/>
      <c r="X299" s="248">
        <v>642307.10941999999</v>
      </c>
      <c r="Y299" s="249">
        <v>554.56943924176198</v>
      </c>
      <c r="Z299" s="250"/>
      <c r="AA299" s="251"/>
      <c r="AB299" s="251"/>
      <c r="AC299" s="251"/>
      <c r="AD299" s="251"/>
      <c r="AE299" s="252">
        <v>75494</v>
      </c>
      <c r="AF299" s="252">
        <v>175122</v>
      </c>
      <c r="AG299" s="243"/>
      <c r="AH299" s="249">
        <v>59971.6</v>
      </c>
      <c r="AI299" s="253">
        <v>51.779617716614503</v>
      </c>
      <c r="AJ299" s="250"/>
      <c r="AK299" s="251"/>
      <c r="AL299" s="251"/>
      <c r="AM299" s="251"/>
      <c r="AN299" s="251"/>
      <c r="AO299" s="252">
        <v>16493</v>
      </c>
      <c r="AP299" s="252">
        <v>29588</v>
      </c>
      <c r="AQ299" s="243"/>
      <c r="AR299" s="249">
        <v>11379.4</v>
      </c>
      <c r="AS299" s="253">
        <v>9.8250001975008594</v>
      </c>
      <c r="AT299" s="250"/>
      <c r="AU299" s="251"/>
      <c r="AV299" s="251"/>
      <c r="AW299" s="251"/>
      <c r="AX299" s="254"/>
      <c r="AY299" s="252">
        <v>8725</v>
      </c>
      <c r="AZ299" s="252">
        <v>12026</v>
      </c>
      <c r="BA299" s="243"/>
      <c r="BB299" s="251">
        <v>44329.599999999999</v>
      </c>
      <c r="BC299" s="253">
        <v>38.274278850830001</v>
      </c>
      <c r="BD299" s="250"/>
      <c r="BE299" s="251"/>
      <c r="BF299" s="251"/>
      <c r="BG299" s="251"/>
      <c r="BH299" s="251"/>
      <c r="BI299" s="252">
        <v>1649</v>
      </c>
      <c r="BJ299" s="252">
        <v>5084</v>
      </c>
      <c r="BK299" s="251"/>
      <c r="BL299" s="251"/>
      <c r="BM299" s="251"/>
      <c r="BN299" s="251"/>
      <c r="BO299" s="251"/>
      <c r="BP299" s="251"/>
      <c r="BQ299" s="251"/>
    </row>
    <row r="300" spans="1:69" s="207" customFormat="1" ht="28.7" customHeight="1" x14ac:dyDescent="0.2"/>
  </sheetData>
  <mergeCells count="73">
    <mergeCell ref="I2:I4"/>
    <mergeCell ref="L2:V2"/>
    <mergeCell ref="X2:AF2"/>
    <mergeCell ref="AH2:AP2"/>
    <mergeCell ref="AR2:AZ2"/>
    <mergeCell ref="L3:V3"/>
    <mergeCell ref="X3:AF3"/>
    <mergeCell ref="AH3:AP3"/>
    <mergeCell ref="AR3:AZ3"/>
    <mergeCell ref="L4:L5"/>
    <mergeCell ref="X4:X5"/>
    <mergeCell ref="AH4:AH5"/>
    <mergeCell ref="AR4:AR5"/>
    <mergeCell ref="J2:J4"/>
    <mergeCell ref="M4:M5"/>
    <mergeCell ref="N4:N5"/>
    <mergeCell ref="A2:A5"/>
    <mergeCell ref="B2:B5"/>
    <mergeCell ref="C2:C5"/>
    <mergeCell ref="D2:D4"/>
    <mergeCell ref="G2:G4"/>
    <mergeCell ref="F2:F4"/>
    <mergeCell ref="O4:O5"/>
    <mergeCell ref="P4:P5"/>
    <mergeCell ref="V4:V5"/>
    <mergeCell ref="Q4:Q5"/>
    <mergeCell ref="R4:R5"/>
    <mergeCell ref="S4:S5"/>
    <mergeCell ref="T4:T5"/>
    <mergeCell ref="U4:U5"/>
    <mergeCell ref="AX4:AX5"/>
    <mergeCell ref="AY4:AY5"/>
    <mergeCell ref="AZ4:AZ5"/>
    <mergeCell ref="BC4:BC5"/>
    <mergeCell ref="BD4:BD5"/>
    <mergeCell ref="BB2:BJ2"/>
    <mergeCell ref="BL2:BQ2"/>
    <mergeCell ref="BB3:BJ3"/>
    <mergeCell ref="BL3:BQ3"/>
    <mergeCell ref="BJ4:BJ5"/>
    <mergeCell ref="BE4:BE5"/>
    <mergeCell ref="BF4:BF5"/>
    <mergeCell ref="BG4:BG5"/>
    <mergeCell ref="BH4:BH5"/>
    <mergeCell ref="BI4:BI5"/>
    <mergeCell ref="BQ4:BQ5"/>
    <mergeCell ref="BL4:BL5"/>
    <mergeCell ref="BB4:BB5"/>
    <mergeCell ref="BM4:BM5"/>
    <mergeCell ref="BN4:BN5"/>
    <mergeCell ref="BO4:BO5"/>
    <mergeCell ref="AJ4:AJ5"/>
    <mergeCell ref="Y4:Y5"/>
    <mergeCell ref="Z4:Z5"/>
    <mergeCell ref="AA4:AA5"/>
    <mergeCell ref="AB4:AB5"/>
    <mergeCell ref="AC4:AC5"/>
    <mergeCell ref="BP4:BP5"/>
    <mergeCell ref="AD4:AD5"/>
    <mergeCell ref="AE4:AE5"/>
    <mergeCell ref="AF4:AF5"/>
    <mergeCell ref="AI4:AI5"/>
    <mergeCell ref="AW4:AW5"/>
    <mergeCell ref="AK4:AK5"/>
    <mergeCell ref="AL4:AL5"/>
    <mergeCell ref="AM4:AM5"/>
    <mergeCell ref="AN4:AN5"/>
    <mergeCell ref="AO4:AO5"/>
    <mergeCell ref="AP4:AP5"/>
    <mergeCell ref="AS4:AS5"/>
    <mergeCell ref="AT4:AT5"/>
    <mergeCell ref="AU4:AU5"/>
    <mergeCell ref="AV4:AV5"/>
  </mergeCells>
  <hyperlinks>
    <hyperlink ref="F5" r:id="rId1"/>
    <hyperlink ref="G5" r:id="rId2"/>
    <hyperlink ref="I5" r:id="rId3"/>
    <hyperlink ref="J5" r:id="rId4"/>
  </hyperlinks>
  <pageMargins left="0.7" right="0.7" top="0.75" bottom="0.75" header="0.3" footer="0.3"/>
  <pageSetup paperSize="9" orientation="portrait" r:id="rId5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1" tint="0.499984740745262"/>
  </sheetPr>
  <dimension ref="A1:BQ300"/>
  <sheetViews>
    <sheetView workbookViewId="0">
      <selection sqref="A1:XFD1048576"/>
    </sheetView>
  </sheetViews>
  <sheetFormatPr baseColWidth="10" defaultRowHeight="15" x14ac:dyDescent="0.25"/>
  <cols>
    <col min="1" max="1" width="29.85546875" customWidth="1"/>
    <col min="2" max="2" width="26.140625" customWidth="1"/>
    <col min="3" max="3" width="34.28515625" customWidth="1"/>
    <col min="4" max="4" width="12.42578125" customWidth="1"/>
    <col min="5" max="5" width="0.28515625" customWidth="1"/>
    <col min="6" max="6" width="9.28515625" customWidth="1"/>
    <col min="7" max="7" width="8.28515625" customWidth="1"/>
    <col min="8" max="8" width="0.28515625" customWidth="1"/>
    <col min="9" max="10" width="9.7109375" customWidth="1"/>
    <col min="11" max="11" width="0.28515625" customWidth="1"/>
    <col min="12" max="12" width="10.7109375" customWidth="1"/>
    <col min="13" max="14" width="9.5703125" customWidth="1"/>
    <col min="15" max="17" width="7.85546875" customWidth="1"/>
    <col min="18" max="18" width="10" customWidth="1"/>
    <col min="19" max="20" width="7.85546875" customWidth="1"/>
    <col min="21" max="22" width="9.5703125" customWidth="1"/>
    <col min="23" max="23" width="0.28515625" customWidth="1"/>
    <col min="24" max="25" width="9.5703125" customWidth="1"/>
    <col min="26" max="27" width="7.85546875" customWidth="1"/>
    <col min="28" max="28" width="10" customWidth="1"/>
    <col min="29" max="30" width="7.85546875" customWidth="1"/>
    <col min="31" max="32" width="9.5703125" customWidth="1"/>
    <col min="33" max="33" width="0.28515625" customWidth="1"/>
    <col min="34" max="34" width="9" customWidth="1"/>
    <col min="35" max="37" width="7.85546875" customWidth="1"/>
    <col min="38" max="38" width="10" customWidth="1"/>
    <col min="39" max="40" width="7.85546875" customWidth="1"/>
    <col min="41" max="41" width="8.85546875" customWidth="1"/>
    <col min="42" max="42" width="7.85546875" customWidth="1"/>
    <col min="43" max="43" width="0.28515625" customWidth="1"/>
    <col min="44" max="44" width="7.5703125" customWidth="1"/>
    <col min="45" max="47" width="7.85546875" customWidth="1"/>
    <col min="48" max="48" width="10" customWidth="1"/>
    <col min="49" max="49" width="7.42578125" customWidth="1"/>
    <col min="50" max="50" width="7.85546875" customWidth="1"/>
    <col min="51" max="51" width="8.85546875" customWidth="1"/>
    <col min="52" max="52" width="7.85546875" customWidth="1"/>
    <col min="53" max="53" width="0.28515625" customWidth="1"/>
    <col min="54" max="54" width="9.42578125" customWidth="1"/>
    <col min="55" max="55" width="9" customWidth="1"/>
    <col min="56" max="57" width="7.85546875" customWidth="1"/>
    <col min="58" max="58" width="10" customWidth="1"/>
    <col min="59" max="59" width="8.85546875" customWidth="1"/>
    <col min="60" max="60" width="7.85546875" customWidth="1"/>
    <col min="61" max="61" width="8.85546875" customWidth="1"/>
    <col min="62" max="62" width="7.85546875" customWidth="1"/>
    <col min="63" max="63" width="0.28515625" customWidth="1"/>
    <col min="64" max="64" width="8.140625" customWidth="1"/>
    <col min="65" max="65" width="9.140625" customWidth="1"/>
    <col min="66" max="66" width="10.7109375" customWidth="1"/>
    <col min="67" max="67" width="8.140625" customWidth="1"/>
    <col min="68" max="68" width="9.140625" customWidth="1"/>
    <col min="69" max="69" width="10.140625" customWidth="1"/>
    <col min="70" max="70" width="4.7109375" customWidth="1"/>
  </cols>
  <sheetData>
    <row r="1" spans="1:69" s="207" customFormat="1" ht="3.75" customHeight="1" x14ac:dyDescent="0.2"/>
    <row r="2" spans="1:69" s="207" customFormat="1" ht="24" customHeight="1" x14ac:dyDescent="0.2">
      <c r="A2" s="341" t="s">
        <v>19</v>
      </c>
      <c r="B2" s="342" t="s">
        <v>20</v>
      </c>
      <c r="C2" s="342" t="s">
        <v>21</v>
      </c>
      <c r="D2" s="343" t="s">
        <v>22</v>
      </c>
      <c r="E2" s="208"/>
      <c r="F2" s="345" t="s">
        <v>23</v>
      </c>
      <c r="G2" s="344" t="s">
        <v>24</v>
      </c>
      <c r="H2" s="209"/>
      <c r="I2" s="344" t="s">
        <v>25</v>
      </c>
      <c r="J2" s="345" t="s">
        <v>26</v>
      </c>
      <c r="K2" s="209"/>
      <c r="L2" s="346" t="s">
        <v>27</v>
      </c>
      <c r="M2" s="346"/>
      <c r="N2" s="346"/>
      <c r="O2" s="346"/>
      <c r="P2" s="346"/>
      <c r="Q2" s="346"/>
      <c r="R2" s="346"/>
      <c r="S2" s="346"/>
      <c r="T2" s="346"/>
      <c r="U2" s="346"/>
      <c r="V2" s="346"/>
      <c r="W2" s="210"/>
      <c r="X2" s="347" t="s">
        <v>28</v>
      </c>
      <c r="Y2" s="347"/>
      <c r="Z2" s="347"/>
      <c r="AA2" s="347"/>
      <c r="AB2" s="347"/>
      <c r="AC2" s="347"/>
      <c r="AD2" s="347"/>
      <c r="AE2" s="347"/>
      <c r="AF2" s="347"/>
      <c r="AG2" s="211"/>
      <c r="AH2" s="348" t="s">
        <v>29</v>
      </c>
      <c r="AI2" s="348"/>
      <c r="AJ2" s="348"/>
      <c r="AK2" s="348"/>
      <c r="AL2" s="348"/>
      <c r="AM2" s="348"/>
      <c r="AN2" s="348"/>
      <c r="AO2" s="348"/>
      <c r="AP2" s="348"/>
      <c r="AQ2" s="212"/>
      <c r="AR2" s="349" t="s">
        <v>30</v>
      </c>
      <c r="AS2" s="349"/>
      <c r="AT2" s="349"/>
      <c r="AU2" s="349"/>
      <c r="AV2" s="349"/>
      <c r="AW2" s="349"/>
      <c r="AX2" s="349"/>
      <c r="AY2" s="349"/>
      <c r="AZ2" s="349"/>
      <c r="BA2" s="212"/>
      <c r="BB2" s="337" t="s">
        <v>31</v>
      </c>
      <c r="BC2" s="337"/>
      <c r="BD2" s="337"/>
      <c r="BE2" s="337"/>
      <c r="BF2" s="337"/>
      <c r="BG2" s="337"/>
      <c r="BH2" s="337"/>
      <c r="BI2" s="337"/>
      <c r="BJ2" s="337"/>
      <c r="BK2" s="213"/>
      <c r="BL2" s="338" t="s">
        <v>32</v>
      </c>
      <c r="BM2" s="338"/>
      <c r="BN2" s="338"/>
      <c r="BO2" s="338"/>
      <c r="BP2" s="338"/>
      <c r="BQ2" s="338"/>
    </row>
    <row r="3" spans="1:69" s="207" customFormat="1" ht="20.25" customHeight="1" x14ac:dyDescent="0.2">
      <c r="A3" s="341"/>
      <c r="B3" s="342"/>
      <c r="C3" s="342"/>
      <c r="D3" s="343"/>
      <c r="E3" s="208"/>
      <c r="F3" s="345"/>
      <c r="G3" s="344"/>
      <c r="H3" s="209"/>
      <c r="I3" s="344"/>
      <c r="J3" s="345"/>
      <c r="K3" s="209"/>
      <c r="L3" s="346" t="s">
        <v>683</v>
      </c>
      <c r="M3" s="346"/>
      <c r="N3" s="346"/>
      <c r="O3" s="346"/>
      <c r="P3" s="346"/>
      <c r="Q3" s="346"/>
      <c r="R3" s="346"/>
      <c r="S3" s="346"/>
      <c r="T3" s="346"/>
      <c r="U3" s="346"/>
      <c r="V3" s="346"/>
      <c r="W3" s="210"/>
      <c r="X3" s="347" t="s">
        <v>684</v>
      </c>
      <c r="Y3" s="347"/>
      <c r="Z3" s="347"/>
      <c r="AA3" s="347"/>
      <c r="AB3" s="347"/>
      <c r="AC3" s="347"/>
      <c r="AD3" s="347"/>
      <c r="AE3" s="347"/>
      <c r="AF3" s="347"/>
      <c r="AG3" s="210"/>
      <c r="AH3" s="348" t="s">
        <v>685</v>
      </c>
      <c r="AI3" s="348"/>
      <c r="AJ3" s="348"/>
      <c r="AK3" s="348"/>
      <c r="AL3" s="348"/>
      <c r="AM3" s="348"/>
      <c r="AN3" s="348"/>
      <c r="AO3" s="348"/>
      <c r="AP3" s="348"/>
      <c r="AQ3" s="210"/>
      <c r="AR3" s="349" t="s">
        <v>686</v>
      </c>
      <c r="AS3" s="349"/>
      <c r="AT3" s="349"/>
      <c r="AU3" s="349"/>
      <c r="AV3" s="349"/>
      <c r="AW3" s="349"/>
      <c r="AX3" s="349"/>
      <c r="AY3" s="349"/>
      <c r="AZ3" s="349"/>
      <c r="BA3" s="210"/>
      <c r="BB3" s="337" t="s">
        <v>687</v>
      </c>
      <c r="BC3" s="337"/>
      <c r="BD3" s="337"/>
      <c r="BE3" s="337"/>
      <c r="BF3" s="337"/>
      <c r="BG3" s="337"/>
      <c r="BH3" s="337"/>
      <c r="BI3" s="337"/>
      <c r="BJ3" s="337"/>
      <c r="BK3" s="213"/>
      <c r="BL3" s="338" t="s">
        <v>688</v>
      </c>
      <c r="BM3" s="338"/>
      <c r="BN3" s="338"/>
      <c r="BO3" s="338"/>
      <c r="BP3" s="338"/>
      <c r="BQ3" s="338"/>
    </row>
    <row r="4" spans="1:69" s="207" customFormat="1" ht="20.25" customHeight="1" x14ac:dyDescent="0.2">
      <c r="A4" s="341"/>
      <c r="B4" s="342"/>
      <c r="C4" s="342"/>
      <c r="D4" s="343"/>
      <c r="E4" s="208"/>
      <c r="F4" s="345"/>
      <c r="G4" s="344"/>
      <c r="H4" s="209"/>
      <c r="I4" s="344"/>
      <c r="J4" s="345"/>
      <c r="K4" s="209"/>
      <c r="L4" s="340" t="s">
        <v>33</v>
      </c>
      <c r="M4" s="340" t="s">
        <v>34</v>
      </c>
      <c r="N4" s="340" t="s">
        <v>35</v>
      </c>
      <c r="O4" s="340" t="s">
        <v>36</v>
      </c>
      <c r="P4" s="340" t="s">
        <v>37</v>
      </c>
      <c r="Q4" s="340" t="s">
        <v>38</v>
      </c>
      <c r="R4" s="340" t="s">
        <v>39</v>
      </c>
      <c r="S4" s="340" t="s">
        <v>40</v>
      </c>
      <c r="T4" s="340" t="s">
        <v>41</v>
      </c>
      <c r="U4" s="340" t="s">
        <v>42</v>
      </c>
      <c r="V4" s="340" t="s">
        <v>43</v>
      </c>
      <c r="W4" s="210"/>
      <c r="X4" s="334" t="s">
        <v>44</v>
      </c>
      <c r="Y4" s="334" t="s">
        <v>36</v>
      </c>
      <c r="Z4" s="334" t="s">
        <v>37</v>
      </c>
      <c r="AA4" s="334" t="s">
        <v>38</v>
      </c>
      <c r="AB4" s="334" t="s">
        <v>39</v>
      </c>
      <c r="AC4" s="334" t="s">
        <v>40</v>
      </c>
      <c r="AD4" s="334" t="s">
        <v>41</v>
      </c>
      <c r="AE4" s="334" t="s">
        <v>42</v>
      </c>
      <c r="AF4" s="334" t="s">
        <v>43</v>
      </c>
      <c r="AG4" s="210"/>
      <c r="AH4" s="335" t="s">
        <v>45</v>
      </c>
      <c r="AI4" s="335" t="s">
        <v>36</v>
      </c>
      <c r="AJ4" s="335" t="s">
        <v>37</v>
      </c>
      <c r="AK4" s="335" t="s">
        <v>38</v>
      </c>
      <c r="AL4" s="335" t="s">
        <v>39</v>
      </c>
      <c r="AM4" s="335" t="s">
        <v>40</v>
      </c>
      <c r="AN4" s="335" t="s">
        <v>41</v>
      </c>
      <c r="AO4" s="335" t="s">
        <v>42</v>
      </c>
      <c r="AP4" s="335" t="s">
        <v>43</v>
      </c>
      <c r="AQ4" s="210"/>
      <c r="AR4" s="336" t="s">
        <v>46</v>
      </c>
      <c r="AS4" s="336" t="s">
        <v>36</v>
      </c>
      <c r="AT4" s="336" t="s">
        <v>37</v>
      </c>
      <c r="AU4" s="336" t="s">
        <v>38</v>
      </c>
      <c r="AV4" s="336" t="s">
        <v>39</v>
      </c>
      <c r="AW4" s="336" t="s">
        <v>40</v>
      </c>
      <c r="AX4" s="336" t="s">
        <v>41</v>
      </c>
      <c r="AY4" s="336" t="s">
        <v>42</v>
      </c>
      <c r="AZ4" s="336" t="s">
        <v>43</v>
      </c>
      <c r="BA4" s="210"/>
      <c r="BB4" s="339" t="s">
        <v>47</v>
      </c>
      <c r="BC4" s="339" t="s">
        <v>36</v>
      </c>
      <c r="BD4" s="339" t="s">
        <v>37</v>
      </c>
      <c r="BE4" s="339" t="s">
        <v>38</v>
      </c>
      <c r="BF4" s="339" t="s">
        <v>39</v>
      </c>
      <c r="BG4" s="339" t="s">
        <v>40</v>
      </c>
      <c r="BH4" s="339" t="s">
        <v>41</v>
      </c>
      <c r="BI4" s="339" t="s">
        <v>42</v>
      </c>
      <c r="BJ4" s="339" t="s">
        <v>43</v>
      </c>
      <c r="BK4" s="213"/>
      <c r="BL4" s="333" t="s">
        <v>48</v>
      </c>
      <c r="BM4" s="333" t="s">
        <v>49</v>
      </c>
      <c r="BN4" s="333" t="s">
        <v>41</v>
      </c>
      <c r="BO4" s="333" t="s">
        <v>50</v>
      </c>
      <c r="BP4" s="333" t="s">
        <v>51</v>
      </c>
      <c r="BQ4" s="333" t="s">
        <v>41</v>
      </c>
    </row>
    <row r="5" spans="1:69" s="207" customFormat="1" ht="20.25" customHeight="1" x14ac:dyDescent="0.2">
      <c r="A5" s="341"/>
      <c r="B5" s="342"/>
      <c r="C5" s="342"/>
      <c r="D5" s="256" t="s">
        <v>376</v>
      </c>
      <c r="E5" s="208"/>
      <c r="F5" s="214" t="s">
        <v>52</v>
      </c>
      <c r="G5" s="215" t="s">
        <v>52</v>
      </c>
      <c r="H5" s="209"/>
      <c r="I5" s="214" t="s">
        <v>52</v>
      </c>
      <c r="J5" s="214" t="s">
        <v>52</v>
      </c>
      <c r="K5" s="209"/>
      <c r="L5" s="340"/>
      <c r="M5" s="340"/>
      <c r="N5" s="340"/>
      <c r="O5" s="340"/>
      <c r="P5" s="340"/>
      <c r="Q5" s="340"/>
      <c r="R5" s="340"/>
      <c r="S5" s="340"/>
      <c r="T5" s="340"/>
      <c r="U5" s="340"/>
      <c r="V5" s="340"/>
      <c r="W5" s="210"/>
      <c r="X5" s="334"/>
      <c r="Y5" s="334"/>
      <c r="Z5" s="334"/>
      <c r="AA5" s="334"/>
      <c r="AB5" s="334"/>
      <c r="AC5" s="334"/>
      <c r="AD5" s="334"/>
      <c r="AE5" s="334"/>
      <c r="AF5" s="334"/>
      <c r="AG5" s="210"/>
      <c r="AH5" s="335"/>
      <c r="AI5" s="335"/>
      <c r="AJ5" s="335"/>
      <c r="AK5" s="335"/>
      <c r="AL5" s="335"/>
      <c r="AM5" s="335"/>
      <c r="AN5" s="335"/>
      <c r="AO5" s="335"/>
      <c r="AP5" s="335"/>
      <c r="AQ5" s="210"/>
      <c r="AR5" s="336"/>
      <c r="AS5" s="336"/>
      <c r="AT5" s="336"/>
      <c r="AU5" s="336"/>
      <c r="AV5" s="336"/>
      <c r="AW5" s="336"/>
      <c r="AX5" s="336"/>
      <c r="AY5" s="336"/>
      <c r="AZ5" s="336"/>
      <c r="BA5" s="210"/>
      <c r="BB5" s="339"/>
      <c r="BC5" s="339"/>
      <c r="BD5" s="339"/>
      <c r="BE5" s="339"/>
      <c r="BF5" s="339"/>
      <c r="BG5" s="339"/>
      <c r="BH5" s="339"/>
      <c r="BI5" s="339"/>
      <c r="BJ5" s="339"/>
      <c r="BK5" s="213"/>
      <c r="BL5" s="333"/>
      <c r="BM5" s="333"/>
      <c r="BN5" s="333"/>
      <c r="BO5" s="333"/>
      <c r="BP5" s="333"/>
      <c r="BQ5" s="333"/>
    </row>
    <row r="6" spans="1:69" s="207" customFormat="1" ht="22.35" customHeight="1" x14ac:dyDescent="0.2">
      <c r="A6" s="216" t="s">
        <v>4</v>
      </c>
      <c r="B6" s="216" t="s">
        <v>0</v>
      </c>
      <c r="C6" s="216" t="s">
        <v>5</v>
      </c>
      <c r="D6" s="217">
        <v>1.89995189988889</v>
      </c>
      <c r="E6" s="218"/>
      <c r="F6" s="219">
        <v>4.4999999999999998E-2</v>
      </c>
      <c r="G6" s="219">
        <v>2.8000000000000001E-2</v>
      </c>
      <c r="H6" s="220"/>
      <c r="I6" s="221">
        <v>5</v>
      </c>
      <c r="J6" s="221">
        <v>4</v>
      </c>
      <c r="K6" s="218"/>
      <c r="L6" s="222">
        <v>60.838459999999998</v>
      </c>
      <c r="M6" s="222">
        <v>269.56455</v>
      </c>
      <c r="N6" s="222">
        <v>330.40300999999999</v>
      </c>
      <c r="O6" s="217">
        <v>173.90072349690601</v>
      </c>
      <c r="P6" s="223">
        <v>234.65600000000001</v>
      </c>
      <c r="Q6" s="239">
        <v>0.74108790526092005</v>
      </c>
      <c r="R6" s="222">
        <v>-156.44893341819699</v>
      </c>
      <c r="S6" s="219"/>
      <c r="T6" s="219"/>
      <c r="U6" s="226">
        <v>116</v>
      </c>
      <c r="V6" s="227">
        <v>205</v>
      </c>
      <c r="W6" s="218"/>
      <c r="X6" s="226">
        <v>1524.2224349999999</v>
      </c>
      <c r="Y6" s="217">
        <v>802.24264366331499</v>
      </c>
      <c r="Z6" s="228">
        <v>573</v>
      </c>
      <c r="AA6" s="229">
        <v>1.40007442175099</v>
      </c>
      <c r="AB6" s="230">
        <v>335.39213200912297</v>
      </c>
      <c r="AC6" s="219">
        <v>0.02</v>
      </c>
      <c r="AD6" s="219">
        <v>0.02</v>
      </c>
      <c r="AE6" s="227">
        <v>0</v>
      </c>
      <c r="AF6" s="227">
        <v>0</v>
      </c>
      <c r="AG6" s="218"/>
      <c r="AH6" s="231">
        <v>116.1</v>
      </c>
      <c r="AI6" s="217">
        <v>61.106810128608799</v>
      </c>
      <c r="AJ6" s="232" t="s">
        <v>53</v>
      </c>
      <c r="AK6" s="233">
        <v>0.96994936712077495</v>
      </c>
      <c r="AL6" s="234">
        <v>-14.6090909047561</v>
      </c>
      <c r="AM6" s="219">
        <v>7.0000000000000001E-3</v>
      </c>
      <c r="AN6" s="219"/>
      <c r="AO6" s="227">
        <v>4</v>
      </c>
      <c r="AP6" s="227">
        <v>28</v>
      </c>
      <c r="AQ6" s="218"/>
      <c r="AR6" s="231">
        <v>20.2</v>
      </c>
      <c r="AS6" s="217">
        <v>10.631848101618401</v>
      </c>
      <c r="AT6" s="232" t="s">
        <v>54</v>
      </c>
      <c r="AU6" s="224">
        <v>0.66449050635115103</v>
      </c>
      <c r="AV6" s="225">
        <v>-12.9959595948587</v>
      </c>
      <c r="AW6" s="219"/>
      <c r="AX6" s="219"/>
      <c r="AY6" s="227">
        <v>11</v>
      </c>
      <c r="AZ6" s="227">
        <v>17</v>
      </c>
      <c r="BA6" s="218"/>
      <c r="BB6" s="235">
        <v>65.400000000000006</v>
      </c>
      <c r="BC6" s="231">
        <v>34.421924051774504</v>
      </c>
      <c r="BD6" s="232" t="s">
        <v>55</v>
      </c>
      <c r="BE6" s="233">
        <v>1.0756851266179499</v>
      </c>
      <c r="BF6" s="234">
        <v>-0.99191918971737902</v>
      </c>
      <c r="BG6" s="219">
        <v>1.7999999999999999E-2</v>
      </c>
      <c r="BH6" s="219">
        <v>8.0000000000000002E-3</v>
      </c>
      <c r="BI6" s="227">
        <v>0</v>
      </c>
      <c r="BJ6" s="227">
        <v>8</v>
      </c>
      <c r="BK6" s="220"/>
      <c r="BL6" s="236">
        <v>0.8</v>
      </c>
      <c r="BM6" s="233">
        <v>0.84</v>
      </c>
      <c r="BN6" s="237">
        <v>1.5E-3</v>
      </c>
      <c r="BO6" s="238">
        <v>0.95</v>
      </c>
      <c r="BP6" s="229">
        <v>1</v>
      </c>
      <c r="BQ6" s="237">
        <v>2.5000000000000001E-3</v>
      </c>
    </row>
    <row r="7" spans="1:69" s="207" customFormat="1" ht="22.35" customHeight="1" x14ac:dyDescent="0.2">
      <c r="A7" s="216" t="s">
        <v>4</v>
      </c>
      <c r="B7" s="216" t="s">
        <v>0</v>
      </c>
      <c r="C7" s="216" t="s">
        <v>56</v>
      </c>
      <c r="D7" s="217">
        <v>9.1914924981111099</v>
      </c>
      <c r="E7" s="218"/>
      <c r="F7" s="219">
        <v>0.05</v>
      </c>
      <c r="G7" s="219">
        <v>4.2999999999999997E-2</v>
      </c>
      <c r="H7" s="220"/>
      <c r="I7" s="221">
        <v>5</v>
      </c>
      <c r="J7" s="221">
        <v>5</v>
      </c>
      <c r="K7" s="218"/>
      <c r="L7" s="222">
        <v>3383.2582299999999</v>
      </c>
      <c r="M7" s="222">
        <v>6072.9832699999997</v>
      </c>
      <c r="N7" s="222">
        <v>9456.2415000000001</v>
      </c>
      <c r="O7" s="217">
        <v>1028.80370102497</v>
      </c>
      <c r="P7" s="223">
        <v>244.07400000000001</v>
      </c>
      <c r="Q7" s="229">
        <v>4.2151302515834104</v>
      </c>
      <c r="R7" s="230">
        <v>7006.4439607374998</v>
      </c>
      <c r="S7" s="219">
        <v>0.01</v>
      </c>
      <c r="T7" s="219">
        <v>0.01</v>
      </c>
      <c r="U7" s="226">
        <v>0</v>
      </c>
      <c r="V7" s="227">
        <v>0</v>
      </c>
      <c r="W7" s="218"/>
      <c r="X7" s="226">
        <v>5969.496365</v>
      </c>
      <c r="Y7" s="217">
        <v>649.45887365155897</v>
      </c>
      <c r="Z7" s="228">
        <v>573</v>
      </c>
      <c r="AA7" s="229">
        <v>1.13343607967113</v>
      </c>
      <c r="AB7" s="230">
        <v>218.232445051909</v>
      </c>
      <c r="AC7" s="219">
        <v>0.02</v>
      </c>
      <c r="AD7" s="219">
        <v>1.2999999999999999E-2</v>
      </c>
      <c r="AE7" s="227">
        <v>0</v>
      </c>
      <c r="AF7" s="227">
        <v>351</v>
      </c>
      <c r="AG7" s="218"/>
      <c r="AH7" s="231">
        <v>462.15</v>
      </c>
      <c r="AI7" s="217">
        <v>50.280191176239697</v>
      </c>
      <c r="AJ7" s="232" t="s">
        <v>53</v>
      </c>
      <c r="AK7" s="239">
        <v>0.79809827263872601</v>
      </c>
      <c r="AL7" s="222">
        <v>-170.18791790005201</v>
      </c>
      <c r="AM7" s="219"/>
      <c r="AN7" s="219"/>
      <c r="AO7" s="227">
        <v>117</v>
      </c>
      <c r="AP7" s="227">
        <v>233</v>
      </c>
      <c r="AQ7" s="218"/>
      <c r="AR7" s="231">
        <v>73.7</v>
      </c>
      <c r="AS7" s="217">
        <v>8.0182843009604401</v>
      </c>
      <c r="AT7" s="232" t="s">
        <v>54</v>
      </c>
      <c r="AU7" s="224">
        <v>0.50114276881002695</v>
      </c>
      <c r="AV7" s="225">
        <v>-86.893756926997298</v>
      </c>
      <c r="AW7" s="219"/>
      <c r="AX7" s="219"/>
      <c r="AY7" s="227">
        <v>74</v>
      </c>
      <c r="AZ7" s="227">
        <v>103</v>
      </c>
      <c r="BA7" s="218"/>
      <c r="BB7" s="235">
        <v>382</v>
      </c>
      <c r="BC7" s="231">
        <v>41.560171003621299</v>
      </c>
      <c r="BD7" s="232" t="s">
        <v>55</v>
      </c>
      <c r="BE7" s="229">
        <v>1.29875534386316</v>
      </c>
      <c r="BF7" s="230">
        <v>60.812486146005398</v>
      </c>
      <c r="BG7" s="219">
        <v>0.02</v>
      </c>
      <c r="BH7" s="219">
        <v>0.02</v>
      </c>
      <c r="BI7" s="227">
        <v>0</v>
      </c>
      <c r="BJ7" s="227">
        <v>0</v>
      </c>
      <c r="BK7" s="220"/>
      <c r="BL7" s="236">
        <v>0.8</v>
      </c>
      <c r="BM7" s="233">
        <v>0.82</v>
      </c>
      <c r="BN7" s="237">
        <v>7.5000000000000002E-4</v>
      </c>
      <c r="BO7" s="238">
        <v>0.95</v>
      </c>
      <c r="BP7" s="229">
        <v>1</v>
      </c>
      <c r="BQ7" s="237">
        <v>2.5000000000000001E-3</v>
      </c>
    </row>
    <row r="8" spans="1:69" s="207" customFormat="1" ht="22.35" customHeight="1" x14ac:dyDescent="0.2">
      <c r="A8" s="216" t="s">
        <v>4</v>
      </c>
      <c r="B8" s="216" t="s">
        <v>0</v>
      </c>
      <c r="C8" s="216" t="s">
        <v>57</v>
      </c>
      <c r="D8" s="217">
        <v>2.4137029143333302</v>
      </c>
      <c r="E8" s="218"/>
      <c r="F8" s="219">
        <v>5.3999999999999999E-2</v>
      </c>
      <c r="G8" s="219">
        <v>0.05</v>
      </c>
      <c r="H8" s="220"/>
      <c r="I8" s="221">
        <v>6</v>
      </c>
      <c r="J8" s="221">
        <v>5</v>
      </c>
      <c r="K8" s="218"/>
      <c r="L8" s="222">
        <v>963.30571999999995</v>
      </c>
      <c r="M8" s="222">
        <v>736.54602</v>
      </c>
      <c r="N8" s="222">
        <v>1699.8517400000001</v>
      </c>
      <c r="O8" s="217">
        <v>704.25060594895103</v>
      </c>
      <c r="P8" s="223">
        <v>214.66499999999999</v>
      </c>
      <c r="Q8" s="229">
        <v>3.2806959958491202</v>
      </c>
      <c r="R8" s="230">
        <v>1134.0455505729401</v>
      </c>
      <c r="S8" s="219">
        <v>0.01</v>
      </c>
      <c r="T8" s="219">
        <v>0.01</v>
      </c>
      <c r="U8" s="226">
        <v>0</v>
      </c>
      <c r="V8" s="227">
        <v>0</v>
      </c>
      <c r="W8" s="218"/>
      <c r="X8" s="226">
        <v>2180.3409649999999</v>
      </c>
      <c r="Y8" s="217">
        <v>903.31786569608198</v>
      </c>
      <c r="Z8" s="228">
        <v>573</v>
      </c>
      <c r="AA8" s="229">
        <v>1.5764709698011901</v>
      </c>
      <c r="AB8" s="230">
        <v>670.04843225500599</v>
      </c>
      <c r="AC8" s="219">
        <v>0.02</v>
      </c>
      <c r="AD8" s="219">
        <v>0.02</v>
      </c>
      <c r="AE8" s="227">
        <v>0</v>
      </c>
      <c r="AF8" s="227">
        <v>0</v>
      </c>
      <c r="AG8" s="218"/>
      <c r="AH8" s="231">
        <v>105.85</v>
      </c>
      <c r="AI8" s="217">
        <v>43.853781412546297</v>
      </c>
      <c r="AJ8" s="232" t="s">
        <v>53</v>
      </c>
      <c r="AK8" s="224">
        <v>0.69609176845311604</v>
      </c>
      <c r="AL8" s="225">
        <v>-60.203105694475802</v>
      </c>
      <c r="AM8" s="219"/>
      <c r="AN8" s="219"/>
      <c r="AO8" s="227">
        <v>47</v>
      </c>
      <c r="AP8" s="227">
        <v>77</v>
      </c>
      <c r="AQ8" s="218"/>
      <c r="AR8" s="231">
        <v>38.1</v>
      </c>
      <c r="AS8" s="217">
        <v>15.784875501351101</v>
      </c>
      <c r="AT8" s="232" t="s">
        <v>54</v>
      </c>
      <c r="AU8" s="233">
        <v>0.98655471883444401</v>
      </c>
      <c r="AV8" s="234">
        <v>-4.0722173192319397</v>
      </c>
      <c r="AW8" s="219">
        <v>4.0000000000000001E-3</v>
      </c>
      <c r="AX8" s="219"/>
      <c r="AY8" s="227">
        <v>1</v>
      </c>
      <c r="AZ8" s="227">
        <v>9</v>
      </c>
      <c r="BA8" s="218"/>
      <c r="BB8" s="235">
        <v>105.8</v>
      </c>
      <c r="BC8" s="231">
        <v>43.8330663528332</v>
      </c>
      <c r="BD8" s="232" t="s">
        <v>55</v>
      </c>
      <c r="BE8" s="229">
        <v>1.3697833235260399</v>
      </c>
      <c r="BF8" s="230">
        <v>21.455565361536099</v>
      </c>
      <c r="BG8" s="219">
        <v>0.02</v>
      </c>
      <c r="BH8" s="219">
        <v>0.02</v>
      </c>
      <c r="BI8" s="227">
        <v>0</v>
      </c>
      <c r="BJ8" s="227">
        <v>0</v>
      </c>
      <c r="BK8" s="220"/>
      <c r="BL8" s="236">
        <v>0.8</v>
      </c>
      <c r="BM8" s="233">
        <v>0.88</v>
      </c>
      <c r="BN8" s="237">
        <v>3.0000000000000001E-3</v>
      </c>
      <c r="BO8" s="238">
        <v>0.95</v>
      </c>
      <c r="BP8" s="229">
        <v>1</v>
      </c>
      <c r="BQ8" s="237">
        <v>2.5000000000000001E-3</v>
      </c>
    </row>
    <row r="9" spans="1:69" s="207" customFormat="1" ht="22.35" customHeight="1" x14ac:dyDescent="0.2">
      <c r="A9" s="216" t="s">
        <v>4</v>
      </c>
      <c r="B9" s="216" t="s">
        <v>0</v>
      </c>
      <c r="C9" s="216" t="s">
        <v>58</v>
      </c>
      <c r="D9" s="217">
        <v>2.8152337733333299</v>
      </c>
      <c r="E9" s="218"/>
      <c r="F9" s="219">
        <v>2E-3</v>
      </c>
      <c r="G9" s="219"/>
      <c r="H9" s="220"/>
      <c r="I9" s="221">
        <v>3</v>
      </c>
      <c r="J9" s="221">
        <v>2</v>
      </c>
      <c r="K9" s="218"/>
      <c r="L9" s="222">
        <v>853.57285000000002</v>
      </c>
      <c r="M9" s="222">
        <v>-752.06227000000001</v>
      </c>
      <c r="N9" s="222">
        <v>101.51058</v>
      </c>
      <c r="O9" s="217">
        <v>36.057602378010699</v>
      </c>
      <c r="P9" s="223">
        <v>212.5</v>
      </c>
      <c r="Q9" s="224">
        <v>0.16968283472005</v>
      </c>
      <c r="R9" s="225">
        <v>-551.76441710199902</v>
      </c>
      <c r="S9" s="219"/>
      <c r="T9" s="219"/>
      <c r="U9" s="226">
        <v>497</v>
      </c>
      <c r="V9" s="227">
        <v>617</v>
      </c>
      <c r="W9" s="218"/>
      <c r="X9" s="226">
        <v>1494.4233899999999</v>
      </c>
      <c r="Y9" s="217">
        <v>530.83456306740402</v>
      </c>
      <c r="Z9" s="228">
        <v>573</v>
      </c>
      <c r="AA9" s="233">
        <v>0.92641285003037399</v>
      </c>
      <c r="AB9" s="234">
        <v>-267.11342571503798</v>
      </c>
      <c r="AC9" s="219">
        <v>2E-3</v>
      </c>
      <c r="AD9" s="219"/>
      <c r="AE9" s="227">
        <v>119</v>
      </c>
      <c r="AF9" s="227">
        <v>442</v>
      </c>
      <c r="AG9" s="218"/>
      <c r="AH9" s="231">
        <v>97</v>
      </c>
      <c r="AI9" s="217">
        <v>34.455397956223202</v>
      </c>
      <c r="AJ9" s="232" t="s">
        <v>53</v>
      </c>
      <c r="AK9" s="224">
        <v>0.54691107867021005</v>
      </c>
      <c r="AL9" s="225">
        <v>-96.676822670239702</v>
      </c>
      <c r="AM9" s="219"/>
      <c r="AN9" s="219"/>
      <c r="AO9" s="227">
        <v>81</v>
      </c>
      <c r="AP9" s="227">
        <v>116</v>
      </c>
      <c r="AQ9" s="218"/>
      <c r="AR9" s="231">
        <v>7</v>
      </c>
      <c r="AS9" s="217">
        <v>2.4864720174594099</v>
      </c>
      <c r="AT9" s="232" t="s">
        <v>54</v>
      </c>
      <c r="AU9" s="224">
        <v>0.15540450109121301</v>
      </c>
      <c r="AV9" s="225">
        <v>-42.1877644876799</v>
      </c>
      <c r="AW9" s="219"/>
      <c r="AX9" s="219"/>
      <c r="AY9" s="227">
        <v>39</v>
      </c>
      <c r="AZ9" s="227">
        <v>48</v>
      </c>
      <c r="BA9" s="218"/>
      <c r="BB9" s="235">
        <v>81</v>
      </c>
      <c r="BC9" s="231">
        <v>28.7720333448875</v>
      </c>
      <c r="BD9" s="232" t="s">
        <v>55</v>
      </c>
      <c r="BE9" s="239">
        <v>0.89912604202773305</v>
      </c>
      <c r="BF9" s="222">
        <v>-17.375528975359899</v>
      </c>
      <c r="BG9" s="219"/>
      <c r="BH9" s="219"/>
      <c r="BI9" s="227">
        <v>10</v>
      </c>
      <c r="BJ9" s="227">
        <v>28</v>
      </c>
      <c r="BK9" s="220"/>
      <c r="BL9" s="236">
        <v>0.8</v>
      </c>
      <c r="BM9" s="233">
        <v>0.82</v>
      </c>
      <c r="BN9" s="237">
        <v>7.5000000000000002E-4</v>
      </c>
      <c r="BO9" s="238">
        <v>0.95</v>
      </c>
      <c r="BP9" s="229">
        <v>1</v>
      </c>
      <c r="BQ9" s="237">
        <v>2.5000000000000001E-3</v>
      </c>
    </row>
    <row r="10" spans="1:69" s="207" customFormat="1" ht="22.35" customHeight="1" x14ac:dyDescent="0.2">
      <c r="A10" s="216" t="s">
        <v>4</v>
      </c>
      <c r="B10" s="216" t="s">
        <v>0</v>
      </c>
      <c r="C10" s="216" t="s">
        <v>59</v>
      </c>
      <c r="D10" s="217">
        <v>6.67734879333333</v>
      </c>
      <c r="E10" s="218"/>
      <c r="F10" s="219">
        <v>5.7000000000000002E-2</v>
      </c>
      <c r="G10" s="219">
        <v>0.04</v>
      </c>
      <c r="H10" s="220"/>
      <c r="I10" s="221">
        <v>6</v>
      </c>
      <c r="J10" s="221">
        <v>5</v>
      </c>
      <c r="K10" s="218"/>
      <c r="L10" s="222">
        <v>2698.1465199999998</v>
      </c>
      <c r="M10" s="222">
        <v>3152.4227000000001</v>
      </c>
      <c r="N10" s="222">
        <v>5850.5692200000003</v>
      </c>
      <c r="O10" s="217">
        <v>876.18146079791597</v>
      </c>
      <c r="P10" s="223">
        <v>234.65600000000001</v>
      </c>
      <c r="Q10" s="229">
        <v>3.7338975385155999</v>
      </c>
      <c r="R10" s="230">
        <v>4139.5363053743204</v>
      </c>
      <c r="S10" s="219">
        <v>0.01</v>
      </c>
      <c r="T10" s="219">
        <v>0.01</v>
      </c>
      <c r="U10" s="226">
        <v>0</v>
      </c>
      <c r="V10" s="227">
        <v>0</v>
      </c>
      <c r="W10" s="218"/>
      <c r="X10" s="226">
        <v>4900.5916100000004</v>
      </c>
      <c r="Y10" s="217">
        <v>733.91277910968995</v>
      </c>
      <c r="Z10" s="228">
        <v>573</v>
      </c>
      <c r="AA10" s="229">
        <v>1.2808250944322701</v>
      </c>
      <c r="AB10" s="230">
        <v>722.46763243064299</v>
      </c>
      <c r="AC10" s="219">
        <v>0.02</v>
      </c>
      <c r="AD10" s="219">
        <v>0.02</v>
      </c>
      <c r="AE10" s="227">
        <v>0</v>
      </c>
      <c r="AF10" s="227">
        <v>0</v>
      </c>
      <c r="AG10" s="218"/>
      <c r="AH10" s="231">
        <v>409.2</v>
      </c>
      <c r="AI10" s="217">
        <v>61.281806996295501</v>
      </c>
      <c r="AJ10" s="232" t="s">
        <v>53</v>
      </c>
      <c r="AK10" s="233">
        <v>0.97272709517929301</v>
      </c>
      <c r="AL10" s="234">
        <v>-50.174887586159699</v>
      </c>
      <c r="AM10" s="219">
        <v>7.0000000000000001E-3</v>
      </c>
      <c r="AN10" s="219"/>
      <c r="AO10" s="227">
        <v>12</v>
      </c>
      <c r="AP10" s="227">
        <v>96</v>
      </c>
      <c r="AQ10" s="218"/>
      <c r="AR10" s="231">
        <v>53.7</v>
      </c>
      <c r="AS10" s="217">
        <v>8.0421139679889304</v>
      </c>
      <c r="AT10" s="232" t="s">
        <v>54</v>
      </c>
      <c r="AU10" s="224">
        <v>0.50263212299930804</v>
      </c>
      <c r="AV10" s="225">
        <v>-62.966638117119899</v>
      </c>
      <c r="AW10" s="219"/>
      <c r="AX10" s="219"/>
      <c r="AY10" s="227">
        <v>54</v>
      </c>
      <c r="AZ10" s="227">
        <v>75</v>
      </c>
      <c r="BA10" s="218"/>
      <c r="BB10" s="235">
        <v>235.8</v>
      </c>
      <c r="BC10" s="231">
        <v>35.313416641560302</v>
      </c>
      <c r="BD10" s="232" t="s">
        <v>55</v>
      </c>
      <c r="BE10" s="229">
        <v>1.1035442700487601</v>
      </c>
      <c r="BF10" s="230">
        <v>2.46672376576015</v>
      </c>
      <c r="BG10" s="219">
        <v>0.02</v>
      </c>
      <c r="BH10" s="219">
        <v>0.01</v>
      </c>
      <c r="BI10" s="227">
        <v>0</v>
      </c>
      <c r="BJ10" s="227">
        <v>21</v>
      </c>
      <c r="BK10" s="220"/>
      <c r="BL10" s="236">
        <v>0.8</v>
      </c>
      <c r="BM10" s="233">
        <v>0.85</v>
      </c>
      <c r="BN10" s="237">
        <v>1.8749999999999999E-3</v>
      </c>
      <c r="BO10" s="238">
        <v>0.95</v>
      </c>
      <c r="BP10" s="229">
        <v>1</v>
      </c>
      <c r="BQ10" s="237">
        <v>2.5000000000000001E-3</v>
      </c>
    </row>
    <row r="11" spans="1:69" s="207" customFormat="1" ht="22.35" customHeight="1" x14ac:dyDescent="0.2">
      <c r="A11" s="216" t="s">
        <v>4</v>
      </c>
      <c r="B11" s="216" t="s">
        <v>0</v>
      </c>
      <c r="C11" s="216" t="s">
        <v>60</v>
      </c>
      <c r="D11" s="217">
        <v>2.0789473684444402</v>
      </c>
      <c r="E11" s="218"/>
      <c r="F11" s="219">
        <v>5.1999999999999998E-2</v>
      </c>
      <c r="G11" s="219">
        <v>3.4000000000000002E-2</v>
      </c>
      <c r="H11" s="220"/>
      <c r="I11" s="221">
        <v>6</v>
      </c>
      <c r="J11" s="221">
        <v>5</v>
      </c>
      <c r="K11" s="218"/>
      <c r="L11" s="222">
        <v>339.20531999999997</v>
      </c>
      <c r="M11" s="222">
        <v>251.37142</v>
      </c>
      <c r="N11" s="222">
        <v>590.57673999999997</v>
      </c>
      <c r="O11" s="217">
        <v>284.07488759173998</v>
      </c>
      <c r="P11" s="223">
        <v>214.66499999999999</v>
      </c>
      <c r="Q11" s="229">
        <v>1.3233404960833901</v>
      </c>
      <c r="R11" s="230">
        <v>103.241997362939</v>
      </c>
      <c r="S11" s="219">
        <v>0.01</v>
      </c>
      <c r="T11" s="219">
        <v>0.01</v>
      </c>
      <c r="U11" s="226">
        <v>0</v>
      </c>
      <c r="V11" s="227">
        <v>0</v>
      </c>
      <c r="W11" s="218"/>
      <c r="X11" s="226">
        <v>1241.1084499999999</v>
      </c>
      <c r="Y11" s="217">
        <v>596.98887467682698</v>
      </c>
      <c r="Z11" s="228">
        <v>573</v>
      </c>
      <c r="AA11" s="233">
        <v>1.0418654008321599</v>
      </c>
      <c r="AB11" s="234">
        <v>-59.722181593581098</v>
      </c>
      <c r="AC11" s="219">
        <v>1.4E-2</v>
      </c>
      <c r="AD11" s="219">
        <v>4.0000000000000001E-3</v>
      </c>
      <c r="AE11" s="227">
        <v>0</v>
      </c>
      <c r="AF11" s="227">
        <v>189</v>
      </c>
      <c r="AG11" s="218"/>
      <c r="AH11" s="231">
        <v>128.5</v>
      </c>
      <c r="AI11" s="217">
        <v>61.810126581582999</v>
      </c>
      <c r="AJ11" s="232" t="s">
        <v>53</v>
      </c>
      <c r="AK11" s="233">
        <v>0.98111312034258702</v>
      </c>
      <c r="AL11" s="234">
        <v>-14.523263159503699</v>
      </c>
      <c r="AM11" s="219">
        <v>8.0000000000000002E-3</v>
      </c>
      <c r="AN11" s="219"/>
      <c r="AO11" s="227">
        <v>3</v>
      </c>
      <c r="AP11" s="227">
        <v>29</v>
      </c>
      <c r="AQ11" s="218"/>
      <c r="AR11" s="231">
        <v>24.4</v>
      </c>
      <c r="AS11" s="217">
        <v>11.736708860627401</v>
      </c>
      <c r="AT11" s="232" t="s">
        <v>54</v>
      </c>
      <c r="AU11" s="239">
        <v>0.73354430378921398</v>
      </c>
      <c r="AV11" s="222">
        <v>-11.9233684214613</v>
      </c>
      <c r="AW11" s="219"/>
      <c r="AX11" s="219"/>
      <c r="AY11" s="227">
        <v>9</v>
      </c>
      <c r="AZ11" s="227">
        <v>16</v>
      </c>
      <c r="BA11" s="218"/>
      <c r="BB11" s="235">
        <v>81.8</v>
      </c>
      <c r="BC11" s="231">
        <v>39.3468354425952</v>
      </c>
      <c r="BD11" s="232" t="s">
        <v>55</v>
      </c>
      <c r="BE11" s="229">
        <v>1.2295886075811</v>
      </c>
      <c r="BF11" s="230">
        <v>9.1532631570774896</v>
      </c>
      <c r="BG11" s="219">
        <v>0.02</v>
      </c>
      <c r="BH11" s="219">
        <v>0.02</v>
      </c>
      <c r="BI11" s="227">
        <v>0</v>
      </c>
      <c r="BJ11" s="227">
        <v>0</v>
      </c>
      <c r="BK11" s="220"/>
      <c r="BL11" s="236">
        <v>0.8</v>
      </c>
      <c r="BM11" s="233">
        <v>0.85</v>
      </c>
      <c r="BN11" s="237">
        <v>1.8749999999999999E-3</v>
      </c>
      <c r="BO11" s="238">
        <v>0.95</v>
      </c>
      <c r="BP11" s="229">
        <v>1</v>
      </c>
      <c r="BQ11" s="237">
        <v>2.5000000000000001E-3</v>
      </c>
    </row>
    <row r="12" spans="1:69" s="207" customFormat="1" ht="22.35" customHeight="1" x14ac:dyDescent="0.2">
      <c r="A12" s="216" t="s">
        <v>4</v>
      </c>
      <c r="B12" s="216" t="s">
        <v>0</v>
      </c>
      <c r="C12" s="216" t="s">
        <v>61</v>
      </c>
      <c r="D12" s="217">
        <v>5.4163613696666699</v>
      </c>
      <c r="E12" s="218"/>
      <c r="F12" s="219">
        <v>4.2999999999999997E-2</v>
      </c>
      <c r="G12" s="219">
        <v>0.03</v>
      </c>
      <c r="H12" s="220"/>
      <c r="I12" s="221">
        <v>4</v>
      </c>
      <c r="J12" s="221">
        <v>4</v>
      </c>
      <c r="K12" s="218"/>
      <c r="L12" s="222">
        <v>1780.8915999999999</v>
      </c>
      <c r="M12" s="222">
        <v>2077.2503499999998</v>
      </c>
      <c r="N12" s="222">
        <v>3858.1419500000002</v>
      </c>
      <c r="O12" s="217">
        <v>712.31250773015495</v>
      </c>
      <c r="P12" s="223">
        <v>216.447</v>
      </c>
      <c r="Q12" s="229">
        <v>3.2909326889730699</v>
      </c>
      <c r="R12" s="230">
        <v>2577.9301050367799</v>
      </c>
      <c r="S12" s="219">
        <v>0.01</v>
      </c>
      <c r="T12" s="219">
        <v>0.01</v>
      </c>
      <c r="U12" s="226">
        <v>0</v>
      </c>
      <c r="V12" s="227">
        <v>0</v>
      </c>
      <c r="W12" s="218"/>
      <c r="X12" s="226">
        <v>3204.6095999999998</v>
      </c>
      <c r="Y12" s="217">
        <v>591.653580934763</v>
      </c>
      <c r="Z12" s="228">
        <v>573</v>
      </c>
      <c r="AA12" s="233">
        <v>1.0325542424690399</v>
      </c>
      <c r="AB12" s="234">
        <v>-184.49437078234899</v>
      </c>
      <c r="AC12" s="219">
        <v>1.2999999999999999E-2</v>
      </c>
      <c r="AD12" s="219">
        <v>3.0000000000000001E-3</v>
      </c>
      <c r="AE12" s="227">
        <v>0</v>
      </c>
      <c r="AF12" s="227">
        <v>520</v>
      </c>
      <c r="AG12" s="218"/>
      <c r="AH12" s="231">
        <v>307.39999999999998</v>
      </c>
      <c r="AI12" s="217">
        <v>56.7539680276019</v>
      </c>
      <c r="AJ12" s="232" t="s">
        <v>53</v>
      </c>
      <c r="AK12" s="239">
        <v>0.90085663535876004</v>
      </c>
      <c r="AL12" s="222">
        <v>-65.223996787588206</v>
      </c>
      <c r="AM12" s="219"/>
      <c r="AN12" s="219"/>
      <c r="AO12" s="227">
        <v>34</v>
      </c>
      <c r="AP12" s="227">
        <v>103</v>
      </c>
      <c r="AQ12" s="218"/>
      <c r="AR12" s="231">
        <v>46.2</v>
      </c>
      <c r="AS12" s="217">
        <v>8.5297115252934503</v>
      </c>
      <c r="AT12" s="232" t="s">
        <v>54</v>
      </c>
      <c r="AU12" s="224">
        <v>0.53310697033084098</v>
      </c>
      <c r="AV12" s="225">
        <v>-48.434665850816003</v>
      </c>
      <c r="AW12" s="219"/>
      <c r="AX12" s="219"/>
      <c r="AY12" s="227">
        <v>41</v>
      </c>
      <c r="AZ12" s="227">
        <v>58</v>
      </c>
      <c r="BA12" s="218"/>
      <c r="BB12" s="235">
        <v>202.2</v>
      </c>
      <c r="BC12" s="231">
        <v>37.3313348574532</v>
      </c>
      <c r="BD12" s="232" t="s">
        <v>55</v>
      </c>
      <c r="BE12" s="229">
        <v>1.1666042142954101</v>
      </c>
      <c r="BF12" s="230">
        <v>12.9306682983679</v>
      </c>
      <c r="BG12" s="219">
        <v>0.02</v>
      </c>
      <c r="BH12" s="219">
        <v>1.7000000000000001E-2</v>
      </c>
      <c r="BI12" s="227">
        <v>0</v>
      </c>
      <c r="BJ12" s="227">
        <v>6</v>
      </c>
      <c r="BK12" s="220"/>
      <c r="BL12" s="236">
        <v>0.8</v>
      </c>
      <c r="BM12" s="239">
        <v>0.78</v>
      </c>
      <c r="BN12" s="237"/>
      <c r="BO12" s="238">
        <v>0.95</v>
      </c>
      <c r="BP12" s="229">
        <v>1</v>
      </c>
      <c r="BQ12" s="237">
        <v>2.5000000000000001E-3</v>
      </c>
    </row>
    <row r="13" spans="1:69" s="207" customFormat="1" ht="22.35" customHeight="1" x14ac:dyDescent="0.2">
      <c r="A13" s="216" t="s">
        <v>4</v>
      </c>
      <c r="B13" s="216" t="s">
        <v>0</v>
      </c>
      <c r="C13" s="216" t="s">
        <v>62</v>
      </c>
      <c r="D13" s="217">
        <v>2.5347178251111102</v>
      </c>
      <c r="E13" s="218"/>
      <c r="F13" s="219">
        <v>6.8500000000000005E-2</v>
      </c>
      <c r="G13" s="219">
        <v>5.8000000000000003E-2</v>
      </c>
      <c r="H13" s="220"/>
      <c r="I13" s="221">
        <v>7</v>
      </c>
      <c r="J13" s="221">
        <v>6</v>
      </c>
      <c r="K13" s="218"/>
      <c r="L13" s="222">
        <v>2032.6742999999999</v>
      </c>
      <c r="M13" s="222">
        <v>1573.63273</v>
      </c>
      <c r="N13" s="222">
        <v>3606.3070299999999</v>
      </c>
      <c r="O13" s="217">
        <v>1422.7646936762701</v>
      </c>
      <c r="P13" s="223">
        <v>223.197</v>
      </c>
      <c r="Q13" s="229">
        <v>6.3744794673596399</v>
      </c>
      <c r="R13" s="230">
        <v>2988.5174054628301</v>
      </c>
      <c r="S13" s="219">
        <v>0.01</v>
      </c>
      <c r="T13" s="219">
        <v>0.01</v>
      </c>
      <c r="U13" s="226">
        <v>0</v>
      </c>
      <c r="V13" s="227">
        <v>0</v>
      </c>
      <c r="W13" s="218"/>
      <c r="X13" s="226">
        <v>2263.8560600000001</v>
      </c>
      <c r="Y13" s="217">
        <v>893.13928263425601</v>
      </c>
      <c r="Z13" s="228">
        <v>573</v>
      </c>
      <c r="AA13" s="229">
        <v>1.5587072995362199</v>
      </c>
      <c r="AB13" s="230">
        <v>677.842561342777</v>
      </c>
      <c r="AC13" s="219">
        <v>0.02</v>
      </c>
      <c r="AD13" s="219">
        <v>0.02</v>
      </c>
      <c r="AE13" s="227">
        <v>0</v>
      </c>
      <c r="AF13" s="227">
        <v>0</v>
      </c>
      <c r="AG13" s="218"/>
      <c r="AH13" s="231">
        <v>171.85</v>
      </c>
      <c r="AI13" s="217">
        <v>67.798473777832399</v>
      </c>
      <c r="AJ13" s="232" t="s">
        <v>53</v>
      </c>
      <c r="AK13" s="233">
        <v>1.0761662504417799</v>
      </c>
      <c r="AL13" s="234">
        <v>-2.5284474963439401</v>
      </c>
      <c r="AM13" s="219">
        <v>1.7999999999999999E-2</v>
      </c>
      <c r="AN13" s="219">
        <v>8.0000000000000002E-3</v>
      </c>
      <c r="AO13" s="227">
        <v>0</v>
      </c>
      <c r="AP13" s="227">
        <v>20</v>
      </c>
      <c r="AQ13" s="218"/>
      <c r="AR13" s="231">
        <v>37.4</v>
      </c>
      <c r="AS13" s="217">
        <v>14.7550940895603</v>
      </c>
      <c r="AT13" s="232" t="s">
        <v>54</v>
      </c>
      <c r="AU13" s="233">
        <v>0.92219338059751599</v>
      </c>
      <c r="AV13" s="234">
        <v>-6.8865898403413199</v>
      </c>
      <c r="AW13" s="219">
        <v>5.0000000000000001E-4</v>
      </c>
      <c r="AX13" s="219"/>
      <c r="AY13" s="227">
        <v>4</v>
      </c>
      <c r="AZ13" s="227">
        <v>12</v>
      </c>
      <c r="BA13" s="218"/>
      <c r="BB13" s="235">
        <v>146.80000000000001</v>
      </c>
      <c r="BC13" s="231">
        <v>57.915716907685699</v>
      </c>
      <c r="BD13" s="232" t="s">
        <v>55</v>
      </c>
      <c r="BE13" s="229">
        <v>1.8098661533651801</v>
      </c>
      <c r="BF13" s="230">
        <v>58.226820319317397</v>
      </c>
      <c r="BG13" s="219">
        <v>0.02</v>
      </c>
      <c r="BH13" s="219">
        <v>0.02</v>
      </c>
      <c r="BI13" s="227">
        <v>0</v>
      </c>
      <c r="BJ13" s="227">
        <v>0</v>
      </c>
      <c r="BK13" s="220"/>
      <c r="BL13" s="236">
        <v>0.8</v>
      </c>
      <c r="BM13" s="233">
        <v>0.82</v>
      </c>
      <c r="BN13" s="237">
        <v>7.5000000000000002E-4</v>
      </c>
      <c r="BO13" s="238">
        <v>0.95</v>
      </c>
      <c r="BP13" s="229">
        <v>1</v>
      </c>
      <c r="BQ13" s="237">
        <v>2.5000000000000001E-3</v>
      </c>
    </row>
    <row r="14" spans="1:69" s="207" customFormat="1" ht="22.35" customHeight="1" x14ac:dyDescent="0.2">
      <c r="A14" s="216" t="s">
        <v>4</v>
      </c>
      <c r="B14" s="216" t="s">
        <v>0</v>
      </c>
      <c r="C14" s="216" t="s">
        <v>63</v>
      </c>
      <c r="D14" s="217">
        <v>2.8184251681111099</v>
      </c>
      <c r="E14" s="218"/>
      <c r="F14" s="219">
        <v>0.02</v>
      </c>
      <c r="G14" s="219">
        <v>0.02</v>
      </c>
      <c r="H14" s="220"/>
      <c r="I14" s="221">
        <v>2</v>
      </c>
      <c r="J14" s="221">
        <v>2</v>
      </c>
      <c r="K14" s="218"/>
      <c r="L14" s="222">
        <v>1403.91356</v>
      </c>
      <c r="M14" s="222">
        <v>-1124.53325</v>
      </c>
      <c r="N14" s="222">
        <v>279.38031000000001</v>
      </c>
      <c r="O14" s="217">
        <v>99.126389148461499</v>
      </c>
      <c r="P14" s="223">
        <v>212.5</v>
      </c>
      <c r="Q14" s="224">
        <v>0.46647712540452502</v>
      </c>
      <c r="R14" s="225">
        <v>-374.635250260183</v>
      </c>
      <c r="S14" s="219"/>
      <c r="T14" s="219"/>
      <c r="U14" s="226">
        <v>320</v>
      </c>
      <c r="V14" s="227">
        <v>440</v>
      </c>
      <c r="W14" s="218"/>
      <c r="X14" s="226">
        <v>2082.6028849999998</v>
      </c>
      <c r="Y14" s="217">
        <v>738.92431438786298</v>
      </c>
      <c r="Z14" s="228">
        <v>573</v>
      </c>
      <c r="AA14" s="229">
        <v>1.28957122929819</v>
      </c>
      <c r="AB14" s="230">
        <v>319.06916251018902</v>
      </c>
      <c r="AC14" s="219">
        <v>0.02</v>
      </c>
      <c r="AD14" s="219">
        <v>0.02</v>
      </c>
      <c r="AE14" s="227">
        <v>0</v>
      </c>
      <c r="AF14" s="227">
        <v>0</v>
      </c>
      <c r="AG14" s="218"/>
      <c r="AH14" s="231">
        <v>147.19999999999999</v>
      </c>
      <c r="AI14" s="217">
        <v>52.227748199769501</v>
      </c>
      <c r="AJ14" s="232" t="s">
        <v>53</v>
      </c>
      <c r="AK14" s="239">
        <v>0.82901187618681704</v>
      </c>
      <c r="AL14" s="222">
        <v>-46.6963778653719</v>
      </c>
      <c r="AM14" s="219"/>
      <c r="AN14" s="219"/>
      <c r="AO14" s="227">
        <v>31</v>
      </c>
      <c r="AP14" s="227">
        <v>66</v>
      </c>
      <c r="AQ14" s="218"/>
      <c r="AR14" s="231">
        <v>15.3</v>
      </c>
      <c r="AS14" s="217">
        <v>5.4285635017423397</v>
      </c>
      <c r="AT14" s="232" t="s">
        <v>54</v>
      </c>
      <c r="AU14" s="224">
        <v>0.33928521885889601</v>
      </c>
      <c r="AV14" s="225">
        <v>-33.943524537237302</v>
      </c>
      <c r="AW14" s="219"/>
      <c r="AX14" s="219"/>
      <c r="AY14" s="227">
        <v>30</v>
      </c>
      <c r="AZ14" s="227">
        <v>39</v>
      </c>
      <c r="BA14" s="218"/>
      <c r="BB14" s="235">
        <v>64.400000000000006</v>
      </c>
      <c r="BC14" s="231">
        <v>22.849639837399099</v>
      </c>
      <c r="BD14" s="232" t="s">
        <v>55</v>
      </c>
      <c r="BE14" s="224">
        <v>0.71405124491872296</v>
      </c>
      <c r="BF14" s="225">
        <v>-34.087049074474599</v>
      </c>
      <c r="BG14" s="219"/>
      <c r="BH14" s="219"/>
      <c r="BI14" s="227">
        <v>26</v>
      </c>
      <c r="BJ14" s="227">
        <v>44</v>
      </c>
      <c r="BK14" s="220"/>
      <c r="BL14" s="236">
        <v>0.8</v>
      </c>
      <c r="BM14" s="239">
        <v>0.79</v>
      </c>
      <c r="BN14" s="237"/>
      <c r="BO14" s="238">
        <v>0.95</v>
      </c>
      <c r="BP14" s="229">
        <v>1</v>
      </c>
      <c r="BQ14" s="237">
        <v>2.5000000000000001E-3</v>
      </c>
    </row>
    <row r="15" spans="1:69" s="207" customFormat="1" ht="22.35" customHeight="1" x14ac:dyDescent="0.2">
      <c r="A15" s="216" t="s">
        <v>4</v>
      </c>
      <c r="B15" s="216" t="s">
        <v>64</v>
      </c>
      <c r="C15" s="216" t="s">
        <v>65</v>
      </c>
      <c r="D15" s="217">
        <v>3.6851069297777799</v>
      </c>
      <c r="E15" s="218"/>
      <c r="F15" s="219">
        <v>1.4E-2</v>
      </c>
      <c r="G15" s="219">
        <v>0.01</v>
      </c>
      <c r="H15" s="220"/>
      <c r="I15" s="221">
        <v>4</v>
      </c>
      <c r="J15" s="221">
        <v>3</v>
      </c>
      <c r="K15" s="218"/>
      <c r="L15" s="222">
        <v>2777.9721500000001</v>
      </c>
      <c r="M15" s="222">
        <v>-1631.2815499999999</v>
      </c>
      <c r="N15" s="222">
        <v>1146.6905999999999</v>
      </c>
      <c r="O15" s="217">
        <v>311.16888108024301</v>
      </c>
      <c r="P15" s="223">
        <v>231.52600000000001</v>
      </c>
      <c r="Q15" s="229">
        <v>1.3439910899002401</v>
      </c>
      <c r="R15" s="230">
        <v>214.99831081008699</v>
      </c>
      <c r="S15" s="219">
        <v>0.01</v>
      </c>
      <c r="T15" s="219">
        <v>0.01</v>
      </c>
      <c r="U15" s="226">
        <v>0</v>
      </c>
      <c r="V15" s="227">
        <v>0</v>
      </c>
      <c r="W15" s="218"/>
      <c r="X15" s="226">
        <v>1991.613245</v>
      </c>
      <c r="Y15" s="217">
        <v>540.44924148784503</v>
      </c>
      <c r="Z15" s="228">
        <v>573</v>
      </c>
      <c r="AA15" s="233">
        <v>0.94319239352154405</v>
      </c>
      <c r="AB15" s="234">
        <v>-314.217122672833</v>
      </c>
      <c r="AC15" s="219">
        <v>4.0000000000000001E-3</v>
      </c>
      <c r="AD15" s="219"/>
      <c r="AE15" s="227">
        <v>120</v>
      </c>
      <c r="AF15" s="227">
        <v>543</v>
      </c>
      <c r="AG15" s="218"/>
      <c r="AH15" s="231">
        <v>172.5</v>
      </c>
      <c r="AI15" s="217">
        <v>46.810039243665102</v>
      </c>
      <c r="AJ15" s="232" t="s">
        <v>53</v>
      </c>
      <c r="AK15" s="239">
        <v>0.74301649593119201</v>
      </c>
      <c r="AL15" s="222">
        <v>-81.020616340992206</v>
      </c>
      <c r="AM15" s="219"/>
      <c r="AN15" s="219"/>
      <c r="AO15" s="227">
        <v>60</v>
      </c>
      <c r="AP15" s="227">
        <v>107</v>
      </c>
      <c r="AQ15" s="218"/>
      <c r="AR15" s="231">
        <v>16.600000000000001</v>
      </c>
      <c r="AS15" s="217">
        <v>4.5046182692454497</v>
      </c>
      <c r="AT15" s="232" t="s">
        <v>54</v>
      </c>
      <c r="AU15" s="224">
        <v>0.281538641827841</v>
      </c>
      <c r="AV15" s="225">
        <v>-47.7861882770774</v>
      </c>
      <c r="AW15" s="219"/>
      <c r="AX15" s="219"/>
      <c r="AY15" s="227">
        <v>43</v>
      </c>
      <c r="AZ15" s="227">
        <v>55</v>
      </c>
      <c r="BA15" s="218"/>
      <c r="BB15" s="235">
        <v>97.4</v>
      </c>
      <c r="BC15" s="231">
        <v>26.430712013524499</v>
      </c>
      <c r="BD15" s="232" t="s">
        <v>55</v>
      </c>
      <c r="BE15" s="239">
        <v>0.82595975042264103</v>
      </c>
      <c r="BF15" s="222">
        <v>-31.372376554154801</v>
      </c>
      <c r="BG15" s="219"/>
      <c r="BH15" s="219"/>
      <c r="BI15" s="227">
        <v>21</v>
      </c>
      <c r="BJ15" s="227">
        <v>45</v>
      </c>
      <c r="BK15" s="220"/>
      <c r="BL15" s="236">
        <v>0.8</v>
      </c>
      <c r="BM15" s="233">
        <v>0.81</v>
      </c>
      <c r="BN15" s="237">
        <v>3.7500000000000001E-4</v>
      </c>
      <c r="BO15" s="238">
        <v>0.95</v>
      </c>
      <c r="BP15" s="229">
        <v>1</v>
      </c>
      <c r="BQ15" s="237">
        <v>2.5000000000000001E-3</v>
      </c>
    </row>
    <row r="16" spans="1:69" s="207" customFormat="1" ht="22.35" customHeight="1" x14ac:dyDescent="0.2">
      <c r="A16" s="216" t="s">
        <v>4</v>
      </c>
      <c r="B16" s="216" t="s">
        <v>64</v>
      </c>
      <c r="C16" s="216" t="s">
        <v>66</v>
      </c>
      <c r="D16" s="217">
        <v>2.98808404311111</v>
      </c>
      <c r="E16" s="218"/>
      <c r="F16" s="219">
        <v>0.05</v>
      </c>
      <c r="G16" s="219">
        <v>4.1000000000000002E-2</v>
      </c>
      <c r="H16" s="220"/>
      <c r="I16" s="221">
        <v>5</v>
      </c>
      <c r="J16" s="221">
        <v>5</v>
      </c>
      <c r="K16" s="218"/>
      <c r="L16" s="222">
        <v>1685.7741699999999</v>
      </c>
      <c r="M16" s="222">
        <v>347.00355000000002</v>
      </c>
      <c r="N16" s="222">
        <v>2032.77772</v>
      </c>
      <c r="O16" s="217">
        <v>680.29469408214095</v>
      </c>
      <c r="P16" s="223">
        <v>233.14400000000001</v>
      </c>
      <c r="Q16" s="229">
        <v>2.91791636963482</v>
      </c>
      <c r="R16" s="230">
        <v>1272.03169816737</v>
      </c>
      <c r="S16" s="219">
        <v>0.01</v>
      </c>
      <c r="T16" s="219">
        <v>0.01</v>
      </c>
      <c r="U16" s="226">
        <v>0</v>
      </c>
      <c r="V16" s="227">
        <v>0</v>
      </c>
      <c r="W16" s="218"/>
      <c r="X16" s="226">
        <v>2154.3145450000002</v>
      </c>
      <c r="Y16" s="217">
        <v>720.96852495386497</v>
      </c>
      <c r="Z16" s="228">
        <v>573</v>
      </c>
      <c r="AA16" s="229">
        <v>1.25823477304339</v>
      </c>
      <c r="AB16" s="230">
        <v>284.62254988068901</v>
      </c>
      <c r="AC16" s="219">
        <v>0.02</v>
      </c>
      <c r="AD16" s="219">
        <v>0.02</v>
      </c>
      <c r="AE16" s="227">
        <v>0</v>
      </c>
      <c r="AF16" s="227">
        <v>0</v>
      </c>
      <c r="AG16" s="218"/>
      <c r="AH16" s="231">
        <v>171.3</v>
      </c>
      <c r="AI16" s="217">
        <v>57.3277048197236</v>
      </c>
      <c r="AJ16" s="232" t="s">
        <v>53</v>
      </c>
      <c r="AK16" s="239">
        <v>0.90996356856704097</v>
      </c>
      <c r="AL16" s="222">
        <v>-34.268229829871899</v>
      </c>
      <c r="AM16" s="219">
        <v>0</v>
      </c>
      <c r="AN16" s="219"/>
      <c r="AO16" s="227">
        <v>17</v>
      </c>
      <c r="AP16" s="227">
        <v>55</v>
      </c>
      <c r="AQ16" s="218"/>
      <c r="AR16" s="231">
        <v>19.8</v>
      </c>
      <c r="AS16" s="217">
        <v>6.6263196464128802</v>
      </c>
      <c r="AT16" s="232" t="s">
        <v>54</v>
      </c>
      <c r="AU16" s="224">
        <v>0.41414497790080501</v>
      </c>
      <c r="AV16" s="225">
        <v>-32.4078044012373</v>
      </c>
      <c r="AW16" s="219"/>
      <c r="AX16" s="219"/>
      <c r="AY16" s="227">
        <v>29</v>
      </c>
      <c r="AZ16" s="227">
        <v>38</v>
      </c>
      <c r="BA16" s="218"/>
      <c r="BB16" s="235">
        <v>105.8</v>
      </c>
      <c r="BC16" s="231">
        <v>35.407303969216301</v>
      </c>
      <c r="BD16" s="232" t="s">
        <v>55</v>
      </c>
      <c r="BE16" s="229">
        <v>1.1064782490380101</v>
      </c>
      <c r="BF16" s="230">
        <v>1.38439119752537</v>
      </c>
      <c r="BG16" s="219">
        <v>0.02</v>
      </c>
      <c r="BH16" s="219">
        <v>1.0999999999999999E-2</v>
      </c>
      <c r="BI16" s="227">
        <v>0</v>
      </c>
      <c r="BJ16" s="227">
        <v>9</v>
      </c>
      <c r="BK16" s="220"/>
      <c r="BL16" s="236">
        <v>0.8</v>
      </c>
      <c r="BM16" s="233">
        <v>0.81</v>
      </c>
      <c r="BN16" s="237">
        <v>3.7500000000000001E-4</v>
      </c>
      <c r="BO16" s="238">
        <v>0.95</v>
      </c>
      <c r="BP16" s="229">
        <v>1</v>
      </c>
      <c r="BQ16" s="237">
        <v>2.5000000000000001E-3</v>
      </c>
    </row>
    <row r="17" spans="1:69" s="207" customFormat="1" ht="22.35" customHeight="1" x14ac:dyDescent="0.2">
      <c r="A17" s="216" t="s">
        <v>4</v>
      </c>
      <c r="B17" s="216" t="s">
        <v>64</v>
      </c>
      <c r="C17" s="216" t="s">
        <v>67</v>
      </c>
      <c r="D17" s="217">
        <v>3.7318809292222199</v>
      </c>
      <c r="E17" s="218"/>
      <c r="F17" s="219">
        <v>0.05</v>
      </c>
      <c r="G17" s="219">
        <v>0.04</v>
      </c>
      <c r="H17" s="220"/>
      <c r="I17" s="221">
        <v>4</v>
      </c>
      <c r="J17" s="221">
        <v>4</v>
      </c>
      <c r="K17" s="218"/>
      <c r="L17" s="222">
        <v>1147.09989</v>
      </c>
      <c r="M17" s="222">
        <v>1168.21695</v>
      </c>
      <c r="N17" s="222">
        <v>2315.31684</v>
      </c>
      <c r="O17" s="217">
        <v>620.41551804884205</v>
      </c>
      <c r="P17" s="223">
        <v>246.29499999999999</v>
      </c>
      <c r="Q17" s="229">
        <v>2.51899355670575</v>
      </c>
      <c r="R17" s="230">
        <v>1311.61201409864</v>
      </c>
      <c r="S17" s="219">
        <v>0.01</v>
      </c>
      <c r="T17" s="219">
        <v>0.01</v>
      </c>
      <c r="U17" s="226">
        <v>0</v>
      </c>
      <c r="V17" s="227">
        <v>0</v>
      </c>
      <c r="W17" s="218"/>
      <c r="X17" s="226">
        <v>2740.45471</v>
      </c>
      <c r="Y17" s="217">
        <v>734.33605250935796</v>
      </c>
      <c r="Z17" s="228">
        <v>573</v>
      </c>
      <c r="AA17" s="229">
        <v>1.2815637914648501</v>
      </c>
      <c r="AB17" s="230">
        <v>405.35710249078898</v>
      </c>
      <c r="AC17" s="219">
        <v>0.02</v>
      </c>
      <c r="AD17" s="219">
        <v>0.02</v>
      </c>
      <c r="AE17" s="227">
        <v>0</v>
      </c>
      <c r="AF17" s="227">
        <v>0</v>
      </c>
      <c r="AG17" s="218"/>
      <c r="AH17" s="231">
        <v>147.1</v>
      </c>
      <c r="AI17" s="217">
        <v>39.417120425291202</v>
      </c>
      <c r="AJ17" s="232" t="s">
        <v>53</v>
      </c>
      <c r="AK17" s="224">
        <v>0.62566857817922505</v>
      </c>
      <c r="AL17" s="225">
        <v>-109.638480406772</v>
      </c>
      <c r="AM17" s="219"/>
      <c r="AN17" s="219"/>
      <c r="AO17" s="227">
        <v>89</v>
      </c>
      <c r="AP17" s="227">
        <v>136</v>
      </c>
      <c r="AQ17" s="218"/>
      <c r="AR17" s="231">
        <v>18.100000000000001</v>
      </c>
      <c r="AS17" s="217">
        <v>4.8501011536218304</v>
      </c>
      <c r="AT17" s="232" t="s">
        <v>54</v>
      </c>
      <c r="AU17" s="224">
        <v>0.30313132210136401</v>
      </c>
      <c r="AV17" s="225">
        <v>-47.1034235953706</v>
      </c>
      <c r="AW17" s="219"/>
      <c r="AX17" s="219"/>
      <c r="AY17" s="227">
        <v>42</v>
      </c>
      <c r="AZ17" s="227">
        <v>54</v>
      </c>
      <c r="BA17" s="218"/>
      <c r="BB17" s="235">
        <v>131.19999999999999</v>
      </c>
      <c r="BC17" s="231">
        <v>35.156534329015699</v>
      </c>
      <c r="BD17" s="232" t="s">
        <v>55</v>
      </c>
      <c r="BE17" s="229">
        <v>1.0986416977817399</v>
      </c>
      <c r="BF17" s="230">
        <v>0.79315280925871401</v>
      </c>
      <c r="BG17" s="219">
        <v>0.02</v>
      </c>
      <c r="BH17" s="219">
        <v>0.01</v>
      </c>
      <c r="BI17" s="227">
        <v>0</v>
      </c>
      <c r="BJ17" s="227">
        <v>13</v>
      </c>
      <c r="BK17" s="220"/>
      <c r="BL17" s="236">
        <v>0.8</v>
      </c>
      <c r="BM17" s="239">
        <v>0.77</v>
      </c>
      <c r="BN17" s="237"/>
      <c r="BO17" s="238">
        <v>0.95</v>
      </c>
      <c r="BP17" s="229">
        <v>1</v>
      </c>
      <c r="BQ17" s="237">
        <v>2.5000000000000001E-3</v>
      </c>
    </row>
    <row r="18" spans="1:69" s="207" customFormat="1" ht="22.35" customHeight="1" x14ac:dyDescent="0.2">
      <c r="A18" s="216" t="s">
        <v>4</v>
      </c>
      <c r="B18" s="216" t="s">
        <v>64</v>
      </c>
      <c r="C18" s="216" t="s">
        <v>68</v>
      </c>
      <c r="D18" s="217">
        <v>2.4135234434444399</v>
      </c>
      <c r="E18" s="218"/>
      <c r="F18" s="219">
        <v>0.06</v>
      </c>
      <c r="G18" s="219">
        <v>5.7000000000000002E-2</v>
      </c>
      <c r="H18" s="220"/>
      <c r="I18" s="221">
        <v>5</v>
      </c>
      <c r="J18" s="221">
        <v>5</v>
      </c>
      <c r="K18" s="218"/>
      <c r="L18" s="222">
        <v>265.68633999999997</v>
      </c>
      <c r="M18" s="222">
        <v>-858.96829000000002</v>
      </c>
      <c r="N18" s="222">
        <v>-593.28195000000005</v>
      </c>
      <c r="O18" s="217">
        <v>-245.815698045717</v>
      </c>
      <c r="P18" s="223">
        <v>233.14400000000001</v>
      </c>
      <c r="Q18" s="224">
        <v>-1.0543513796010899</v>
      </c>
      <c r="R18" s="225">
        <v>-1207.74872259066</v>
      </c>
      <c r="S18" s="219"/>
      <c r="T18" s="219"/>
      <c r="U18" s="226">
        <v>1156</v>
      </c>
      <c r="V18" s="227">
        <v>1269</v>
      </c>
      <c r="W18" s="218"/>
      <c r="X18" s="226">
        <v>1717.4284299999999</v>
      </c>
      <c r="Y18" s="217">
        <v>711.585559553954</v>
      </c>
      <c r="Z18" s="228">
        <v>573</v>
      </c>
      <c r="AA18" s="229">
        <v>1.24185961527741</v>
      </c>
      <c r="AB18" s="230">
        <v>207.248195061719</v>
      </c>
      <c r="AC18" s="219">
        <v>0.02</v>
      </c>
      <c r="AD18" s="219">
        <v>0.02</v>
      </c>
      <c r="AE18" s="227">
        <v>0</v>
      </c>
      <c r="AF18" s="227">
        <v>0</v>
      </c>
      <c r="AG18" s="218"/>
      <c r="AH18" s="231">
        <v>184.1</v>
      </c>
      <c r="AI18" s="217">
        <v>76.278521553228799</v>
      </c>
      <c r="AJ18" s="232" t="s">
        <v>53</v>
      </c>
      <c r="AK18" s="229">
        <v>1.2107701833845801</v>
      </c>
      <c r="AL18" s="230">
        <v>18.059241184796299</v>
      </c>
      <c r="AM18" s="219">
        <v>0.02</v>
      </c>
      <c r="AN18" s="219">
        <v>0.02</v>
      </c>
      <c r="AO18" s="227">
        <v>0</v>
      </c>
      <c r="AP18" s="227">
        <v>0</v>
      </c>
      <c r="AQ18" s="218"/>
      <c r="AR18" s="231">
        <v>17.3</v>
      </c>
      <c r="AS18" s="217">
        <v>7.1679436331931399</v>
      </c>
      <c r="AT18" s="232" t="s">
        <v>54</v>
      </c>
      <c r="AU18" s="224">
        <v>0.44799647707457102</v>
      </c>
      <c r="AV18" s="225">
        <v>-24.8690816038613</v>
      </c>
      <c r="AW18" s="219"/>
      <c r="AX18" s="219"/>
      <c r="AY18" s="227">
        <v>22</v>
      </c>
      <c r="AZ18" s="227">
        <v>30</v>
      </c>
      <c r="BA18" s="218"/>
      <c r="BB18" s="235">
        <v>90</v>
      </c>
      <c r="BC18" s="231">
        <v>37.289880172681102</v>
      </c>
      <c r="BD18" s="232" t="s">
        <v>55</v>
      </c>
      <c r="BE18" s="229">
        <v>1.16530875539628</v>
      </c>
      <c r="BF18" s="230">
        <v>5.6618367922774802</v>
      </c>
      <c r="BG18" s="219">
        <v>0.02</v>
      </c>
      <c r="BH18" s="219">
        <v>1.7000000000000001E-2</v>
      </c>
      <c r="BI18" s="227">
        <v>0</v>
      </c>
      <c r="BJ18" s="227">
        <v>3</v>
      </c>
      <c r="BK18" s="220"/>
      <c r="BL18" s="236">
        <v>0.8</v>
      </c>
      <c r="BM18" s="233">
        <v>0.86</v>
      </c>
      <c r="BN18" s="237">
        <v>2.2499999999999998E-3</v>
      </c>
      <c r="BO18" s="238">
        <v>0.95</v>
      </c>
      <c r="BP18" s="229">
        <v>1</v>
      </c>
      <c r="BQ18" s="237">
        <v>2.5000000000000001E-3</v>
      </c>
    </row>
    <row r="19" spans="1:69" s="207" customFormat="1" ht="22.35" customHeight="1" x14ac:dyDescent="0.2">
      <c r="A19" s="216" t="s">
        <v>4</v>
      </c>
      <c r="B19" s="216" t="s">
        <v>64</v>
      </c>
      <c r="C19" s="216" t="s">
        <v>69</v>
      </c>
      <c r="D19" s="217">
        <v>5.75203804544444</v>
      </c>
      <c r="E19" s="218"/>
      <c r="F19" s="219">
        <v>0.01</v>
      </c>
      <c r="G19" s="219">
        <v>0.01</v>
      </c>
      <c r="H19" s="220"/>
      <c r="I19" s="221">
        <v>2</v>
      </c>
      <c r="J19" s="221">
        <v>2</v>
      </c>
      <c r="K19" s="218"/>
      <c r="L19" s="222">
        <v>2369.9636700000001</v>
      </c>
      <c r="M19" s="222">
        <v>1868.5891999999999</v>
      </c>
      <c r="N19" s="222">
        <v>4238.5528700000004</v>
      </c>
      <c r="O19" s="217">
        <v>736.87844838872195</v>
      </c>
      <c r="P19" s="223">
        <v>212.5</v>
      </c>
      <c r="Q19" s="229">
        <v>3.46766328653516</v>
      </c>
      <c r="R19" s="230">
        <v>2903.7924415546199</v>
      </c>
      <c r="S19" s="219">
        <v>0.01</v>
      </c>
      <c r="T19" s="219">
        <v>0.01</v>
      </c>
      <c r="U19" s="226">
        <v>0</v>
      </c>
      <c r="V19" s="227">
        <v>0</v>
      </c>
      <c r="W19" s="218"/>
      <c r="X19" s="226">
        <v>2728.077655</v>
      </c>
      <c r="Y19" s="217">
        <v>474.28018268422397</v>
      </c>
      <c r="Z19" s="228">
        <v>573</v>
      </c>
      <c r="AA19" s="239">
        <v>0.82771410590615102</v>
      </c>
      <c r="AB19" s="222">
        <v>-871.064582643314</v>
      </c>
      <c r="AC19" s="219"/>
      <c r="AD19" s="219"/>
      <c r="AE19" s="227">
        <v>568</v>
      </c>
      <c r="AF19" s="227">
        <v>1228</v>
      </c>
      <c r="AG19" s="218"/>
      <c r="AH19" s="231">
        <v>285.89999999999998</v>
      </c>
      <c r="AI19" s="217">
        <v>49.704121867975097</v>
      </c>
      <c r="AJ19" s="232" t="s">
        <v>53</v>
      </c>
      <c r="AK19" s="239">
        <v>0.78895431536468397</v>
      </c>
      <c r="AL19" s="222">
        <v>-109.817209374396</v>
      </c>
      <c r="AM19" s="219"/>
      <c r="AN19" s="219"/>
      <c r="AO19" s="227">
        <v>77</v>
      </c>
      <c r="AP19" s="227">
        <v>149</v>
      </c>
      <c r="AQ19" s="218"/>
      <c r="AR19" s="231">
        <v>27.8</v>
      </c>
      <c r="AS19" s="217">
        <v>4.8330695625383298</v>
      </c>
      <c r="AT19" s="232" t="s">
        <v>54</v>
      </c>
      <c r="AU19" s="224">
        <v>0.302066847658646</v>
      </c>
      <c r="AV19" s="225">
        <v>-72.699608730005295</v>
      </c>
      <c r="AW19" s="219"/>
      <c r="AX19" s="219"/>
      <c r="AY19" s="227">
        <v>65</v>
      </c>
      <c r="AZ19" s="227">
        <v>83</v>
      </c>
      <c r="BA19" s="218"/>
      <c r="BB19" s="235">
        <v>147.4</v>
      </c>
      <c r="BC19" s="231">
        <v>25.625699766839901</v>
      </c>
      <c r="BD19" s="232" t="s">
        <v>55</v>
      </c>
      <c r="BE19" s="239">
        <v>0.80080311771374701</v>
      </c>
      <c r="BF19" s="222">
        <v>-53.5992174600105</v>
      </c>
      <c r="BG19" s="219"/>
      <c r="BH19" s="219"/>
      <c r="BI19" s="227">
        <v>37</v>
      </c>
      <c r="BJ19" s="227">
        <v>74</v>
      </c>
      <c r="BK19" s="220"/>
      <c r="BL19" s="236">
        <v>0.8</v>
      </c>
      <c r="BM19" s="239">
        <v>0.79</v>
      </c>
      <c r="BN19" s="237"/>
      <c r="BO19" s="238">
        <v>0.95</v>
      </c>
      <c r="BP19" s="229">
        <v>1</v>
      </c>
      <c r="BQ19" s="237">
        <v>2.5000000000000001E-3</v>
      </c>
    </row>
    <row r="20" spans="1:69" s="207" customFormat="1" ht="22.35" customHeight="1" x14ac:dyDescent="0.2">
      <c r="A20" s="216" t="s">
        <v>4</v>
      </c>
      <c r="B20" s="216" t="s">
        <v>64</v>
      </c>
      <c r="C20" s="216" t="s">
        <v>70</v>
      </c>
      <c r="D20" s="217">
        <v>3.7144129870000002</v>
      </c>
      <c r="E20" s="218"/>
      <c r="F20" s="219">
        <v>4.2999999999999997E-2</v>
      </c>
      <c r="G20" s="219">
        <v>3.2000000000000001E-2</v>
      </c>
      <c r="H20" s="220"/>
      <c r="I20" s="221">
        <v>4</v>
      </c>
      <c r="J20" s="221">
        <v>4</v>
      </c>
      <c r="K20" s="218"/>
      <c r="L20" s="222">
        <v>1504.4420299999999</v>
      </c>
      <c r="M20" s="222">
        <v>1231.4370899999999</v>
      </c>
      <c r="N20" s="222">
        <v>2735.8791200000001</v>
      </c>
      <c r="O20" s="217">
        <v>736.557601315537</v>
      </c>
      <c r="P20" s="223">
        <v>231.90199999999999</v>
      </c>
      <c r="Q20" s="229">
        <v>3.1761589003783399</v>
      </c>
      <c r="R20" s="230">
        <v>1795.2523778416901</v>
      </c>
      <c r="S20" s="219">
        <v>0.01</v>
      </c>
      <c r="T20" s="219">
        <v>0.01</v>
      </c>
      <c r="U20" s="226">
        <v>0</v>
      </c>
      <c r="V20" s="227">
        <v>0</v>
      </c>
      <c r="W20" s="218"/>
      <c r="X20" s="226">
        <v>2179.3162149999998</v>
      </c>
      <c r="Y20" s="217">
        <v>586.71887661047504</v>
      </c>
      <c r="Z20" s="228">
        <v>573</v>
      </c>
      <c r="AA20" s="233">
        <v>1.0239421930374799</v>
      </c>
      <c r="AB20" s="234">
        <v>-144.85142157369199</v>
      </c>
      <c r="AC20" s="219">
        <v>1.2999999999999999E-2</v>
      </c>
      <c r="AD20" s="219">
        <v>2E-3</v>
      </c>
      <c r="AE20" s="227">
        <v>0</v>
      </c>
      <c r="AF20" s="227">
        <v>375</v>
      </c>
      <c r="AG20" s="218"/>
      <c r="AH20" s="231">
        <v>130.19999999999999</v>
      </c>
      <c r="AI20" s="217">
        <v>35.052645049348101</v>
      </c>
      <c r="AJ20" s="232" t="s">
        <v>53</v>
      </c>
      <c r="AK20" s="224">
        <v>0.55639119125949399</v>
      </c>
      <c r="AL20" s="225">
        <v>-125.33675585365199</v>
      </c>
      <c r="AM20" s="219"/>
      <c r="AN20" s="219"/>
      <c r="AO20" s="227">
        <v>104</v>
      </c>
      <c r="AP20" s="227">
        <v>151</v>
      </c>
      <c r="AQ20" s="218"/>
      <c r="AR20" s="231">
        <v>52</v>
      </c>
      <c r="AS20" s="217">
        <v>13.999520296206599</v>
      </c>
      <c r="AT20" s="232" t="s">
        <v>54</v>
      </c>
      <c r="AU20" s="239">
        <v>0.87497001851291401</v>
      </c>
      <c r="AV20" s="222">
        <v>-12.898223708864</v>
      </c>
      <c r="AW20" s="219"/>
      <c r="AX20" s="219"/>
      <c r="AY20" s="227">
        <v>8</v>
      </c>
      <c r="AZ20" s="227">
        <v>20</v>
      </c>
      <c r="BA20" s="218"/>
      <c r="BB20" s="235">
        <v>154.19999999999999</v>
      </c>
      <c r="BC20" s="231">
        <v>41.513962109135797</v>
      </c>
      <c r="BD20" s="232" t="s">
        <v>55</v>
      </c>
      <c r="BE20" s="229">
        <v>1.2973113159104901</v>
      </c>
      <c r="BF20" s="230">
        <v>24.403552582271999</v>
      </c>
      <c r="BG20" s="219">
        <v>0.02</v>
      </c>
      <c r="BH20" s="219">
        <v>0.02</v>
      </c>
      <c r="BI20" s="227">
        <v>0</v>
      </c>
      <c r="BJ20" s="227">
        <v>0</v>
      </c>
      <c r="BK20" s="220"/>
      <c r="BL20" s="236">
        <v>0.8</v>
      </c>
      <c r="BM20" s="239">
        <v>0.8</v>
      </c>
      <c r="BN20" s="237">
        <v>0</v>
      </c>
      <c r="BO20" s="238">
        <v>0.95</v>
      </c>
      <c r="BP20" s="229">
        <v>1</v>
      </c>
      <c r="BQ20" s="237">
        <v>2.5000000000000001E-3</v>
      </c>
    </row>
    <row r="21" spans="1:69" s="207" customFormat="1" ht="22.35" customHeight="1" x14ac:dyDescent="0.2">
      <c r="A21" s="216" t="s">
        <v>4</v>
      </c>
      <c r="B21" s="216" t="s">
        <v>64</v>
      </c>
      <c r="C21" s="216" t="s">
        <v>71</v>
      </c>
      <c r="D21" s="217">
        <v>6.6311696409999996</v>
      </c>
      <c r="E21" s="218"/>
      <c r="F21" s="219">
        <v>4.2999999999999997E-2</v>
      </c>
      <c r="G21" s="219">
        <v>3.3000000000000002E-2</v>
      </c>
      <c r="H21" s="220"/>
      <c r="I21" s="221">
        <v>5</v>
      </c>
      <c r="J21" s="221">
        <v>5</v>
      </c>
      <c r="K21" s="218"/>
      <c r="L21" s="222">
        <v>3001.76541</v>
      </c>
      <c r="M21" s="222">
        <v>-861.30994999999996</v>
      </c>
      <c r="N21" s="222">
        <v>2140.4554600000001</v>
      </c>
      <c r="O21" s="217">
        <v>322.787015847963</v>
      </c>
      <c r="P21" s="223">
        <v>218.77099999999999</v>
      </c>
      <c r="Q21" s="229">
        <v>1.47545614294382</v>
      </c>
      <c r="R21" s="230">
        <v>556.28274602391798</v>
      </c>
      <c r="S21" s="219">
        <v>0.01</v>
      </c>
      <c r="T21" s="219">
        <v>0.01</v>
      </c>
      <c r="U21" s="226">
        <v>0</v>
      </c>
      <c r="V21" s="227">
        <v>0</v>
      </c>
      <c r="W21" s="218"/>
      <c r="X21" s="226">
        <v>3910.28287</v>
      </c>
      <c r="Y21" s="217">
        <v>589.68222526279999</v>
      </c>
      <c r="Z21" s="228">
        <v>573</v>
      </c>
      <c r="AA21" s="233">
        <v>1.0291138311741701</v>
      </c>
      <c r="AB21" s="234">
        <v>-238.946073087955</v>
      </c>
      <c r="AC21" s="219">
        <v>1.2999999999999999E-2</v>
      </c>
      <c r="AD21" s="219">
        <v>3.0000000000000001E-3</v>
      </c>
      <c r="AE21" s="227">
        <v>0</v>
      </c>
      <c r="AF21" s="227">
        <v>650</v>
      </c>
      <c r="AG21" s="218"/>
      <c r="AH21" s="231">
        <v>223.4</v>
      </c>
      <c r="AI21" s="217">
        <v>33.689380922897101</v>
      </c>
      <c r="AJ21" s="232" t="s">
        <v>53</v>
      </c>
      <c r="AK21" s="224">
        <v>0.53475207814122405</v>
      </c>
      <c r="AL21" s="225">
        <v>-232.797946622236</v>
      </c>
      <c r="AM21" s="219"/>
      <c r="AN21" s="219"/>
      <c r="AO21" s="227">
        <v>195</v>
      </c>
      <c r="AP21" s="227">
        <v>278</v>
      </c>
      <c r="AQ21" s="218"/>
      <c r="AR21" s="231">
        <v>42</v>
      </c>
      <c r="AS21" s="217">
        <v>6.3337242558714397</v>
      </c>
      <c r="AT21" s="232" t="s">
        <v>54</v>
      </c>
      <c r="AU21" s="224">
        <v>0.39585776599196498</v>
      </c>
      <c r="AV21" s="225">
        <v>-73.859795967552003</v>
      </c>
      <c r="AW21" s="219"/>
      <c r="AX21" s="219"/>
      <c r="AY21" s="227">
        <v>65</v>
      </c>
      <c r="AZ21" s="227">
        <v>86</v>
      </c>
      <c r="BA21" s="218"/>
      <c r="BB21" s="235">
        <v>256.8</v>
      </c>
      <c r="BC21" s="231">
        <v>38.726199735899598</v>
      </c>
      <c r="BD21" s="232" t="s">
        <v>55</v>
      </c>
      <c r="BE21" s="229">
        <v>1.21019374174686</v>
      </c>
      <c r="BF21" s="230">
        <v>25.080408064896002</v>
      </c>
      <c r="BG21" s="219">
        <v>0.02</v>
      </c>
      <c r="BH21" s="219">
        <v>0.02</v>
      </c>
      <c r="BI21" s="227">
        <v>0</v>
      </c>
      <c r="BJ21" s="227">
        <v>0</v>
      </c>
      <c r="BK21" s="220"/>
      <c r="BL21" s="236">
        <v>0.8</v>
      </c>
      <c r="BM21" s="233">
        <v>0.81</v>
      </c>
      <c r="BN21" s="237">
        <v>3.7500000000000001E-4</v>
      </c>
      <c r="BO21" s="238">
        <v>0.95</v>
      </c>
      <c r="BP21" s="229">
        <v>1</v>
      </c>
      <c r="BQ21" s="237">
        <v>2.5000000000000001E-3</v>
      </c>
    </row>
    <row r="22" spans="1:69" s="207" customFormat="1" ht="22.35" customHeight="1" x14ac:dyDescent="0.2">
      <c r="A22" s="216" t="s">
        <v>4</v>
      </c>
      <c r="B22" s="216" t="s">
        <v>64</v>
      </c>
      <c r="C22" s="216" t="s">
        <v>72</v>
      </c>
      <c r="D22" s="217">
        <v>4.3170066618888896</v>
      </c>
      <c r="E22" s="218"/>
      <c r="F22" s="219">
        <v>3.5000000000000003E-2</v>
      </c>
      <c r="G22" s="219">
        <v>2.1999999999999999E-2</v>
      </c>
      <c r="H22" s="220"/>
      <c r="I22" s="221">
        <v>5</v>
      </c>
      <c r="J22" s="221">
        <v>4</v>
      </c>
      <c r="K22" s="218"/>
      <c r="L22" s="222">
        <v>3333.9955100000002</v>
      </c>
      <c r="M22" s="222">
        <v>-781.57609000000002</v>
      </c>
      <c r="N22" s="222">
        <v>2552.4194200000002</v>
      </c>
      <c r="O22" s="217">
        <v>591.24750548408895</v>
      </c>
      <c r="P22" s="223">
        <v>242.99700000000001</v>
      </c>
      <c r="Q22" s="229">
        <v>2.4331473453750001</v>
      </c>
      <c r="R22" s="230">
        <v>1406.88994274164</v>
      </c>
      <c r="S22" s="219">
        <v>0.01</v>
      </c>
      <c r="T22" s="219">
        <v>0.01</v>
      </c>
      <c r="U22" s="226">
        <v>0</v>
      </c>
      <c r="V22" s="227">
        <v>0</v>
      </c>
      <c r="W22" s="218"/>
      <c r="X22" s="226">
        <v>2354.70352</v>
      </c>
      <c r="Y22" s="217">
        <v>545.44820159478502</v>
      </c>
      <c r="Z22" s="228">
        <v>573</v>
      </c>
      <c r="AA22" s="233">
        <v>0.95191658218985098</v>
      </c>
      <c r="AB22" s="234">
        <v>-346.51662045046902</v>
      </c>
      <c r="AC22" s="219">
        <v>5.0000000000000001E-3</v>
      </c>
      <c r="AD22" s="219"/>
      <c r="AE22" s="227">
        <v>119</v>
      </c>
      <c r="AF22" s="227">
        <v>614</v>
      </c>
      <c r="AG22" s="218"/>
      <c r="AH22" s="231">
        <v>132</v>
      </c>
      <c r="AI22" s="217">
        <v>30.576742251827799</v>
      </c>
      <c r="AJ22" s="232" t="s">
        <v>53</v>
      </c>
      <c r="AK22" s="224">
        <v>0.48534511510837702</v>
      </c>
      <c r="AL22" s="225">
        <v>-164.992790311308</v>
      </c>
      <c r="AM22" s="219"/>
      <c r="AN22" s="219"/>
      <c r="AO22" s="227">
        <v>140</v>
      </c>
      <c r="AP22" s="227">
        <v>195</v>
      </c>
      <c r="AQ22" s="218"/>
      <c r="AR22" s="231">
        <v>37.1</v>
      </c>
      <c r="AS22" s="217">
        <v>8.5939177086576599</v>
      </c>
      <c r="AT22" s="232" t="s">
        <v>54</v>
      </c>
      <c r="AU22" s="224">
        <v>0.53711985679110397</v>
      </c>
      <c r="AV22" s="225">
        <v>-38.326740396522702</v>
      </c>
      <c r="AW22" s="219"/>
      <c r="AX22" s="219"/>
      <c r="AY22" s="227">
        <v>32</v>
      </c>
      <c r="AZ22" s="227">
        <v>46</v>
      </c>
      <c r="BA22" s="218"/>
      <c r="BB22" s="235">
        <v>155.4</v>
      </c>
      <c r="BC22" s="231">
        <v>35.9971647419245</v>
      </c>
      <c r="BD22" s="232" t="s">
        <v>55</v>
      </c>
      <c r="BE22" s="229">
        <v>1.12491139818514</v>
      </c>
      <c r="BF22" s="230">
        <v>4.5465192069546303</v>
      </c>
      <c r="BG22" s="219">
        <v>0.02</v>
      </c>
      <c r="BH22" s="219">
        <v>1.2E-2</v>
      </c>
      <c r="BI22" s="227">
        <v>0</v>
      </c>
      <c r="BJ22" s="227">
        <v>11</v>
      </c>
      <c r="BK22" s="220"/>
      <c r="BL22" s="236">
        <v>0.8</v>
      </c>
      <c r="BM22" s="233">
        <v>0.81</v>
      </c>
      <c r="BN22" s="237">
        <v>3.7500000000000001E-4</v>
      </c>
      <c r="BO22" s="238">
        <v>0.95</v>
      </c>
      <c r="BP22" s="229">
        <v>1</v>
      </c>
      <c r="BQ22" s="237">
        <v>2.5000000000000001E-3</v>
      </c>
    </row>
    <row r="23" spans="1:69" s="207" customFormat="1" ht="22.35" customHeight="1" x14ac:dyDescent="0.2">
      <c r="A23" s="216" t="s">
        <v>4</v>
      </c>
      <c r="B23" s="216" t="s">
        <v>64</v>
      </c>
      <c r="C23" s="216" t="s">
        <v>73</v>
      </c>
      <c r="D23" s="217">
        <v>4.4760896213333297</v>
      </c>
      <c r="E23" s="218"/>
      <c r="F23" s="219">
        <v>0.01</v>
      </c>
      <c r="G23" s="219">
        <v>0.01</v>
      </c>
      <c r="H23" s="220"/>
      <c r="I23" s="221">
        <v>3</v>
      </c>
      <c r="J23" s="221">
        <v>3</v>
      </c>
      <c r="K23" s="218"/>
      <c r="L23" s="222">
        <v>4837.9179299999996</v>
      </c>
      <c r="M23" s="222">
        <v>2192.0443399999999</v>
      </c>
      <c r="N23" s="222">
        <v>7029.96227</v>
      </c>
      <c r="O23" s="217">
        <v>1570.5588727479301</v>
      </c>
      <c r="P23" s="223">
        <v>251.20400000000001</v>
      </c>
      <c r="Q23" s="229">
        <v>6.2521252557599798</v>
      </c>
      <c r="R23" s="230">
        <v>5802.1047839767398</v>
      </c>
      <c r="S23" s="219">
        <v>0.01</v>
      </c>
      <c r="T23" s="219">
        <v>0.01</v>
      </c>
      <c r="U23" s="226">
        <v>0</v>
      </c>
      <c r="V23" s="227">
        <v>0</v>
      </c>
      <c r="W23" s="218"/>
      <c r="X23" s="226">
        <v>2264.750035</v>
      </c>
      <c r="Y23" s="217">
        <v>505.96619518207501</v>
      </c>
      <c r="Z23" s="228">
        <v>573</v>
      </c>
      <c r="AA23" s="239">
        <v>0.88301255703677906</v>
      </c>
      <c r="AB23" s="222">
        <v>-536.01085850220602</v>
      </c>
      <c r="AC23" s="219"/>
      <c r="AD23" s="219"/>
      <c r="AE23" s="227">
        <v>301</v>
      </c>
      <c r="AF23" s="227">
        <v>814</v>
      </c>
      <c r="AG23" s="218"/>
      <c r="AH23" s="231">
        <v>89.5</v>
      </c>
      <c r="AI23" s="217">
        <v>19.995131369451901</v>
      </c>
      <c r="AJ23" s="232" t="s">
        <v>53</v>
      </c>
      <c r="AK23" s="224">
        <v>0.31738303761034697</v>
      </c>
      <c r="AL23" s="225">
        <v>-218.437061589248</v>
      </c>
      <c r="AM23" s="219"/>
      <c r="AN23" s="219"/>
      <c r="AO23" s="227">
        <v>193</v>
      </c>
      <c r="AP23" s="227">
        <v>249</v>
      </c>
      <c r="AQ23" s="218"/>
      <c r="AR23" s="231">
        <v>19.8</v>
      </c>
      <c r="AS23" s="217">
        <v>4.4235039230742599</v>
      </c>
      <c r="AT23" s="232" t="s">
        <v>54</v>
      </c>
      <c r="AU23" s="224">
        <v>0.27646899519214102</v>
      </c>
      <c r="AV23" s="225">
        <v>-58.4062378639359</v>
      </c>
      <c r="AW23" s="219"/>
      <c r="AX23" s="219"/>
      <c r="AY23" s="227">
        <v>52</v>
      </c>
      <c r="AZ23" s="227">
        <v>67</v>
      </c>
      <c r="BA23" s="218"/>
      <c r="BB23" s="235">
        <v>116.6</v>
      </c>
      <c r="BC23" s="231">
        <v>26.049523102548399</v>
      </c>
      <c r="BD23" s="232" t="s">
        <v>55</v>
      </c>
      <c r="BE23" s="239">
        <v>0.81404759695463902</v>
      </c>
      <c r="BF23" s="222">
        <v>-39.812475727871899</v>
      </c>
      <c r="BG23" s="219"/>
      <c r="BH23" s="219"/>
      <c r="BI23" s="227">
        <v>27</v>
      </c>
      <c r="BJ23" s="227">
        <v>56</v>
      </c>
      <c r="BK23" s="220"/>
      <c r="BL23" s="236">
        <v>0.8</v>
      </c>
      <c r="BM23" s="233">
        <v>0.81</v>
      </c>
      <c r="BN23" s="237">
        <v>3.7500000000000001E-4</v>
      </c>
      <c r="BO23" s="238">
        <v>0.95</v>
      </c>
      <c r="BP23" s="229">
        <v>1</v>
      </c>
      <c r="BQ23" s="237">
        <v>2.5000000000000001E-3</v>
      </c>
    </row>
    <row r="24" spans="1:69" s="207" customFormat="1" ht="22.35" customHeight="1" x14ac:dyDescent="0.2">
      <c r="A24" s="216" t="s">
        <v>4</v>
      </c>
      <c r="B24" s="216" t="s">
        <v>64</v>
      </c>
      <c r="C24" s="216" t="s">
        <v>74</v>
      </c>
      <c r="D24" s="217">
        <v>5.2411436323333298</v>
      </c>
      <c r="E24" s="218"/>
      <c r="F24" s="219">
        <v>0.04</v>
      </c>
      <c r="G24" s="219">
        <v>0.02</v>
      </c>
      <c r="H24" s="220"/>
      <c r="I24" s="221">
        <v>5</v>
      </c>
      <c r="J24" s="221">
        <v>5</v>
      </c>
      <c r="K24" s="218"/>
      <c r="L24" s="222">
        <v>4593.0861500000001</v>
      </c>
      <c r="M24" s="222">
        <v>3878.9495400000001</v>
      </c>
      <c r="N24" s="222">
        <v>8472.0356900000006</v>
      </c>
      <c r="O24" s="217">
        <v>1616.4479137215101</v>
      </c>
      <c r="P24" s="223">
        <v>248.62299999999999</v>
      </c>
      <c r="Q24" s="229">
        <v>6.5016024813533297</v>
      </c>
      <c r="R24" s="230">
        <v>7049.0845021946398</v>
      </c>
      <c r="S24" s="219">
        <v>0.01</v>
      </c>
      <c r="T24" s="219">
        <v>0.01</v>
      </c>
      <c r="U24" s="226">
        <v>0</v>
      </c>
      <c r="V24" s="227">
        <v>0</v>
      </c>
      <c r="W24" s="218"/>
      <c r="X24" s="226">
        <v>3206.1661450000001</v>
      </c>
      <c r="Y24" s="217">
        <v>611.73025772862297</v>
      </c>
      <c r="Z24" s="228">
        <v>573</v>
      </c>
      <c r="AA24" s="233">
        <v>1.06759207282482</v>
      </c>
      <c r="AB24" s="234">
        <v>-73.3012840490819</v>
      </c>
      <c r="AC24" s="219">
        <v>1.7000000000000001E-2</v>
      </c>
      <c r="AD24" s="219">
        <v>7.0000000000000001E-3</v>
      </c>
      <c r="AE24" s="227">
        <v>0</v>
      </c>
      <c r="AF24" s="227">
        <v>398</v>
      </c>
      <c r="AG24" s="218"/>
      <c r="AH24" s="231">
        <v>242.3</v>
      </c>
      <c r="AI24" s="217">
        <v>46.230368216817801</v>
      </c>
      <c r="AJ24" s="232" t="s">
        <v>53</v>
      </c>
      <c r="AK24" s="239">
        <v>0.733815368520918</v>
      </c>
      <c r="AL24" s="222">
        <v>-118.269717330004</v>
      </c>
      <c r="AM24" s="219"/>
      <c r="AN24" s="219"/>
      <c r="AO24" s="227">
        <v>88</v>
      </c>
      <c r="AP24" s="227">
        <v>154</v>
      </c>
      <c r="AQ24" s="218"/>
      <c r="AR24" s="231">
        <v>49.1</v>
      </c>
      <c r="AS24" s="217">
        <v>9.3681843972173109</v>
      </c>
      <c r="AT24" s="232" t="s">
        <v>54</v>
      </c>
      <c r="AU24" s="224">
        <v>0.58551152482608204</v>
      </c>
      <c r="AV24" s="225">
        <v>-42.473261544127901</v>
      </c>
      <c r="AW24" s="219"/>
      <c r="AX24" s="219"/>
      <c r="AY24" s="227">
        <v>35</v>
      </c>
      <c r="AZ24" s="227">
        <v>52</v>
      </c>
      <c r="BA24" s="218"/>
      <c r="BB24" s="235">
        <v>172.6</v>
      </c>
      <c r="BC24" s="231">
        <v>32.9317439299329</v>
      </c>
      <c r="BD24" s="232" t="s">
        <v>55</v>
      </c>
      <c r="BE24" s="233">
        <v>1.0291169978104</v>
      </c>
      <c r="BF24" s="234">
        <v>-10.546523088255899</v>
      </c>
      <c r="BG24" s="219">
        <v>1.2999999999999999E-2</v>
      </c>
      <c r="BH24" s="219">
        <v>3.0000000000000001E-3</v>
      </c>
      <c r="BI24" s="227">
        <v>0</v>
      </c>
      <c r="BJ24" s="227">
        <v>29</v>
      </c>
      <c r="BK24" s="220"/>
      <c r="BL24" s="236">
        <v>0.8</v>
      </c>
      <c r="BM24" s="233">
        <v>0.84</v>
      </c>
      <c r="BN24" s="237">
        <v>1.5E-3</v>
      </c>
      <c r="BO24" s="238">
        <v>0.95</v>
      </c>
      <c r="BP24" s="229">
        <v>1</v>
      </c>
      <c r="BQ24" s="237">
        <v>2.5000000000000001E-3</v>
      </c>
    </row>
    <row r="25" spans="1:69" s="207" customFormat="1" ht="22.35" customHeight="1" x14ac:dyDescent="0.2">
      <c r="A25" s="216" t="s">
        <v>4</v>
      </c>
      <c r="B25" s="216" t="s">
        <v>64</v>
      </c>
      <c r="C25" s="216" t="s">
        <v>75</v>
      </c>
      <c r="D25" s="217">
        <v>4.2224398655555602</v>
      </c>
      <c r="E25" s="218"/>
      <c r="F25" s="219">
        <v>0.03</v>
      </c>
      <c r="G25" s="219">
        <v>2.5999999999999999E-2</v>
      </c>
      <c r="H25" s="220"/>
      <c r="I25" s="221">
        <v>4</v>
      </c>
      <c r="J25" s="221">
        <v>4</v>
      </c>
      <c r="K25" s="218"/>
      <c r="L25" s="222">
        <v>780.26697999999999</v>
      </c>
      <c r="M25" s="222">
        <v>529.59698000000003</v>
      </c>
      <c r="N25" s="222">
        <v>1309.8639599999999</v>
      </c>
      <c r="O25" s="217">
        <v>310.21494721219898</v>
      </c>
      <c r="P25" s="223">
        <v>212.5</v>
      </c>
      <c r="Q25" s="229">
        <v>1.45983504570446</v>
      </c>
      <c r="R25" s="230">
        <v>330.04678919783203</v>
      </c>
      <c r="S25" s="219">
        <v>0.01</v>
      </c>
      <c r="T25" s="219">
        <v>0.01</v>
      </c>
      <c r="U25" s="226">
        <v>0</v>
      </c>
      <c r="V25" s="227">
        <v>0</v>
      </c>
      <c r="W25" s="218"/>
      <c r="X25" s="226">
        <v>1793.54215</v>
      </c>
      <c r="Y25" s="217">
        <v>424.76440330880098</v>
      </c>
      <c r="Z25" s="228">
        <v>573</v>
      </c>
      <c r="AA25" s="239">
        <v>0.74129913317417295</v>
      </c>
      <c r="AB25" s="222">
        <v>-848.50603291596303</v>
      </c>
      <c r="AC25" s="219"/>
      <c r="AD25" s="219"/>
      <c r="AE25" s="227">
        <v>626</v>
      </c>
      <c r="AF25" s="227">
        <v>1110</v>
      </c>
      <c r="AG25" s="218"/>
      <c r="AH25" s="231">
        <v>128.35</v>
      </c>
      <c r="AI25" s="217">
        <v>30.397117327119702</v>
      </c>
      <c r="AJ25" s="232" t="s">
        <v>53</v>
      </c>
      <c r="AK25" s="224">
        <v>0.482493925827298</v>
      </c>
      <c r="AL25" s="225">
        <v>-162.13697299076</v>
      </c>
      <c r="AM25" s="219"/>
      <c r="AN25" s="219"/>
      <c r="AO25" s="227">
        <v>138</v>
      </c>
      <c r="AP25" s="227">
        <v>191</v>
      </c>
      <c r="AQ25" s="218"/>
      <c r="AR25" s="231">
        <v>34.4</v>
      </c>
      <c r="AS25" s="217">
        <v>8.1469484694423002</v>
      </c>
      <c r="AT25" s="232" t="s">
        <v>54</v>
      </c>
      <c r="AU25" s="224">
        <v>0.50918427934014399</v>
      </c>
      <c r="AV25" s="225">
        <v>-39.374469330986699</v>
      </c>
      <c r="AW25" s="219"/>
      <c r="AX25" s="219"/>
      <c r="AY25" s="227">
        <v>34</v>
      </c>
      <c r="AZ25" s="227">
        <v>47</v>
      </c>
      <c r="BA25" s="218"/>
      <c r="BB25" s="235">
        <v>156.4</v>
      </c>
      <c r="BC25" s="231">
        <v>37.040195948278402</v>
      </c>
      <c r="BD25" s="232" t="s">
        <v>55</v>
      </c>
      <c r="BE25" s="229">
        <v>1.1575061233837001</v>
      </c>
      <c r="BF25" s="230">
        <v>8.8510613380265397</v>
      </c>
      <c r="BG25" s="219">
        <v>0.02</v>
      </c>
      <c r="BH25" s="219">
        <v>1.6E-2</v>
      </c>
      <c r="BI25" s="227">
        <v>0</v>
      </c>
      <c r="BJ25" s="227">
        <v>6</v>
      </c>
      <c r="BK25" s="220"/>
      <c r="BL25" s="236">
        <v>0.8</v>
      </c>
      <c r="BM25" s="233">
        <v>0.82</v>
      </c>
      <c r="BN25" s="237">
        <v>7.5000000000000002E-4</v>
      </c>
      <c r="BO25" s="238">
        <v>0.95</v>
      </c>
      <c r="BP25" s="229">
        <v>1</v>
      </c>
      <c r="BQ25" s="237">
        <v>2.5000000000000001E-3</v>
      </c>
    </row>
    <row r="26" spans="1:69" s="207" customFormat="1" ht="22.35" customHeight="1" x14ac:dyDescent="0.2">
      <c r="A26" s="216" t="s">
        <v>4</v>
      </c>
      <c r="B26" s="216" t="s">
        <v>64</v>
      </c>
      <c r="C26" s="216" t="s">
        <v>76</v>
      </c>
      <c r="D26" s="217">
        <v>3.2460809161111102</v>
      </c>
      <c r="E26" s="218"/>
      <c r="F26" s="219">
        <v>3.1E-2</v>
      </c>
      <c r="G26" s="219">
        <v>0.03</v>
      </c>
      <c r="H26" s="220"/>
      <c r="I26" s="221">
        <v>4</v>
      </c>
      <c r="J26" s="221">
        <v>3</v>
      </c>
      <c r="K26" s="218"/>
      <c r="L26" s="222">
        <v>2890.8880300000001</v>
      </c>
      <c r="M26" s="222">
        <v>461.18727000000001</v>
      </c>
      <c r="N26" s="222">
        <v>3352.0753</v>
      </c>
      <c r="O26" s="217">
        <v>1032.65303195703</v>
      </c>
      <c r="P26" s="223">
        <v>231.042</v>
      </c>
      <c r="Q26" s="229">
        <v>4.4695468008285504</v>
      </c>
      <c r="R26" s="230">
        <v>2533.096018494</v>
      </c>
      <c r="S26" s="219">
        <v>0.01</v>
      </c>
      <c r="T26" s="219">
        <v>0.01</v>
      </c>
      <c r="U26" s="226">
        <v>0</v>
      </c>
      <c r="V26" s="227">
        <v>0</v>
      </c>
      <c r="W26" s="218"/>
      <c r="X26" s="226">
        <v>1708.3829900000001</v>
      </c>
      <c r="Y26" s="217">
        <v>526.290944110748</v>
      </c>
      <c r="Z26" s="228">
        <v>573</v>
      </c>
      <c r="AA26" s="233">
        <v>0.91848332305540803</v>
      </c>
      <c r="AB26" s="234">
        <v>-322.74177650537899</v>
      </c>
      <c r="AC26" s="219">
        <v>1E-3</v>
      </c>
      <c r="AD26" s="219"/>
      <c r="AE26" s="227">
        <v>152</v>
      </c>
      <c r="AF26" s="227">
        <v>524</v>
      </c>
      <c r="AG26" s="218"/>
      <c r="AH26" s="231">
        <v>159.9</v>
      </c>
      <c r="AI26" s="217">
        <v>49.259400530152</v>
      </c>
      <c r="AJ26" s="232" t="s">
        <v>53</v>
      </c>
      <c r="AK26" s="239">
        <v>0.78189524651034903</v>
      </c>
      <c r="AL26" s="222">
        <v>-63.417382704779897</v>
      </c>
      <c r="AM26" s="219"/>
      <c r="AN26" s="219"/>
      <c r="AO26" s="227">
        <v>45</v>
      </c>
      <c r="AP26" s="227">
        <v>86</v>
      </c>
      <c r="AQ26" s="218"/>
      <c r="AR26" s="231">
        <v>36.6</v>
      </c>
      <c r="AS26" s="217">
        <v>11.275134830541401</v>
      </c>
      <c r="AT26" s="232" t="s">
        <v>54</v>
      </c>
      <c r="AU26" s="224">
        <v>0.70469592690883498</v>
      </c>
      <c r="AV26" s="225">
        <v>-20.115525766293299</v>
      </c>
      <c r="AW26" s="219"/>
      <c r="AX26" s="219"/>
      <c r="AY26" s="227">
        <v>16</v>
      </c>
      <c r="AZ26" s="227">
        <v>26</v>
      </c>
      <c r="BA26" s="218"/>
      <c r="BB26" s="235">
        <v>143.6</v>
      </c>
      <c r="BC26" s="231">
        <v>44.237960701249698</v>
      </c>
      <c r="BD26" s="232" t="s">
        <v>55</v>
      </c>
      <c r="BE26" s="229">
        <v>1.3824362719140499</v>
      </c>
      <c r="BF26" s="230">
        <v>30.168948467413401</v>
      </c>
      <c r="BG26" s="219">
        <v>0.02</v>
      </c>
      <c r="BH26" s="219">
        <v>0.02</v>
      </c>
      <c r="BI26" s="227">
        <v>0</v>
      </c>
      <c r="BJ26" s="227">
        <v>0</v>
      </c>
      <c r="BK26" s="220"/>
      <c r="BL26" s="236">
        <v>0.8</v>
      </c>
      <c r="BM26" s="239">
        <v>0.78</v>
      </c>
      <c r="BN26" s="237"/>
      <c r="BO26" s="238">
        <v>0.95</v>
      </c>
      <c r="BP26" s="229">
        <v>1</v>
      </c>
      <c r="BQ26" s="237">
        <v>2.5000000000000001E-3</v>
      </c>
    </row>
    <row r="27" spans="1:69" s="207" customFormat="1" ht="22.35" customHeight="1" x14ac:dyDescent="0.2">
      <c r="A27" s="216" t="s">
        <v>4</v>
      </c>
      <c r="B27" s="216" t="s">
        <v>64</v>
      </c>
      <c r="C27" s="216" t="s">
        <v>77</v>
      </c>
      <c r="D27" s="217">
        <v>2.5803141951111099</v>
      </c>
      <c r="E27" s="218"/>
      <c r="F27" s="219">
        <v>2.8000000000000001E-2</v>
      </c>
      <c r="G27" s="219">
        <v>1.7000000000000001E-2</v>
      </c>
      <c r="H27" s="220"/>
      <c r="I27" s="221">
        <v>4</v>
      </c>
      <c r="J27" s="221">
        <v>4</v>
      </c>
      <c r="K27" s="218"/>
      <c r="L27" s="222">
        <v>567.50427999999999</v>
      </c>
      <c r="M27" s="222">
        <v>444.60631999999998</v>
      </c>
      <c r="N27" s="222">
        <v>1012.1106</v>
      </c>
      <c r="O27" s="217">
        <v>392.24316244805902</v>
      </c>
      <c r="P27" s="223">
        <v>212.5</v>
      </c>
      <c r="Q27" s="229">
        <v>1.8458501762261601</v>
      </c>
      <c r="R27" s="230">
        <v>413.34869102446697</v>
      </c>
      <c r="S27" s="219">
        <v>0.01</v>
      </c>
      <c r="T27" s="219">
        <v>0.01</v>
      </c>
      <c r="U27" s="226">
        <v>0</v>
      </c>
      <c r="V27" s="227">
        <v>0</v>
      </c>
      <c r="W27" s="218"/>
      <c r="X27" s="226">
        <v>1243.029685</v>
      </c>
      <c r="Y27" s="217">
        <v>481.73578526024198</v>
      </c>
      <c r="Z27" s="228">
        <v>573</v>
      </c>
      <c r="AA27" s="239">
        <v>0.84072562872642598</v>
      </c>
      <c r="AB27" s="222">
        <v>-371.514191908143</v>
      </c>
      <c r="AC27" s="219"/>
      <c r="AD27" s="219"/>
      <c r="AE27" s="227">
        <v>236</v>
      </c>
      <c r="AF27" s="227">
        <v>532</v>
      </c>
      <c r="AG27" s="218"/>
      <c r="AH27" s="231">
        <v>138.55000000000001</v>
      </c>
      <c r="AI27" s="217">
        <v>53.695011352690699</v>
      </c>
      <c r="AJ27" s="232" t="s">
        <v>53</v>
      </c>
      <c r="AK27" s="239">
        <v>0.852301767503027</v>
      </c>
      <c r="AL27" s="222">
        <v>-38.965295366863899</v>
      </c>
      <c r="AM27" s="219"/>
      <c r="AN27" s="219"/>
      <c r="AO27" s="227">
        <v>25</v>
      </c>
      <c r="AP27" s="227">
        <v>57</v>
      </c>
      <c r="AQ27" s="218"/>
      <c r="AR27" s="231">
        <v>10.3</v>
      </c>
      <c r="AS27" s="217">
        <v>3.9917619410517098</v>
      </c>
      <c r="AT27" s="232" t="s">
        <v>54</v>
      </c>
      <c r="AU27" s="224">
        <v>0.249485121315732</v>
      </c>
      <c r="AV27" s="225">
        <v>-34.783249616981301</v>
      </c>
      <c r="AW27" s="219"/>
      <c r="AX27" s="219"/>
      <c r="AY27" s="227">
        <v>31</v>
      </c>
      <c r="AZ27" s="227">
        <v>40</v>
      </c>
      <c r="BA27" s="218"/>
      <c r="BB27" s="235">
        <v>88.4</v>
      </c>
      <c r="BC27" s="231">
        <v>34.259393746501999</v>
      </c>
      <c r="BD27" s="232" t="s">
        <v>55</v>
      </c>
      <c r="BE27" s="233">
        <v>1.0706060545781899</v>
      </c>
      <c r="BF27" s="234">
        <v>-1.76649923396262</v>
      </c>
      <c r="BG27" s="219">
        <v>1.7999999999999999E-2</v>
      </c>
      <c r="BH27" s="219">
        <v>7.0000000000000001E-3</v>
      </c>
      <c r="BI27" s="227">
        <v>0</v>
      </c>
      <c r="BJ27" s="227">
        <v>11</v>
      </c>
      <c r="BK27" s="220"/>
      <c r="BL27" s="236">
        <v>0.8</v>
      </c>
      <c r="BM27" s="233">
        <v>0.81</v>
      </c>
      <c r="BN27" s="237">
        <v>3.7500000000000001E-4</v>
      </c>
      <c r="BO27" s="238">
        <v>0.95</v>
      </c>
      <c r="BP27" s="229">
        <v>1</v>
      </c>
      <c r="BQ27" s="237">
        <v>2.5000000000000001E-3</v>
      </c>
    </row>
    <row r="28" spans="1:69" s="207" customFormat="1" ht="22.35" customHeight="1" x14ac:dyDescent="0.2">
      <c r="A28" s="216" t="s">
        <v>4</v>
      </c>
      <c r="B28" s="216" t="s">
        <v>64</v>
      </c>
      <c r="C28" s="216" t="s">
        <v>78</v>
      </c>
      <c r="D28" s="217">
        <v>9.6894159421111095</v>
      </c>
      <c r="E28" s="218"/>
      <c r="F28" s="219">
        <v>0.05</v>
      </c>
      <c r="G28" s="219">
        <v>0.05</v>
      </c>
      <c r="H28" s="220"/>
      <c r="I28" s="221">
        <v>4</v>
      </c>
      <c r="J28" s="221">
        <v>4</v>
      </c>
      <c r="K28" s="218"/>
      <c r="L28" s="222">
        <v>6569.8665700000001</v>
      </c>
      <c r="M28" s="222">
        <v>5847.9449999999997</v>
      </c>
      <c r="N28" s="222">
        <v>12417.81157</v>
      </c>
      <c r="O28" s="217">
        <v>1281.58514859818</v>
      </c>
      <c r="P28" s="223">
        <v>268.108</v>
      </c>
      <c r="Q28" s="229">
        <v>4.7801078244520099</v>
      </c>
      <c r="R28" s="230">
        <v>9581.0031270869804</v>
      </c>
      <c r="S28" s="219">
        <v>0.01</v>
      </c>
      <c r="T28" s="219">
        <v>0.01</v>
      </c>
      <c r="U28" s="226">
        <v>0</v>
      </c>
      <c r="V28" s="227">
        <v>0</v>
      </c>
      <c r="W28" s="218"/>
      <c r="X28" s="226">
        <v>6794.03593</v>
      </c>
      <c r="Y28" s="217">
        <v>701.181162062873</v>
      </c>
      <c r="Z28" s="228">
        <v>573</v>
      </c>
      <c r="AA28" s="229">
        <v>1.2237018535128701</v>
      </c>
      <c r="AB28" s="230">
        <v>731.213344366005</v>
      </c>
      <c r="AC28" s="219">
        <v>0.02</v>
      </c>
      <c r="AD28" s="219">
        <v>0.02</v>
      </c>
      <c r="AE28" s="227">
        <v>0</v>
      </c>
      <c r="AF28" s="227">
        <v>0</v>
      </c>
      <c r="AG28" s="218"/>
      <c r="AH28" s="231">
        <v>387.2</v>
      </c>
      <c r="AI28" s="217">
        <v>39.9611289589904</v>
      </c>
      <c r="AJ28" s="232" t="s">
        <v>53</v>
      </c>
      <c r="AK28" s="224">
        <v>0.63430363426968905</v>
      </c>
      <c r="AL28" s="225">
        <v>-279.39305915347597</v>
      </c>
      <c r="AM28" s="219"/>
      <c r="AN28" s="219"/>
      <c r="AO28" s="227">
        <v>224</v>
      </c>
      <c r="AP28" s="227">
        <v>346</v>
      </c>
      <c r="AQ28" s="218"/>
      <c r="AR28" s="231">
        <v>92.1</v>
      </c>
      <c r="AS28" s="217">
        <v>9.5052168830656498</v>
      </c>
      <c r="AT28" s="232" t="s">
        <v>54</v>
      </c>
      <c r="AU28" s="224">
        <v>0.594076055191603</v>
      </c>
      <c r="AV28" s="225">
        <v>-77.1934753405653</v>
      </c>
      <c r="AW28" s="219"/>
      <c r="AX28" s="219"/>
      <c r="AY28" s="227">
        <v>63</v>
      </c>
      <c r="AZ28" s="227">
        <v>94</v>
      </c>
      <c r="BA28" s="218"/>
      <c r="BB28" s="235">
        <v>431.8</v>
      </c>
      <c r="BC28" s="231">
        <v>44.564089577717098</v>
      </c>
      <c r="BD28" s="232" t="s">
        <v>55</v>
      </c>
      <c r="BE28" s="229">
        <v>1.39262779930366</v>
      </c>
      <c r="BF28" s="230">
        <v>93.213049318869395</v>
      </c>
      <c r="BG28" s="219">
        <v>0.02</v>
      </c>
      <c r="BH28" s="219">
        <v>0.02</v>
      </c>
      <c r="BI28" s="227">
        <v>0</v>
      </c>
      <c r="BJ28" s="227">
        <v>0</v>
      </c>
      <c r="BK28" s="220"/>
      <c r="BL28" s="236">
        <v>0.8</v>
      </c>
      <c r="BM28" s="239">
        <v>0.73</v>
      </c>
      <c r="BN28" s="237"/>
      <c r="BO28" s="238">
        <v>0.95</v>
      </c>
      <c r="BP28" s="229">
        <v>1</v>
      </c>
      <c r="BQ28" s="237">
        <v>2.5000000000000001E-3</v>
      </c>
    </row>
    <row r="29" spans="1:69" s="207" customFormat="1" ht="22.35" customHeight="1" x14ac:dyDescent="0.2">
      <c r="A29" s="216" t="s">
        <v>4</v>
      </c>
      <c r="B29" s="216" t="s">
        <v>64</v>
      </c>
      <c r="C29" s="216" t="s">
        <v>79</v>
      </c>
      <c r="D29" s="217">
        <v>4.4281860372222202</v>
      </c>
      <c r="E29" s="218"/>
      <c r="F29" s="219">
        <v>2.8000000000000001E-2</v>
      </c>
      <c r="G29" s="219">
        <v>1.0999999999999999E-2</v>
      </c>
      <c r="H29" s="220"/>
      <c r="I29" s="221">
        <v>4</v>
      </c>
      <c r="J29" s="221">
        <v>3</v>
      </c>
      <c r="K29" s="218"/>
      <c r="L29" s="222">
        <v>3535.84602</v>
      </c>
      <c r="M29" s="222">
        <v>-29.397939999999998</v>
      </c>
      <c r="N29" s="222">
        <v>3506.4480800000001</v>
      </c>
      <c r="O29" s="217">
        <v>791.84750833087799</v>
      </c>
      <c r="P29" s="223">
        <v>241.767</v>
      </c>
      <c r="Q29" s="229">
        <v>3.2752505856087799</v>
      </c>
      <c r="R29" s="230">
        <v>2337.36461500207</v>
      </c>
      <c r="S29" s="219">
        <v>0.01</v>
      </c>
      <c r="T29" s="219">
        <v>0.01</v>
      </c>
      <c r="U29" s="226">
        <v>0</v>
      </c>
      <c r="V29" s="227">
        <v>0</v>
      </c>
      <c r="W29" s="218"/>
      <c r="X29" s="226">
        <v>2466.9895700000002</v>
      </c>
      <c r="Y29" s="217">
        <v>557.11064288245905</v>
      </c>
      <c r="Z29" s="228">
        <v>573</v>
      </c>
      <c r="AA29" s="233">
        <v>0.97226988286642002</v>
      </c>
      <c r="AB29" s="234">
        <v>-303.797284466539</v>
      </c>
      <c r="AC29" s="219">
        <v>7.0000000000000001E-3</v>
      </c>
      <c r="AD29" s="219"/>
      <c r="AE29" s="227">
        <v>71</v>
      </c>
      <c r="AF29" s="227">
        <v>578</v>
      </c>
      <c r="AG29" s="218"/>
      <c r="AH29" s="231">
        <v>171.4</v>
      </c>
      <c r="AI29" s="217">
        <v>38.706594203417502</v>
      </c>
      <c r="AJ29" s="232" t="s">
        <v>53</v>
      </c>
      <c r="AK29" s="224">
        <v>0.61439038418123004</v>
      </c>
      <c r="AL29" s="225">
        <v>-133.24148661673999</v>
      </c>
      <c r="AM29" s="219"/>
      <c r="AN29" s="219"/>
      <c r="AO29" s="227">
        <v>108</v>
      </c>
      <c r="AP29" s="227">
        <v>164</v>
      </c>
      <c r="AQ29" s="218"/>
      <c r="AR29" s="231">
        <v>19.5</v>
      </c>
      <c r="AS29" s="217">
        <v>4.40360902547632</v>
      </c>
      <c r="AT29" s="232" t="s">
        <v>54</v>
      </c>
      <c r="AU29" s="224">
        <v>0.27522556409227</v>
      </c>
      <c r="AV29" s="225">
        <v>-57.8692664423466</v>
      </c>
      <c r="AW29" s="219"/>
      <c r="AX29" s="219"/>
      <c r="AY29" s="227">
        <v>52</v>
      </c>
      <c r="AZ29" s="227">
        <v>66</v>
      </c>
      <c r="BA29" s="218"/>
      <c r="BB29" s="235">
        <v>143.19999999999999</v>
      </c>
      <c r="BC29" s="231">
        <v>32.338298074267101</v>
      </c>
      <c r="BD29" s="232" t="s">
        <v>55</v>
      </c>
      <c r="BE29" s="233">
        <v>1.01057181482085</v>
      </c>
      <c r="BF29" s="234">
        <v>-11.5385328846933</v>
      </c>
      <c r="BG29" s="219">
        <v>1.0999999999999999E-2</v>
      </c>
      <c r="BH29" s="219">
        <v>1E-3</v>
      </c>
      <c r="BI29" s="227">
        <v>0</v>
      </c>
      <c r="BJ29" s="227">
        <v>27</v>
      </c>
      <c r="BK29" s="220"/>
      <c r="BL29" s="236">
        <v>0.8</v>
      </c>
      <c r="BM29" s="239">
        <v>0.78</v>
      </c>
      <c r="BN29" s="237"/>
      <c r="BO29" s="238">
        <v>0.95</v>
      </c>
      <c r="BP29" s="229">
        <v>1</v>
      </c>
      <c r="BQ29" s="237">
        <v>2.5000000000000001E-3</v>
      </c>
    </row>
    <row r="30" spans="1:69" s="207" customFormat="1" ht="22.35" customHeight="1" x14ac:dyDescent="0.2">
      <c r="A30" s="216" t="s">
        <v>80</v>
      </c>
      <c r="B30" s="216" t="s">
        <v>81</v>
      </c>
      <c r="C30" s="216" t="s">
        <v>82</v>
      </c>
      <c r="D30" s="217">
        <v>6.2436248350000003</v>
      </c>
      <c r="E30" s="218"/>
      <c r="F30" s="219">
        <v>2.5000000000000001E-2</v>
      </c>
      <c r="G30" s="219">
        <v>1.4999999999999999E-2</v>
      </c>
      <c r="H30" s="220"/>
      <c r="I30" s="221">
        <v>3</v>
      </c>
      <c r="J30" s="221">
        <v>3</v>
      </c>
      <c r="K30" s="218"/>
      <c r="L30" s="222">
        <v>3248.8663299999998</v>
      </c>
      <c r="M30" s="222">
        <v>1977.93049</v>
      </c>
      <c r="N30" s="222">
        <v>5226.7968199999996</v>
      </c>
      <c r="O30" s="217">
        <v>837.14139752600897</v>
      </c>
      <c r="P30" s="223">
        <v>244.696</v>
      </c>
      <c r="Q30" s="229">
        <v>3.42114868050973</v>
      </c>
      <c r="R30" s="230">
        <v>3558.4501152933299</v>
      </c>
      <c r="S30" s="219">
        <v>0.01</v>
      </c>
      <c r="T30" s="219">
        <v>0.01</v>
      </c>
      <c r="U30" s="226">
        <v>0</v>
      </c>
      <c r="V30" s="227">
        <v>0</v>
      </c>
      <c r="W30" s="218"/>
      <c r="X30" s="226">
        <v>2270.0012299999999</v>
      </c>
      <c r="Y30" s="217">
        <v>363.57104886812101</v>
      </c>
      <c r="Z30" s="228">
        <v>573</v>
      </c>
      <c r="AA30" s="224">
        <v>0.63450444828642405</v>
      </c>
      <c r="AB30" s="225">
        <v>-1636.73472725686</v>
      </c>
      <c r="AC30" s="219"/>
      <c r="AD30" s="219"/>
      <c r="AE30" s="227">
        <v>1308</v>
      </c>
      <c r="AF30" s="227">
        <v>2024</v>
      </c>
      <c r="AG30" s="218"/>
      <c r="AH30" s="231">
        <v>354.2</v>
      </c>
      <c r="AI30" s="217">
        <v>56.729865960948601</v>
      </c>
      <c r="AJ30" s="232" t="s">
        <v>53</v>
      </c>
      <c r="AK30" s="239">
        <v>0.9004740628722</v>
      </c>
      <c r="AL30" s="222">
        <v>-75.336414148660097</v>
      </c>
      <c r="AM30" s="219"/>
      <c r="AN30" s="219"/>
      <c r="AO30" s="227">
        <v>40</v>
      </c>
      <c r="AP30" s="227">
        <v>118</v>
      </c>
      <c r="AQ30" s="218"/>
      <c r="AR30" s="231">
        <v>37.700000000000003</v>
      </c>
      <c r="AS30" s="217">
        <v>6.0381590816706998</v>
      </c>
      <c r="AT30" s="232" t="s">
        <v>54</v>
      </c>
      <c r="AU30" s="224">
        <v>0.37738494260441902</v>
      </c>
      <c r="AV30" s="225">
        <v>-71.388613117120002</v>
      </c>
      <c r="AW30" s="219"/>
      <c r="AX30" s="219"/>
      <c r="AY30" s="227">
        <v>63</v>
      </c>
      <c r="AZ30" s="227">
        <v>83</v>
      </c>
      <c r="BA30" s="218"/>
      <c r="BB30" s="235">
        <v>209.4</v>
      </c>
      <c r="BC30" s="231">
        <v>33.538209859465397</v>
      </c>
      <c r="BD30" s="232" t="s">
        <v>55</v>
      </c>
      <c r="BE30" s="233">
        <v>1.0480690581082901</v>
      </c>
      <c r="BF30" s="234">
        <v>-8.7772262342400307</v>
      </c>
      <c r="BG30" s="219">
        <v>1.4999999999999999E-2</v>
      </c>
      <c r="BH30" s="219">
        <v>5.0000000000000001E-3</v>
      </c>
      <c r="BI30" s="227">
        <v>0</v>
      </c>
      <c r="BJ30" s="227">
        <v>31</v>
      </c>
      <c r="BK30" s="220"/>
      <c r="BL30" s="236">
        <v>0.8</v>
      </c>
      <c r="BM30" s="239">
        <v>0.74</v>
      </c>
      <c r="BN30" s="237"/>
      <c r="BO30" s="238">
        <v>0.95</v>
      </c>
      <c r="BP30" s="229">
        <v>1</v>
      </c>
      <c r="BQ30" s="237">
        <v>2.5000000000000001E-3</v>
      </c>
    </row>
    <row r="31" spans="1:69" s="207" customFormat="1" ht="22.35" customHeight="1" x14ac:dyDescent="0.2">
      <c r="A31" s="216" t="s">
        <v>80</v>
      </c>
      <c r="B31" s="216" t="s">
        <v>81</v>
      </c>
      <c r="C31" s="216" t="s">
        <v>83</v>
      </c>
      <c r="D31" s="217">
        <v>2.8402116402222202</v>
      </c>
      <c r="E31" s="218"/>
      <c r="F31" s="219">
        <v>4.5999999999999999E-2</v>
      </c>
      <c r="G31" s="219">
        <v>3.1E-2</v>
      </c>
      <c r="H31" s="220"/>
      <c r="I31" s="221">
        <v>5</v>
      </c>
      <c r="J31" s="221">
        <v>4</v>
      </c>
      <c r="K31" s="218"/>
      <c r="L31" s="222">
        <v>1163.5511899999999</v>
      </c>
      <c r="M31" s="222">
        <v>824.33378000000005</v>
      </c>
      <c r="N31" s="222">
        <v>1987.8849700000001</v>
      </c>
      <c r="O31" s="217">
        <v>699.90733854061102</v>
      </c>
      <c r="P31" s="223">
        <v>255.976</v>
      </c>
      <c r="Q31" s="229">
        <v>2.7342693789285399</v>
      </c>
      <c r="R31" s="230">
        <v>1193.9725618192599</v>
      </c>
      <c r="S31" s="219">
        <v>0.01</v>
      </c>
      <c r="T31" s="219">
        <v>0.01</v>
      </c>
      <c r="U31" s="226">
        <v>0</v>
      </c>
      <c r="V31" s="227">
        <v>0</v>
      </c>
      <c r="W31" s="218"/>
      <c r="X31" s="226">
        <v>1950.5120850000001</v>
      </c>
      <c r="Y31" s="217">
        <v>686.74885257754602</v>
      </c>
      <c r="Z31" s="228">
        <v>573</v>
      </c>
      <c r="AA31" s="229">
        <v>1.1985145769241601</v>
      </c>
      <c r="AB31" s="230">
        <v>173.346218326713</v>
      </c>
      <c r="AC31" s="219">
        <v>0.02</v>
      </c>
      <c r="AD31" s="219">
        <v>0.02</v>
      </c>
      <c r="AE31" s="227">
        <v>0</v>
      </c>
      <c r="AF31" s="227">
        <v>3</v>
      </c>
      <c r="AG31" s="218"/>
      <c r="AH31" s="231">
        <v>171.55</v>
      </c>
      <c r="AI31" s="217">
        <v>60.400428464752601</v>
      </c>
      <c r="AJ31" s="232" t="s">
        <v>53</v>
      </c>
      <c r="AK31" s="233">
        <v>0.95873695975797801</v>
      </c>
      <c r="AL31" s="234">
        <v>-23.8452000007279</v>
      </c>
      <c r="AM31" s="219">
        <v>5.0000000000000001E-3</v>
      </c>
      <c r="AN31" s="219"/>
      <c r="AO31" s="227">
        <v>8</v>
      </c>
      <c r="AP31" s="227">
        <v>44</v>
      </c>
      <c r="AQ31" s="218"/>
      <c r="AR31" s="231">
        <v>22.2</v>
      </c>
      <c r="AS31" s="217">
        <v>7.8163189269455398</v>
      </c>
      <c r="AT31" s="232" t="s">
        <v>54</v>
      </c>
      <c r="AU31" s="224">
        <v>0.48851993293409601</v>
      </c>
      <c r="AV31" s="225">
        <v>-27.424177777962601</v>
      </c>
      <c r="AW31" s="219"/>
      <c r="AX31" s="219"/>
      <c r="AY31" s="227">
        <v>24</v>
      </c>
      <c r="AZ31" s="227">
        <v>33</v>
      </c>
      <c r="BA31" s="218"/>
      <c r="BB31" s="235">
        <v>91.8</v>
      </c>
      <c r="BC31" s="231">
        <v>32.321535022234301</v>
      </c>
      <c r="BD31" s="232" t="s">
        <v>55</v>
      </c>
      <c r="BE31" s="233">
        <v>1.0100479694448199</v>
      </c>
      <c r="BF31" s="234">
        <v>-7.4483555559252803</v>
      </c>
      <c r="BG31" s="219">
        <v>1.0999999999999999E-2</v>
      </c>
      <c r="BH31" s="219">
        <v>1E-3</v>
      </c>
      <c r="BI31" s="227">
        <v>0</v>
      </c>
      <c r="BJ31" s="227">
        <v>18</v>
      </c>
      <c r="BK31" s="220"/>
      <c r="BL31" s="236">
        <v>0.8</v>
      </c>
      <c r="BM31" s="224">
        <v>0.67</v>
      </c>
      <c r="BN31" s="237"/>
      <c r="BO31" s="238">
        <v>0.95</v>
      </c>
      <c r="BP31" s="229">
        <v>1</v>
      </c>
      <c r="BQ31" s="237">
        <v>2.5000000000000001E-3</v>
      </c>
    </row>
    <row r="32" spans="1:69" s="207" customFormat="1" ht="22.35" customHeight="1" x14ac:dyDescent="0.2">
      <c r="A32" s="216" t="s">
        <v>80</v>
      </c>
      <c r="B32" s="216" t="s">
        <v>81</v>
      </c>
      <c r="C32" s="216" t="s">
        <v>84</v>
      </c>
      <c r="D32" s="217">
        <v>7.4919696311111101</v>
      </c>
      <c r="E32" s="218"/>
      <c r="F32" s="219">
        <v>0.01</v>
      </c>
      <c r="G32" s="219">
        <v>0.01</v>
      </c>
      <c r="H32" s="220"/>
      <c r="I32" s="221">
        <v>2</v>
      </c>
      <c r="J32" s="221">
        <v>2</v>
      </c>
      <c r="K32" s="218"/>
      <c r="L32" s="222">
        <v>5504.2335599999997</v>
      </c>
      <c r="M32" s="222">
        <v>1883.6323600000001</v>
      </c>
      <c r="N32" s="222">
        <v>7387.8659200000002</v>
      </c>
      <c r="O32" s="217">
        <v>986.10462718924896</v>
      </c>
      <c r="P32" s="223">
        <v>282.02199999999999</v>
      </c>
      <c r="Q32" s="229">
        <v>3.4965521384475302</v>
      </c>
      <c r="R32" s="230">
        <v>5080.5788368387002</v>
      </c>
      <c r="S32" s="219">
        <v>0.01</v>
      </c>
      <c r="T32" s="219">
        <v>0.01</v>
      </c>
      <c r="U32" s="226">
        <v>0</v>
      </c>
      <c r="V32" s="227">
        <v>0</v>
      </c>
      <c r="W32" s="218"/>
      <c r="X32" s="226">
        <v>3491.3643649999999</v>
      </c>
      <c r="Y32" s="217">
        <v>466.01421747650699</v>
      </c>
      <c r="Z32" s="228">
        <v>573</v>
      </c>
      <c r="AA32" s="239">
        <v>0.81328833765533504</v>
      </c>
      <c r="AB32" s="222">
        <v>-1196.48090470032</v>
      </c>
      <c r="AC32" s="219"/>
      <c r="AD32" s="219"/>
      <c r="AE32" s="227">
        <v>802</v>
      </c>
      <c r="AF32" s="227">
        <v>1661</v>
      </c>
      <c r="AG32" s="218"/>
      <c r="AH32" s="231">
        <v>233.8</v>
      </c>
      <c r="AI32" s="217">
        <v>31.206746891915198</v>
      </c>
      <c r="AJ32" s="232" t="s">
        <v>53</v>
      </c>
      <c r="AK32" s="224">
        <v>0.495345188760559</v>
      </c>
      <c r="AL32" s="225">
        <v>-281.61754274191998</v>
      </c>
      <c r="AM32" s="219"/>
      <c r="AN32" s="219"/>
      <c r="AO32" s="227">
        <v>239</v>
      </c>
      <c r="AP32" s="227">
        <v>333</v>
      </c>
      <c r="AQ32" s="218"/>
      <c r="AR32" s="231">
        <v>45.2</v>
      </c>
      <c r="AS32" s="217">
        <v>6.0331264307723202</v>
      </c>
      <c r="AT32" s="232" t="s">
        <v>54</v>
      </c>
      <c r="AU32" s="224">
        <v>0.37707040192327002</v>
      </c>
      <c r="AV32" s="225">
        <v>-85.699693394773305</v>
      </c>
      <c r="AW32" s="219"/>
      <c r="AX32" s="219"/>
      <c r="AY32" s="227">
        <v>75</v>
      </c>
      <c r="AZ32" s="227">
        <v>99</v>
      </c>
      <c r="BA32" s="218"/>
      <c r="BB32" s="235">
        <v>181</v>
      </c>
      <c r="BC32" s="231">
        <v>24.159200972783001</v>
      </c>
      <c r="BD32" s="232" t="s">
        <v>55</v>
      </c>
      <c r="BE32" s="239">
        <v>0.75497503039946701</v>
      </c>
      <c r="BF32" s="222">
        <v>-80.799386789546602</v>
      </c>
      <c r="BG32" s="219"/>
      <c r="BH32" s="219"/>
      <c r="BI32" s="227">
        <v>59</v>
      </c>
      <c r="BJ32" s="227">
        <v>107</v>
      </c>
      <c r="BK32" s="220"/>
      <c r="BL32" s="236">
        <v>0.8</v>
      </c>
      <c r="BM32" s="224">
        <v>0.69</v>
      </c>
      <c r="BN32" s="237"/>
      <c r="BO32" s="238">
        <v>0.95</v>
      </c>
      <c r="BP32" s="229">
        <v>1</v>
      </c>
      <c r="BQ32" s="237">
        <v>2.5000000000000001E-3</v>
      </c>
    </row>
    <row r="33" spans="1:69" s="207" customFormat="1" ht="22.35" customHeight="1" x14ac:dyDescent="0.2">
      <c r="A33" s="216" t="s">
        <v>80</v>
      </c>
      <c r="B33" s="216" t="s">
        <v>81</v>
      </c>
      <c r="C33" s="216" t="s">
        <v>85</v>
      </c>
      <c r="D33" s="217">
        <v>8.0712319791111096</v>
      </c>
      <c r="E33" s="218"/>
      <c r="F33" s="219">
        <v>0.03</v>
      </c>
      <c r="G33" s="219">
        <v>2.3E-2</v>
      </c>
      <c r="H33" s="220"/>
      <c r="I33" s="221">
        <v>3</v>
      </c>
      <c r="J33" s="221">
        <v>3</v>
      </c>
      <c r="K33" s="218"/>
      <c r="L33" s="222">
        <v>3706.5583200000001</v>
      </c>
      <c r="M33" s="222">
        <v>4466.37979</v>
      </c>
      <c r="N33" s="222">
        <v>8172.9381100000001</v>
      </c>
      <c r="O33" s="217">
        <v>1012.60106649792</v>
      </c>
      <c r="P33" s="223">
        <v>276.94400000000002</v>
      </c>
      <c r="Q33" s="229">
        <v>3.6563387056513998</v>
      </c>
      <c r="R33" s="230">
        <v>5732.0131480085402</v>
      </c>
      <c r="S33" s="219">
        <v>0.01</v>
      </c>
      <c r="T33" s="219">
        <v>0.01</v>
      </c>
      <c r="U33" s="226">
        <v>0</v>
      </c>
      <c r="V33" s="227">
        <v>0</v>
      </c>
      <c r="W33" s="218"/>
      <c r="X33" s="226">
        <v>3948.1300900000001</v>
      </c>
      <c r="Y33" s="217">
        <v>489.160774986771</v>
      </c>
      <c r="Z33" s="228">
        <v>573</v>
      </c>
      <c r="AA33" s="239">
        <v>0.85368372598040299</v>
      </c>
      <c r="AB33" s="222">
        <v>-1102.16889904149</v>
      </c>
      <c r="AC33" s="219"/>
      <c r="AD33" s="219"/>
      <c r="AE33" s="227">
        <v>677</v>
      </c>
      <c r="AF33" s="227">
        <v>1602</v>
      </c>
      <c r="AG33" s="218"/>
      <c r="AH33" s="231">
        <v>352.65</v>
      </c>
      <c r="AI33" s="217">
        <v>43.6922146349754</v>
      </c>
      <c r="AJ33" s="232" t="s">
        <v>53</v>
      </c>
      <c r="AK33" s="224">
        <v>0.69352721642818105</v>
      </c>
      <c r="AL33" s="225">
        <v>-202.61847523492801</v>
      </c>
      <c r="AM33" s="219"/>
      <c r="AN33" s="219"/>
      <c r="AO33" s="227">
        <v>156</v>
      </c>
      <c r="AP33" s="227">
        <v>258</v>
      </c>
      <c r="AQ33" s="218"/>
      <c r="AR33" s="231">
        <v>61.6</v>
      </c>
      <c r="AS33" s="217">
        <v>7.6320442975031497</v>
      </c>
      <c r="AT33" s="232" t="s">
        <v>54</v>
      </c>
      <c r="AU33" s="224">
        <v>0.47700276859394702</v>
      </c>
      <c r="AV33" s="225">
        <v>-79.420565139029307</v>
      </c>
      <c r="AW33" s="219"/>
      <c r="AX33" s="219"/>
      <c r="AY33" s="227">
        <v>68</v>
      </c>
      <c r="AZ33" s="227">
        <v>94</v>
      </c>
      <c r="BA33" s="218"/>
      <c r="BB33" s="235">
        <v>291.8</v>
      </c>
      <c r="BC33" s="231">
        <v>36.153092954730802</v>
      </c>
      <c r="BD33" s="232" t="s">
        <v>55</v>
      </c>
      <c r="BE33" s="229">
        <v>1.12978415483534</v>
      </c>
      <c r="BF33" s="230">
        <v>9.7588697219413802</v>
      </c>
      <c r="BG33" s="219">
        <v>0.02</v>
      </c>
      <c r="BH33" s="219">
        <v>1.2999999999999999E-2</v>
      </c>
      <c r="BI33" s="227">
        <v>0</v>
      </c>
      <c r="BJ33" s="227">
        <v>19</v>
      </c>
      <c r="BK33" s="220"/>
      <c r="BL33" s="236">
        <v>0.8</v>
      </c>
      <c r="BM33" s="224">
        <v>0.65</v>
      </c>
      <c r="BN33" s="237"/>
      <c r="BO33" s="238">
        <v>0.95</v>
      </c>
      <c r="BP33" s="229">
        <v>1</v>
      </c>
      <c r="BQ33" s="237">
        <v>2.5000000000000001E-3</v>
      </c>
    </row>
    <row r="34" spans="1:69" s="207" customFormat="1" ht="22.35" customHeight="1" x14ac:dyDescent="0.2">
      <c r="A34" s="216" t="s">
        <v>80</v>
      </c>
      <c r="B34" s="216" t="s">
        <v>81</v>
      </c>
      <c r="C34" s="216" t="s">
        <v>86</v>
      </c>
      <c r="D34" s="217">
        <v>1.4323658323333299</v>
      </c>
      <c r="E34" s="218"/>
      <c r="F34" s="219">
        <v>0.01</v>
      </c>
      <c r="G34" s="219">
        <v>0.01</v>
      </c>
      <c r="H34" s="220"/>
      <c r="I34" s="221">
        <v>3</v>
      </c>
      <c r="J34" s="221">
        <v>3</v>
      </c>
      <c r="K34" s="218"/>
      <c r="L34" s="222">
        <v>1280.3933300000001</v>
      </c>
      <c r="M34" s="222">
        <v>132.15737999999999</v>
      </c>
      <c r="N34" s="222">
        <v>1412.55071</v>
      </c>
      <c r="O34" s="217">
        <v>986.16615819364097</v>
      </c>
      <c r="P34" s="223">
        <v>276.94400000000002</v>
      </c>
      <c r="Q34" s="229">
        <v>3.5608865264950298</v>
      </c>
      <c r="R34" s="230">
        <v>979.37055560786405</v>
      </c>
      <c r="S34" s="219">
        <v>0.01</v>
      </c>
      <c r="T34" s="219">
        <v>0.01</v>
      </c>
      <c r="U34" s="226">
        <v>0</v>
      </c>
      <c r="V34" s="227">
        <v>0</v>
      </c>
      <c r="W34" s="218"/>
      <c r="X34" s="226">
        <v>435.25427500000001</v>
      </c>
      <c r="Y34" s="217">
        <v>303.87088631607998</v>
      </c>
      <c r="Z34" s="228">
        <v>573</v>
      </c>
      <c r="AA34" s="224">
        <v>0.53031568292509601</v>
      </c>
      <c r="AB34" s="225">
        <v>-460.99994414428198</v>
      </c>
      <c r="AC34" s="219"/>
      <c r="AD34" s="219"/>
      <c r="AE34" s="227">
        <v>386</v>
      </c>
      <c r="AF34" s="227">
        <v>550</v>
      </c>
      <c r="AG34" s="218"/>
      <c r="AH34" s="231">
        <v>30.3</v>
      </c>
      <c r="AI34" s="217">
        <v>21.1538137227422</v>
      </c>
      <c r="AJ34" s="232" t="s">
        <v>53</v>
      </c>
      <c r="AK34" s="224">
        <v>0.335774820995909</v>
      </c>
      <c r="AL34" s="225">
        <v>-68.241039801203797</v>
      </c>
      <c r="AM34" s="219"/>
      <c r="AN34" s="219"/>
      <c r="AO34" s="227">
        <v>60</v>
      </c>
      <c r="AP34" s="227">
        <v>78</v>
      </c>
      <c r="AQ34" s="218"/>
      <c r="AR34" s="231">
        <v>4.8</v>
      </c>
      <c r="AS34" s="217">
        <v>3.3510992036027298</v>
      </c>
      <c r="AT34" s="232" t="s">
        <v>54</v>
      </c>
      <c r="AU34" s="224">
        <v>0.209443700225171</v>
      </c>
      <c r="AV34" s="225">
        <v>-20.226295822527899</v>
      </c>
      <c r="AW34" s="219"/>
      <c r="AX34" s="219"/>
      <c r="AY34" s="227">
        <v>19</v>
      </c>
      <c r="AZ34" s="227">
        <v>23</v>
      </c>
      <c r="BA34" s="218"/>
      <c r="BB34" s="235">
        <v>27.4</v>
      </c>
      <c r="BC34" s="231">
        <v>19.129191287232299</v>
      </c>
      <c r="BD34" s="232" t="s">
        <v>55</v>
      </c>
      <c r="BE34" s="224">
        <v>0.59778722772600801</v>
      </c>
      <c r="BF34" s="225">
        <v>-22.6525916450559</v>
      </c>
      <c r="BG34" s="219"/>
      <c r="BH34" s="219"/>
      <c r="BI34" s="227">
        <v>19</v>
      </c>
      <c r="BJ34" s="227">
        <v>28</v>
      </c>
      <c r="BK34" s="220"/>
      <c r="BL34" s="236">
        <v>0.8</v>
      </c>
      <c r="BM34" s="233">
        <v>0.81</v>
      </c>
      <c r="BN34" s="237">
        <v>3.7500000000000001E-4</v>
      </c>
      <c r="BO34" s="238">
        <v>0.95</v>
      </c>
      <c r="BP34" s="229">
        <v>1</v>
      </c>
      <c r="BQ34" s="237">
        <v>2.5000000000000001E-3</v>
      </c>
    </row>
    <row r="35" spans="1:69" s="207" customFormat="1" ht="22.35" customHeight="1" x14ac:dyDescent="0.2">
      <c r="A35" s="216" t="s">
        <v>80</v>
      </c>
      <c r="B35" s="216" t="s">
        <v>81</v>
      </c>
      <c r="C35" s="216" t="s">
        <v>87</v>
      </c>
      <c r="D35" s="217">
        <v>2.4192814678888901</v>
      </c>
      <c r="E35" s="218"/>
      <c r="F35" s="219">
        <v>4.7E-2</v>
      </c>
      <c r="G35" s="219">
        <v>2.9000000000000001E-2</v>
      </c>
      <c r="H35" s="220"/>
      <c r="I35" s="221">
        <v>4</v>
      </c>
      <c r="J35" s="221">
        <v>4</v>
      </c>
      <c r="K35" s="218"/>
      <c r="L35" s="222">
        <v>1550.0249899999999</v>
      </c>
      <c r="M35" s="222">
        <v>667.13251000000002</v>
      </c>
      <c r="N35" s="222">
        <v>2217.1574999999998</v>
      </c>
      <c r="O35" s="217">
        <v>916.45289290573305</v>
      </c>
      <c r="P35" s="223">
        <v>237.21100000000001</v>
      </c>
      <c r="Q35" s="229">
        <v>3.8634502316744701</v>
      </c>
      <c r="R35" s="230">
        <v>1590.4803475029</v>
      </c>
      <c r="S35" s="219">
        <v>0.01</v>
      </c>
      <c r="T35" s="219">
        <v>0.01</v>
      </c>
      <c r="U35" s="226">
        <v>0</v>
      </c>
      <c r="V35" s="227">
        <v>0</v>
      </c>
      <c r="W35" s="218"/>
      <c r="X35" s="226">
        <v>1571.2996350000001</v>
      </c>
      <c r="Y35" s="217">
        <v>649.49021263373095</v>
      </c>
      <c r="Z35" s="228">
        <v>573</v>
      </c>
      <c r="AA35" s="229">
        <v>1.1334907724847001</v>
      </c>
      <c r="AB35" s="230">
        <v>57.516512038435401</v>
      </c>
      <c r="AC35" s="219">
        <v>0.02</v>
      </c>
      <c r="AD35" s="219">
        <v>1.2999999999999999E-2</v>
      </c>
      <c r="AE35" s="227">
        <v>0</v>
      </c>
      <c r="AF35" s="227">
        <v>93</v>
      </c>
      <c r="AG35" s="218"/>
      <c r="AH35" s="231">
        <v>161.69999999999999</v>
      </c>
      <c r="AI35" s="217">
        <v>66.838026970504799</v>
      </c>
      <c r="AJ35" s="232" t="s">
        <v>53</v>
      </c>
      <c r="AK35" s="233">
        <v>1.0609210630238901</v>
      </c>
      <c r="AL35" s="234">
        <v>-4.7368878648840704</v>
      </c>
      <c r="AM35" s="219">
        <v>1.7000000000000001E-2</v>
      </c>
      <c r="AN35" s="219">
        <v>6.0000000000000001E-3</v>
      </c>
      <c r="AO35" s="227">
        <v>0</v>
      </c>
      <c r="AP35" s="227">
        <v>22</v>
      </c>
      <c r="AQ35" s="218"/>
      <c r="AR35" s="231">
        <v>24.4</v>
      </c>
      <c r="AS35" s="217">
        <v>10.0856391965387</v>
      </c>
      <c r="AT35" s="232" t="s">
        <v>54</v>
      </c>
      <c r="AU35" s="224">
        <v>0.630352449783672</v>
      </c>
      <c r="AV35" s="225">
        <v>-17.869685806954699</v>
      </c>
      <c r="AW35" s="219"/>
      <c r="AX35" s="219"/>
      <c r="AY35" s="227">
        <v>15</v>
      </c>
      <c r="AZ35" s="227">
        <v>23</v>
      </c>
      <c r="BA35" s="218"/>
      <c r="BB35" s="235">
        <v>70.2</v>
      </c>
      <c r="BC35" s="231">
        <v>29.0168799834845</v>
      </c>
      <c r="BD35" s="232" t="s">
        <v>55</v>
      </c>
      <c r="BE35" s="239">
        <v>0.90677749948388897</v>
      </c>
      <c r="BF35" s="222">
        <v>-14.3393716139094</v>
      </c>
      <c r="BG35" s="219">
        <v>0</v>
      </c>
      <c r="BH35" s="219"/>
      <c r="BI35" s="227">
        <v>8</v>
      </c>
      <c r="BJ35" s="227">
        <v>23</v>
      </c>
      <c r="BK35" s="220"/>
      <c r="BL35" s="236">
        <v>0.8</v>
      </c>
      <c r="BM35" s="224">
        <v>0.64</v>
      </c>
      <c r="BN35" s="237"/>
      <c r="BO35" s="238">
        <v>0.95</v>
      </c>
      <c r="BP35" s="229">
        <v>1</v>
      </c>
      <c r="BQ35" s="237">
        <v>2.5000000000000001E-3</v>
      </c>
    </row>
    <row r="36" spans="1:69" s="207" customFormat="1" ht="22.35" customHeight="1" x14ac:dyDescent="0.2">
      <c r="A36" s="216" t="s">
        <v>80</v>
      </c>
      <c r="B36" s="216" t="s">
        <v>81</v>
      </c>
      <c r="C36" s="216" t="s">
        <v>88</v>
      </c>
      <c r="D36" s="217">
        <v>2.4492784859999999</v>
      </c>
      <c r="E36" s="218"/>
      <c r="F36" s="219">
        <v>0.03</v>
      </c>
      <c r="G36" s="219">
        <v>2.8000000000000001E-2</v>
      </c>
      <c r="H36" s="220"/>
      <c r="I36" s="221">
        <v>3</v>
      </c>
      <c r="J36" s="221">
        <v>3</v>
      </c>
      <c r="K36" s="218"/>
      <c r="L36" s="222">
        <v>1200.03495</v>
      </c>
      <c r="M36" s="222">
        <v>2134.3454400000001</v>
      </c>
      <c r="N36" s="222">
        <v>3334.3803899999998</v>
      </c>
      <c r="O36" s="217">
        <v>1361.3725058457901</v>
      </c>
      <c r="P36" s="223">
        <v>282.02199999999999</v>
      </c>
      <c r="Q36" s="229">
        <v>4.8271854885285199</v>
      </c>
      <c r="R36" s="230">
        <v>2580.0809344408699</v>
      </c>
      <c r="S36" s="219">
        <v>0.01</v>
      </c>
      <c r="T36" s="219">
        <v>0.01</v>
      </c>
      <c r="U36" s="226">
        <v>0</v>
      </c>
      <c r="V36" s="227">
        <v>0</v>
      </c>
      <c r="W36" s="218"/>
      <c r="X36" s="226">
        <v>1182.5286000000001</v>
      </c>
      <c r="Y36" s="217">
        <v>482.80691916386701</v>
      </c>
      <c r="Z36" s="228">
        <v>573</v>
      </c>
      <c r="AA36" s="239">
        <v>0.84259497236276903</v>
      </c>
      <c r="AB36" s="222">
        <v>-350.024137145976</v>
      </c>
      <c r="AC36" s="219"/>
      <c r="AD36" s="219"/>
      <c r="AE36" s="227">
        <v>221</v>
      </c>
      <c r="AF36" s="227">
        <v>502</v>
      </c>
      <c r="AG36" s="218"/>
      <c r="AH36" s="231">
        <v>139.9</v>
      </c>
      <c r="AI36" s="217">
        <v>57.118862064752598</v>
      </c>
      <c r="AJ36" s="232" t="s">
        <v>53</v>
      </c>
      <c r="AK36" s="239">
        <v>0.90664860420242199</v>
      </c>
      <c r="AL36" s="222">
        <v>-28.600562722856001</v>
      </c>
      <c r="AM36" s="219">
        <v>0</v>
      </c>
      <c r="AN36" s="219"/>
      <c r="AO36" s="227">
        <v>15</v>
      </c>
      <c r="AP36" s="227">
        <v>46</v>
      </c>
      <c r="AQ36" s="218"/>
      <c r="AR36" s="231">
        <v>15.6</v>
      </c>
      <c r="AS36" s="217">
        <v>6.3692226462483204</v>
      </c>
      <c r="AT36" s="232" t="s">
        <v>54</v>
      </c>
      <c r="AU36" s="224">
        <v>0.39807641539052002</v>
      </c>
      <c r="AV36" s="225">
        <v>-27.193793707392</v>
      </c>
      <c r="AW36" s="219"/>
      <c r="AX36" s="219"/>
      <c r="AY36" s="227">
        <v>24</v>
      </c>
      <c r="AZ36" s="227">
        <v>32</v>
      </c>
      <c r="BA36" s="218"/>
      <c r="BB36" s="235">
        <v>92.6</v>
      </c>
      <c r="BC36" s="231">
        <v>37.807052374525298</v>
      </c>
      <c r="BD36" s="232" t="s">
        <v>55</v>
      </c>
      <c r="BE36" s="229">
        <v>1.18147038670391</v>
      </c>
      <c r="BF36" s="230">
        <v>7.0124125852160102</v>
      </c>
      <c r="BG36" s="219">
        <v>0.02</v>
      </c>
      <c r="BH36" s="219">
        <v>1.7999999999999999E-2</v>
      </c>
      <c r="BI36" s="227">
        <v>0</v>
      </c>
      <c r="BJ36" s="227">
        <v>2</v>
      </c>
      <c r="BK36" s="220"/>
      <c r="BL36" s="236">
        <v>0.8</v>
      </c>
      <c r="BM36" s="239">
        <v>0.76</v>
      </c>
      <c r="BN36" s="237"/>
      <c r="BO36" s="238">
        <v>0.95</v>
      </c>
      <c r="BP36" s="229">
        <v>1</v>
      </c>
      <c r="BQ36" s="237">
        <v>2.5000000000000001E-3</v>
      </c>
    </row>
    <row r="37" spans="1:69" s="207" customFormat="1" ht="22.35" customHeight="1" x14ac:dyDescent="0.2">
      <c r="A37" s="216" t="s">
        <v>80</v>
      </c>
      <c r="B37" s="216" t="s">
        <v>81</v>
      </c>
      <c r="C37" s="216" t="s">
        <v>89</v>
      </c>
      <c r="D37" s="217">
        <v>3.7485407748888901</v>
      </c>
      <c r="E37" s="218"/>
      <c r="F37" s="219">
        <v>2.8000000000000001E-2</v>
      </c>
      <c r="G37" s="219">
        <v>1.7000000000000001E-2</v>
      </c>
      <c r="H37" s="220"/>
      <c r="I37" s="221">
        <v>2</v>
      </c>
      <c r="J37" s="221">
        <v>2</v>
      </c>
      <c r="K37" s="218"/>
      <c r="L37" s="222">
        <v>1043.1998000000001</v>
      </c>
      <c r="M37" s="222">
        <v>1964.2833000000001</v>
      </c>
      <c r="N37" s="222">
        <v>3007.4830999999999</v>
      </c>
      <c r="O37" s="217">
        <v>802.30769267519702</v>
      </c>
      <c r="P37" s="223">
        <v>231.66</v>
      </c>
      <c r="Q37" s="229">
        <v>3.4632983366796002</v>
      </c>
      <c r="R37" s="230">
        <v>2059.2045441454502</v>
      </c>
      <c r="S37" s="219">
        <v>0.01</v>
      </c>
      <c r="T37" s="219">
        <v>0.01</v>
      </c>
      <c r="U37" s="226">
        <v>0</v>
      </c>
      <c r="V37" s="227">
        <v>0</v>
      </c>
      <c r="W37" s="218"/>
      <c r="X37" s="226">
        <v>2298.4796999999999</v>
      </c>
      <c r="Y37" s="217">
        <v>613.16651946199795</v>
      </c>
      <c r="Z37" s="228">
        <v>573</v>
      </c>
      <c r="AA37" s="233">
        <v>1.0700986378045301</v>
      </c>
      <c r="AB37" s="234">
        <v>-47.042239500376603</v>
      </c>
      <c r="AC37" s="219">
        <v>1.7999999999999999E-2</v>
      </c>
      <c r="AD37" s="219">
        <v>7.0000000000000001E-3</v>
      </c>
      <c r="AE37" s="227">
        <v>0</v>
      </c>
      <c r="AF37" s="227">
        <v>280</v>
      </c>
      <c r="AG37" s="218"/>
      <c r="AH37" s="231">
        <v>195.2</v>
      </c>
      <c r="AI37" s="217">
        <v>52.073596559926997</v>
      </c>
      <c r="AJ37" s="232" t="s">
        <v>53</v>
      </c>
      <c r="AK37" s="239">
        <v>0.826565024760745</v>
      </c>
      <c r="AL37" s="222">
        <v>-62.684611149256099</v>
      </c>
      <c r="AM37" s="219"/>
      <c r="AN37" s="219"/>
      <c r="AO37" s="227">
        <v>41</v>
      </c>
      <c r="AP37" s="227">
        <v>89</v>
      </c>
      <c r="AQ37" s="218"/>
      <c r="AR37" s="231">
        <v>18.100000000000001</v>
      </c>
      <c r="AS37" s="217">
        <v>4.8285455826571599</v>
      </c>
      <c r="AT37" s="232" t="s">
        <v>54</v>
      </c>
      <c r="AU37" s="224">
        <v>0.301784098916072</v>
      </c>
      <c r="AV37" s="225">
        <v>-47.394504418858702</v>
      </c>
      <c r="AW37" s="219"/>
      <c r="AX37" s="219"/>
      <c r="AY37" s="227">
        <v>42</v>
      </c>
      <c r="AZ37" s="227">
        <v>54</v>
      </c>
      <c r="BA37" s="218"/>
      <c r="BB37" s="235">
        <v>95</v>
      </c>
      <c r="BC37" s="231">
        <v>25.343195047095598</v>
      </c>
      <c r="BD37" s="232" t="s">
        <v>55</v>
      </c>
      <c r="BE37" s="239">
        <v>0.791974845221737</v>
      </c>
      <c r="BF37" s="222">
        <v>-35.9890088377174</v>
      </c>
      <c r="BG37" s="219"/>
      <c r="BH37" s="219"/>
      <c r="BI37" s="227">
        <v>25</v>
      </c>
      <c r="BJ37" s="227">
        <v>49</v>
      </c>
      <c r="BK37" s="220"/>
      <c r="BL37" s="236">
        <v>0.8</v>
      </c>
      <c r="BM37" s="224">
        <v>0.67</v>
      </c>
      <c r="BN37" s="237"/>
      <c r="BO37" s="238">
        <v>0.95</v>
      </c>
      <c r="BP37" s="239">
        <v>0.94</v>
      </c>
      <c r="BQ37" s="237"/>
    </row>
    <row r="38" spans="1:69" s="207" customFormat="1" ht="22.35" customHeight="1" x14ac:dyDescent="0.2">
      <c r="A38" s="216" t="s">
        <v>80</v>
      </c>
      <c r="B38" s="216" t="s">
        <v>81</v>
      </c>
      <c r="C38" s="216" t="s">
        <v>90</v>
      </c>
      <c r="D38" s="217">
        <v>5.80392696766667</v>
      </c>
      <c r="E38" s="218"/>
      <c r="F38" s="219">
        <v>2.1000000000000001E-2</v>
      </c>
      <c r="G38" s="219">
        <v>1.0999999999999999E-2</v>
      </c>
      <c r="H38" s="220"/>
      <c r="I38" s="221">
        <v>2</v>
      </c>
      <c r="J38" s="221">
        <v>2</v>
      </c>
      <c r="K38" s="218"/>
      <c r="L38" s="222">
        <v>788.31001000000003</v>
      </c>
      <c r="M38" s="222">
        <v>1179.4201599999999</v>
      </c>
      <c r="N38" s="222">
        <v>1967.73017</v>
      </c>
      <c r="O38" s="217">
        <v>339.03427471815297</v>
      </c>
      <c r="P38" s="223">
        <v>236.59800000000001</v>
      </c>
      <c r="Q38" s="229">
        <v>1.4329549477094199</v>
      </c>
      <c r="R38" s="230">
        <v>468.19848613596901</v>
      </c>
      <c r="S38" s="219">
        <v>0.01</v>
      </c>
      <c r="T38" s="219">
        <v>0.01</v>
      </c>
      <c r="U38" s="226">
        <v>0</v>
      </c>
      <c r="V38" s="227">
        <v>0</v>
      </c>
      <c r="W38" s="218"/>
      <c r="X38" s="226">
        <v>3361.0334050000001</v>
      </c>
      <c r="Y38" s="217">
        <v>579.09643310884496</v>
      </c>
      <c r="Z38" s="228">
        <v>573</v>
      </c>
      <c r="AA38" s="233">
        <v>1.01063949931736</v>
      </c>
      <c r="AB38" s="234">
        <v>-270.57656150051798</v>
      </c>
      <c r="AC38" s="219">
        <v>1.0999999999999999E-2</v>
      </c>
      <c r="AD38" s="219">
        <v>1E-3</v>
      </c>
      <c r="AE38" s="227">
        <v>0</v>
      </c>
      <c r="AF38" s="227">
        <v>630</v>
      </c>
      <c r="AG38" s="218"/>
      <c r="AH38" s="231">
        <v>268.75</v>
      </c>
      <c r="AI38" s="217">
        <v>46.304855574026</v>
      </c>
      <c r="AJ38" s="232" t="s">
        <v>53</v>
      </c>
      <c r="AK38" s="239">
        <v>0.734997707524223</v>
      </c>
      <c r="AL38" s="222">
        <v>-130.53695966759599</v>
      </c>
      <c r="AM38" s="219"/>
      <c r="AN38" s="219"/>
      <c r="AO38" s="227">
        <v>97</v>
      </c>
      <c r="AP38" s="227">
        <v>171</v>
      </c>
      <c r="AQ38" s="218"/>
      <c r="AR38" s="231">
        <v>40.5</v>
      </c>
      <c r="AS38" s="217">
        <v>6.9780340492950899</v>
      </c>
      <c r="AT38" s="232" t="s">
        <v>54</v>
      </c>
      <c r="AU38" s="224">
        <v>0.43612712808094301</v>
      </c>
      <c r="AV38" s="225">
        <v>-60.906211979072097</v>
      </c>
      <c r="AW38" s="219"/>
      <c r="AX38" s="219"/>
      <c r="AY38" s="227">
        <v>53</v>
      </c>
      <c r="AZ38" s="227">
        <v>71</v>
      </c>
      <c r="BA38" s="218"/>
      <c r="BB38" s="235">
        <v>165.2</v>
      </c>
      <c r="BC38" s="231">
        <v>28.463487035643201</v>
      </c>
      <c r="BD38" s="232" t="s">
        <v>55</v>
      </c>
      <c r="BE38" s="239">
        <v>0.88948396986384903</v>
      </c>
      <c r="BF38" s="222">
        <v>-37.612423958144099</v>
      </c>
      <c r="BG38" s="219"/>
      <c r="BH38" s="219"/>
      <c r="BI38" s="227">
        <v>21</v>
      </c>
      <c r="BJ38" s="227">
        <v>58</v>
      </c>
      <c r="BK38" s="220"/>
      <c r="BL38" s="236">
        <v>0.8</v>
      </c>
      <c r="BM38" s="224">
        <v>0.68</v>
      </c>
      <c r="BN38" s="237"/>
      <c r="BO38" s="238">
        <v>0.95</v>
      </c>
      <c r="BP38" s="239">
        <v>0.88</v>
      </c>
      <c r="BQ38" s="237"/>
    </row>
    <row r="39" spans="1:69" s="207" customFormat="1" ht="22.35" customHeight="1" x14ac:dyDescent="0.2">
      <c r="A39" s="216" t="s">
        <v>80</v>
      </c>
      <c r="B39" s="216" t="s">
        <v>81</v>
      </c>
      <c r="C39" s="216" t="s">
        <v>91</v>
      </c>
      <c r="D39" s="217">
        <v>2.9206349206666702</v>
      </c>
      <c r="E39" s="218"/>
      <c r="F39" s="219">
        <v>2.9000000000000001E-2</v>
      </c>
      <c r="G39" s="219">
        <v>1.7999999999999999E-2</v>
      </c>
      <c r="H39" s="220"/>
      <c r="I39" s="221">
        <v>3</v>
      </c>
      <c r="J39" s="221">
        <v>3</v>
      </c>
      <c r="K39" s="218"/>
      <c r="L39" s="222">
        <v>1574.1693299999999</v>
      </c>
      <c r="M39" s="222">
        <v>1743.8178499999999</v>
      </c>
      <c r="N39" s="222">
        <v>3317.9871800000001</v>
      </c>
      <c r="O39" s="217">
        <v>1136.04995835722</v>
      </c>
      <c r="P39" s="223">
        <v>240.53200000000001</v>
      </c>
      <c r="Q39" s="229">
        <v>4.7230720168510603</v>
      </c>
      <c r="R39" s="230">
        <v>2550.8504546583299</v>
      </c>
      <c r="S39" s="219">
        <v>0.01</v>
      </c>
      <c r="T39" s="219">
        <v>0.01</v>
      </c>
      <c r="U39" s="226">
        <v>0</v>
      </c>
      <c r="V39" s="227">
        <v>0</v>
      </c>
      <c r="W39" s="218"/>
      <c r="X39" s="226">
        <v>1218.8441350000001</v>
      </c>
      <c r="Y39" s="217">
        <v>417.32163317481201</v>
      </c>
      <c r="Z39" s="228">
        <v>573</v>
      </c>
      <c r="AA39" s="239">
        <v>0.72831000554068404</v>
      </c>
      <c r="AB39" s="222">
        <v>-608.64386501986598</v>
      </c>
      <c r="AC39" s="219"/>
      <c r="AD39" s="219"/>
      <c r="AE39" s="227">
        <v>455</v>
      </c>
      <c r="AF39" s="227">
        <v>790</v>
      </c>
      <c r="AG39" s="218"/>
      <c r="AH39" s="231">
        <v>142.75</v>
      </c>
      <c r="AI39" s="217">
        <v>48.876358695120899</v>
      </c>
      <c r="AJ39" s="232" t="s">
        <v>53</v>
      </c>
      <c r="AK39" s="239">
        <v>0.77581521738287096</v>
      </c>
      <c r="AL39" s="222">
        <v>-58.178000002184199</v>
      </c>
      <c r="AM39" s="219"/>
      <c r="AN39" s="219"/>
      <c r="AO39" s="227">
        <v>42</v>
      </c>
      <c r="AP39" s="227">
        <v>79</v>
      </c>
      <c r="AQ39" s="218"/>
      <c r="AR39" s="231">
        <v>21.1</v>
      </c>
      <c r="AS39" s="217">
        <v>7.2244565216606</v>
      </c>
      <c r="AT39" s="232" t="s">
        <v>54</v>
      </c>
      <c r="AU39" s="224">
        <v>0.451528532603787</v>
      </c>
      <c r="AV39" s="225">
        <v>-29.929333333888099</v>
      </c>
      <c r="AW39" s="219"/>
      <c r="AX39" s="219"/>
      <c r="AY39" s="227">
        <v>26</v>
      </c>
      <c r="AZ39" s="227">
        <v>35</v>
      </c>
      <c r="BA39" s="218"/>
      <c r="BB39" s="235">
        <v>101.2</v>
      </c>
      <c r="BC39" s="231">
        <v>34.649999999623397</v>
      </c>
      <c r="BD39" s="232" t="s">
        <v>55</v>
      </c>
      <c r="BE39" s="233">
        <v>1.08281249998823</v>
      </c>
      <c r="BF39" s="234">
        <v>-0.85866666777610601</v>
      </c>
      <c r="BG39" s="219">
        <v>1.9E-2</v>
      </c>
      <c r="BH39" s="219">
        <v>8.0000000000000002E-3</v>
      </c>
      <c r="BI39" s="227">
        <v>0</v>
      </c>
      <c r="BJ39" s="227">
        <v>11</v>
      </c>
      <c r="BK39" s="220"/>
      <c r="BL39" s="236">
        <v>0.8</v>
      </c>
      <c r="BM39" s="224">
        <v>0.69</v>
      </c>
      <c r="BN39" s="237"/>
      <c r="BO39" s="238">
        <v>0.95</v>
      </c>
      <c r="BP39" s="229">
        <v>1</v>
      </c>
      <c r="BQ39" s="237">
        <v>2.5000000000000001E-3</v>
      </c>
    </row>
    <row r="40" spans="1:69" s="207" customFormat="1" ht="22.35" customHeight="1" x14ac:dyDescent="0.2">
      <c r="A40" s="216" t="s">
        <v>80</v>
      </c>
      <c r="B40" s="216" t="s">
        <v>81</v>
      </c>
      <c r="C40" s="216" t="s">
        <v>92</v>
      </c>
      <c r="D40" s="217">
        <v>4.1371847502222199</v>
      </c>
      <c r="E40" s="218"/>
      <c r="F40" s="219">
        <v>3.9E-2</v>
      </c>
      <c r="G40" s="219">
        <v>0.03</v>
      </c>
      <c r="H40" s="220"/>
      <c r="I40" s="221">
        <v>4</v>
      </c>
      <c r="J40" s="221">
        <v>3</v>
      </c>
      <c r="K40" s="218"/>
      <c r="L40" s="222">
        <v>1609.9491499999999</v>
      </c>
      <c r="M40" s="222">
        <v>516.51944000000003</v>
      </c>
      <c r="N40" s="222">
        <v>2126.4685899999999</v>
      </c>
      <c r="O40" s="217">
        <v>513.98927492560699</v>
      </c>
      <c r="P40" s="223">
        <v>228.25</v>
      </c>
      <c r="Q40" s="229">
        <v>2.25186976966312</v>
      </c>
      <c r="R40" s="230">
        <v>1095.27942819186</v>
      </c>
      <c r="S40" s="219">
        <v>0.01</v>
      </c>
      <c r="T40" s="219">
        <v>0.01</v>
      </c>
      <c r="U40" s="226">
        <v>0</v>
      </c>
      <c r="V40" s="227">
        <v>0</v>
      </c>
      <c r="W40" s="218"/>
      <c r="X40" s="226">
        <v>2837.3960149999998</v>
      </c>
      <c r="Y40" s="217">
        <v>685.82772738094297</v>
      </c>
      <c r="Z40" s="228">
        <v>573</v>
      </c>
      <c r="AA40" s="229">
        <v>1.1969070285880301</v>
      </c>
      <c r="AB40" s="230">
        <v>248.69332182995399</v>
      </c>
      <c r="AC40" s="219">
        <v>0.02</v>
      </c>
      <c r="AD40" s="219">
        <v>0.02</v>
      </c>
      <c r="AE40" s="227">
        <v>0</v>
      </c>
      <c r="AF40" s="227">
        <v>8</v>
      </c>
      <c r="AG40" s="218"/>
      <c r="AH40" s="231">
        <v>177.3</v>
      </c>
      <c r="AI40" s="217">
        <v>42.855229027535401</v>
      </c>
      <c r="AJ40" s="232" t="s">
        <v>53</v>
      </c>
      <c r="AK40" s="224">
        <v>0.68024173059579895</v>
      </c>
      <c r="AL40" s="225">
        <v>-107.321762076288</v>
      </c>
      <c r="AM40" s="219"/>
      <c r="AN40" s="219"/>
      <c r="AO40" s="227">
        <v>84</v>
      </c>
      <c r="AP40" s="227">
        <v>136</v>
      </c>
      <c r="AQ40" s="218"/>
      <c r="AR40" s="231">
        <v>28.8</v>
      </c>
      <c r="AS40" s="217">
        <v>6.96125547655397</v>
      </c>
      <c r="AT40" s="232" t="s">
        <v>54</v>
      </c>
      <c r="AU40" s="224">
        <v>0.43507846728462302</v>
      </c>
      <c r="AV40" s="225">
        <v>-43.484891955882603</v>
      </c>
      <c r="AW40" s="219"/>
      <c r="AX40" s="219"/>
      <c r="AY40" s="227">
        <v>38</v>
      </c>
      <c r="AZ40" s="227">
        <v>51</v>
      </c>
      <c r="BA40" s="218"/>
      <c r="BB40" s="235">
        <v>131</v>
      </c>
      <c r="BC40" s="231">
        <v>31.664044007936401</v>
      </c>
      <c r="BD40" s="232" t="s">
        <v>55</v>
      </c>
      <c r="BE40" s="233">
        <v>0.98950137524801396</v>
      </c>
      <c r="BF40" s="234">
        <v>-13.569783911765301</v>
      </c>
      <c r="BG40" s="219">
        <v>8.9999999999999993E-3</v>
      </c>
      <c r="BH40" s="219"/>
      <c r="BI40" s="227">
        <v>2</v>
      </c>
      <c r="BJ40" s="227">
        <v>28</v>
      </c>
      <c r="BK40" s="220"/>
      <c r="BL40" s="236">
        <v>0.8</v>
      </c>
      <c r="BM40" s="239">
        <v>0.72</v>
      </c>
      <c r="BN40" s="237"/>
      <c r="BO40" s="238">
        <v>0.95</v>
      </c>
      <c r="BP40" s="229">
        <v>1</v>
      </c>
      <c r="BQ40" s="237">
        <v>2.5000000000000001E-3</v>
      </c>
    </row>
    <row r="41" spans="1:69" s="207" customFormat="1" ht="22.35" customHeight="1" x14ac:dyDescent="0.2">
      <c r="A41" s="216" t="s">
        <v>80</v>
      </c>
      <c r="B41" s="216" t="s">
        <v>81</v>
      </c>
      <c r="C41" s="216" t="s">
        <v>93</v>
      </c>
      <c r="D41" s="217">
        <v>7.6785695595555596</v>
      </c>
      <c r="E41" s="218"/>
      <c r="F41" s="219">
        <v>0.04</v>
      </c>
      <c r="G41" s="219">
        <v>2.5999999999999999E-2</v>
      </c>
      <c r="H41" s="220"/>
      <c r="I41" s="221">
        <v>4</v>
      </c>
      <c r="J41" s="221">
        <v>4</v>
      </c>
      <c r="K41" s="218"/>
      <c r="L41" s="222">
        <v>5600.0351899999996</v>
      </c>
      <c r="M41" s="222">
        <v>2471.9359100000001</v>
      </c>
      <c r="N41" s="222">
        <v>8071.9710999999998</v>
      </c>
      <c r="O41" s="217">
        <v>1051.2337014587399</v>
      </c>
      <c r="P41" s="223">
        <v>287.5</v>
      </c>
      <c r="Q41" s="229">
        <v>3.6564650485521399</v>
      </c>
      <c r="R41" s="230">
        <v>5661.2841867775296</v>
      </c>
      <c r="S41" s="219">
        <v>0.01</v>
      </c>
      <c r="T41" s="219">
        <v>0.01</v>
      </c>
      <c r="U41" s="226">
        <v>0</v>
      </c>
      <c r="V41" s="227">
        <v>0</v>
      </c>
      <c r="W41" s="218"/>
      <c r="X41" s="226">
        <v>5070.1574049999999</v>
      </c>
      <c r="Y41" s="217">
        <v>660.29972974464602</v>
      </c>
      <c r="Z41" s="228">
        <v>573</v>
      </c>
      <c r="AA41" s="229">
        <v>1.1523555492925801</v>
      </c>
      <c r="AB41" s="230">
        <v>265.55357447313298</v>
      </c>
      <c r="AC41" s="219">
        <v>0.02</v>
      </c>
      <c r="AD41" s="219">
        <v>1.4999999999999999E-2</v>
      </c>
      <c r="AE41" s="227">
        <v>0</v>
      </c>
      <c r="AF41" s="227">
        <v>210</v>
      </c>
      <c r="AG41" s="218"/>
      <c r="AH41" s="231">
        <v>322.05</v>
      </c>
      <c r="AI41" s="217">
        <v>41.941405557657099</v>
      </c>
      <c r="AJ41" s="232" t="s">
        <v>53</v>
      </c>
      <c r="AK41" s="224">
        <v>0.66573659615328695</v>
      </c>
      <c r="AL41" s="225">
        <v>-206.204871419184</v>
      </c>
      <c r="AM41" s="219"/>
      <c r="AN41" s="219"/>
      <c r="AO41" s="227">
        <v>162</v>
      </c>
      <c r="AP41" s="227">
        <v>259</v>
      </c>
      <c r="AQ41" s="218"/>
      <c r="AR41" s="231">
        <v>73.400000000000006</v>
      </c>
      <c r="AS41" s="217">
        <v>9.5590720941842307</v>
      </c>
      <c r="AT41" s="232" t="s">
        <v>54</v>
      </c>
      <c r="AU41" s="224">
        <v>0.59744200588651397</v>
      </c>
      <c r="AV41" s="225">
        <v>-60.759967344554802</v>
      </c>
      <c r="AW41" s="219"/>
      <c r="AX41" s="219"/>
      <c r="AY41" s="227">
        <v>50</v>
      </c>
      <c r="AZ41" s="227">
        <v>75</v>
      </c>
      <c r="BA41" s="218"/>
      <c r="BB41" s="235">
        <v>246</v>
      </c>
      <c r="BC41" s="231">
        <v>32.037217100399502</v>
      </c>
      <c r="BD41" s="232" t="s">
        <v>55</v>
      </c>
      <c r="BE41" s="233">
        <v>1.00116303438748</v>
      </c>
      <c r="BF41" s="234">
        <v>-22.319934689109498</v>
      </c>
      <c r="BG41" s="219">
        <v>0.01</v>
      </c>
      <c r="BH41" s="219">
        <v>1E-3</v>
      </c>
      <c r="BI41" s="227">
        <v>0</v>
      </c>
      <c r="BJ41" s="227">
        <v>49</v>
      </c>
      <c r="BK41" s="220"/>
      <c r="BL41" s="236">
        <v>0.8</v>
      </c>
      <c r="BM41" s="239">
        <v>0.71</v>
      </c>
      <c r="BN41" s="237"/>
      <c r="BO41" s="238">
        <v>0.95</v>
      </c>
      <c r="BP41" s="233">
        <v>0.97</v>
      </c>
      <c r="BQ41" s="237">
        <v>1E-3</v>
      </c>
    </row>
    <row r="42" spans="1:69" s="207" customFormat="1" ht="22.35" customHeight="1" x14ac:dyDescent="0.2">
      <c r="A42" s="216" t="s">
        <v>80</v>
      </c>
      <c r="B42" s="216" t="s">
        <v>81</v>
      </c>
      <c r="C42" s="216" t="s">
        <v>94</v>
      </c>
      <c r="D42" s="217">
        <v>2.4205745912222199</v>
      </c>
      <c r="E42" s="218"/>
      <c r="F42" s="219">
        <v>0.01</v>
      </c>
      <c r="G42" s="219">
        <v>0.01</v>
      </c>
      <c r="H42" s="220"/>
      <c r="I42" s="221">
        <v>2</v>
      </c>
      <c r="J42" s="221">
        <v>2</v>
      </c>
      <c r="K42" s="218"/>
      <c r="L42" s="222">
        <v>1286.5758000000001</v>
      </c>
      <c r="M42" s="222">
        <v>1128.0840000000001</v>
      </c>
      <c r="N42" s="222">
        <v>2414.6597999999999</v>
      </c>
      <c r="O42" s="217">
        <v>997.556451578203</v>
      </c>
      <c r="P42" s="223">
        <v>276.94400000000002</v>
      </c>
      <c r="Q42" s="229">
        <v>3.6020150340076098</v>
      </c>
      <c r="R42" s="230">
        <v>1682.6227383261401</v>
      </c>
      <c r="S42" s="219">
        <v>0.01</v>
      </c>
      <c r="T42" s="219">
        <v>0.01</v>
      </c>
      <c r="U42" s="226">
        <v>0</v>
      </c>
      <c r="V42" s="227">
        <v>0</v>
      </c>
      <c r="W42" s="218"/>
      <c r="X42" s="226">
        <v>1184.9787899999999</v>
      </c>
      <c r="Y42" s="217">
        <v>489.54442234381497</v>
      </c>
      <c r="Z42" s="228">
        <v>573</v>
      </c>
      <c r="AA42" s="239">
        <v>0.85435326761573405</v>
      </c>
      <c r="AB42" s="222">
        <v>-329.61346092120198</v>
      </c>
      <c r="AC42" s="219"/>
      <c r="AD42" s="219"/>
      <c r="AE42" s="227">
        <v>203</v>
      </c>
      <c r="AF42" s="227">
        <v>480</v>
      </c>
      <c r="AG42" s="218"/>
      <c r="AH42" s="231">
        <v>100.35</v>
      </c>
      <c r="AI42" s="217">
        <v>41.457098807820699</v>
      </c>
      <c r="AJ42" s="232" t="s">
        <v>53</v>
      </c>
      <c r="AK42" s="224">
        <v>0.65804918742572605</v>
      </c>
      <c r="AL42" s="225">
        <v>-66.175849577723795</v>
      </c>
      <c r="AM42" s="219"/>
      <c r="AN42" s="219"/>
      <c r="AO42" s="227">
        <v>53</v>
      </c>
      <c r="AP42" s="227">
        <v>83</v>
      </c>
      <c r="AQ42" s="218"/>
      <c r="AR42" s="231">
        <v>9.6</v>
      </c>
      <c r="AS42" s="217">
        <v>3.96600048385729</v>
      </c>
      <c r="AT42" s="232" t="s">
        <v>54</v>
      </c>
      <c r="AU42" s="224">
        <v>0.24787503024108101</v>
      </c>
      <c r="AV42" s="225">
        <v>-32.692279257834599</v>
      </c>
      <c r="AW42" s="219"/>
      <c r="AX42" s="219"/>
      <c r="AY42" s="227">
        <v>30</v>
      </c>
      <c r="AZ42" s="227">
        <v>37</v>
      </c>
      <c r="BA42" s="218"/>
      <c r="BB42" s="235">
        <v>63.6</v>
      </c>
      <c r="BC42" s="231">
        <v>26.2747532055545</v>
      </c>
      <c r="BD42" s="232" t="s">
        <v>55</v>
      </c>
      <c r="BE42" s="239">
        <v>0.82108603767358002</v>
      </c>
      <c r="BF42" s="222">
        <v>-20.984558515669299</v>
      </c>
      <c r="BG42" s="219"/>
      <c r="BH42" s="219"/>
      <c r="BI42" s="227">
        <v>14</v>
      </c>
      <c r="BJ42" s="227">
        <v>30</v>
      </c>
      <c r="BK42" s="220"/>
      <c r="BL42" s="236">
        <v>0.8</v>
      </c>
      <c r="BM42" s="239">
        <v>0.75</v>
      </c>
      <c r="BN42" s="237"/>
      <c r="BO42" s="238">
        <v>0.95</v>
      </c>
      <c r="BP42" s="229">
        <v>1</v>
      </c>
      <c r="BQ42" s="237">
        <v>2.5000000000000001E-3</v>
      </c>
    </row>
    <row r="43" spans="1:69" s="207" customFormat="1" ht="22.35" customHeight="1" x14ac:dyDescent="0.2">
      <c r="A43" s="216" t="s">
        <v>80</v>
      </c>
      <c r="B43" s="216" t="s">
        <v>81</v>
      </c>
      <c r="C43" s="216" t="s">
        <v>95</v>
      </c>
      <c r="D43" s="217">
        <v>1.61576985288889</v>
      </c>
      <c r="E43" s="218"/>
      <c r="F43" s="219">
        <v>0.01</v>
      </c>
      <c r="G43" s="219">
        <v>0.01</v>
      </c>
      <c r="H43" s="220"/>
      <c r="I43" s="221">
        <v>2</v>
      </c>
      <c r="J43" s="221">
        <v>2</v>
      </c>
      <c r="K43" s="218"/>
      <c r="L43" s="222">
        <v>478.08506</v>
      </c>
      <c r="M43" s="222">
        <v>734.88032999999996</v>
      </c>
      <c r="N43" s="222">
        <v>1212.9653900000001</v>
      </c>
      <c r="O43" s="217">
        <v>750.70430843309703</v>
      </c>
      <c r="P43" s="223">
        <v>244.696</v>
      </c>
      <c r="Q43" s="229">
        <v>3.0679059258553298</v>
      </c>
      <c r="R43" s="230">
        <v>781.21870744463001</v>
      </c>
      <c r="S43" s="219">
        <v>0.01</v>
      </c>
      <c r="T43" s="219">
        <v>0.01</v>
      </c>
      <c r="U43" s="226">
        <v>0</v>
      </c>
      <c r="V43" s="227">
        <v>0</v>
      </c>
      <c r="W43" s="218"/>
      <c r="X43" s="226">
        <v>751.66916000000003</v>
      </c>
      <c r="Y43" s="217">
        <v>465.20806082380199</v>
      </c>
      <c r="Z43" s="228">
        <v>573</v>
      </c>
      <c r="AA43" s="239">
        <v>0.81188143250227196</v>
      </c>
      <c r="AB43" s="222">
        <v>-259.34388927022502</v>
      </c>
      <c r="AC43" s="219"/>
      <c r="AD43" s="219"/>
      <c r="AE43" s="227">
        <v>175</v>
      </c>
      <c r="AF43" s="227">
        <v>360</v>
      </c>
      <c r="AG43" s="218"/>
      <c r="AH43" s="231">
        <v>75.099999999999994</v>
      </c>
      <c r="AI43" s="217">
        <v>46.479391768404497</v>
      </c>
      <c r="AJ43" s="232" t="s">
        <v>53</v>
      </c>
      <c r="AK43" s="239">
        <v>0.73776812330800801</v>
      </c>
      <c r="AL43" s="222">
        <v>-36.058502799344097</v>
      </c>
      <c r="AM43" s="219"/>
      <c r="AN43" s="219"/>
      <c r="AO43" s="227">
        <v>27</v>
      </c>
      <c r="AP43" s="227">
        <v>48</v>
      </c>
      <c r="AQ43" s="218"/>
      <c r="AR43" s="231">
        <v>7</v>
      </c>
      <c r="AS43" s="217">
        <v>4.3323001648313104</v>
      </c>
      <c r="AT43" s="232" t="s">
        <v>54</v>
      </c>
      <c r="AU43" s="224">
        <v>0.27076876030195701</v>
      </c>
      <c r="AV43" s="225">
        <v>-21.230730869674701</v>
      </c>
      <c r="AW43" s="219"/>
      <c r="AX43" s="219"/>
      <c r="AY43" s="227">
        <v>19</v>
      </c>
      <c r="AZ43" s="227">
        <v>25</v>
      </c>
      <c r="BA43" s="218"/>
      <c r="BB43" s="235">
        <v>42</v>
      </c>
      <c r="BC43" s="231">
        <v>25.9938009889879</v>
      </c>
      <c r="BD43" s="232" t="s">
        <v>55</v>
      </c>
      <c r="BE43" s="239">
        <v>0.81230628090587098</v>
      </c>
      <c r="BF43" s="222">
        <v>-14.461461739349399</v>
      </c>
      <c r="BG43" s="219"/>
      <c r="BH43" s="219"/>
      <c r="BI43" s="227">
        <v>10</v>
      </c>
      <c r="BJ43" s="227">
        <v>21</v>
      </c>
      <c r="BK43" s="220"/>
      <c r="BL43" s="236">
        <v>0.8</v>
      </c>
      <c r="BM43" s="224">
        <v>0.68</v>
      </c>
      <c r="BN43" s="237"/>
      <c r="BO43" s="238">
        <v>0.95</v>
      </c>
      <c r="BP43" s="229">
        <v>1</v>
      </c>
      <c r="BQ43" s="237">
        <v>2.5000000000000001E-3</v>
      </c>
    </row>
    <row r="44" spans="1:69" s="207" customFormat="1" ht="22.35" customHeight="1" x14ac:dyDescent="0.2">
      <c r="A44" s="216" t="s">
        <v>80</v>
      </c>
      <c r="B44" s="216" t="s">
        <v>81</v>
      </c>
      <c r="C44" s="216" t="s">
        <v>96</v>
      </c>
      <c r="D44" s="217">
        <v>2.3852260407777801</v>
      </c>
      <c r="E44" s="218"/>
      <c r="F44" s="219">
        <v>5.1999999999999998E-2</v>
      </c>
      <c r="G44" s="219">
        <v>4.8000000000000001E-2</v>
      </c>
      <c r="H44" s="220"/>
      <c r="I44" s="221">
        <v>6</v>
      </c>
      <c r="J44" s="221">
        <v>5</v>
      </c>
      <c r="K44" s="218"/>
      <c r="L44" s="222">
        <v>733.21160999999995</v>
      </c>
      <c r="M44" s="222">
        <v>850.89484000000004</v>
      </c>
      <c r="N44" s="222">
        <v>1584.10645</v>
      </c>
      <c r="O44" s="217">
        <v>664.13263268057096</v>
      </c>
      <c r="P44" s="223">
        <v>239.304</v>
      </c>
      <c r="Q44" s="229">
        <v>2.7752675788142702</v>
      </c>
      <c r="R44" s="230">
        <v>960.799257351184</v>
      </c>
      <c r="S44" s="219">
        <v>0.01</v>
      </c>
      <c r="T44" s="219">
        <v>0.01</v>
      </c>
      <c r="U44" s="226">
        <v>0</v>
      </c>
      <c r="V44" s="227">
        <v>0</v>
      </c>
      <c r="W44" s="218"/>
      <c r="X44" s="226">
        <v>1268.2179699999999</v>
      </c>
      <c r="Y44" s="217">
        <v>531.69718438360599</v>
      </c>
      <c r="Z44" s="228">
        <v>573</v>
      </c>
      <c r="AA44" s="233">
        <v>0.927918297353588</v>
      </c>
      <c r="AB44" s="234">
        <v>-224.25612733130899</v>
      </c>
      <c r="AC44" s="219">
        <v>2E-3</v>
      </c>
      <c r="AD44" s="219"/>
      <c r="AE44" s="227">
        <v>99</v>
      </c>
      <c r="AF44" s="227">
        <v>372</v>
      </c>
      <c r="AG44" s="218"/>
      <c r="AH44" s="231">
        <v>177.1</v>
      </c>
      <c r="AI44" s="217">
        <v>74.248728201144004</v>
      </c>
      <c r="AJ44" s="232" t="s">
        <v>53</v>
      </c>
      <c r="AK44" s="229">
        <v>1.1785512412879999</v>
      </c>
      <c r="AL44" s="230">
        <v>13.0059892986518</v>
      </c>
      <c r="AM44" s="219">
        <v>0.02</v>
      </c>
      <c r="AN44" s="219">
        <v>1.7999999999999999E-2</v>
      </c>
      <c r="AO44" s="227">
        <v>0</v>
      </c>
      <c r="AP44" s="227">
        <v>4</v>
      </c>
      <c r="AQ44" s="218"/>
      <c r="AR44" s="231">
        <v>31.4</v>
      </c>
      <c r="AS44" s="217">
        <v>13.164370782133901</v>
      </c>
      <c r="AT44" s="232" t="s">
        <v>54</v>
      </c>
      <c r="AU44" s="239">
        <v>0.82277317388337101</v>
      </c>
      <c r="AV44" s="222">
        <v>-10.2746693844694</v>
      </c>
      <c r="AW44" s="219"/>
      <c r="AX44" s="219"/>
      <c r="AY44" s="227">
        <v>7</v>
      </c>
      <c r="AZ44" s="227">
        <v>15</v>
      </c>
      <c r="BA44" s="218"/>
      <c r="BB44" s="235">
        <v>111.6</v>
      </c>
      <c r="BC44" s="231">
        <v>46.788018448603403</v>
      </c>
      <c r="BD44" s="232" t="s">
        <v>55</v>
      </c>
      <c r="BE44" s="229">
        <v>1.4621255765188601</v>
      </c>
      <c r="BF44" s="230">
        <v>28.250661231061301</v>
      </c>
      <c r="BG44" s="219">
        <v>0.02</v>
      </c>
      <c r="BH44" s="219">
        <v>0.02</v>
      </c>
      <c r="BI44" s="227">
        <v>0</v>
      </c>
      <c r="BJ44" s="227">
        <v>0</v>
      </c>
      <c r="BK44" s="220"/>
      <c r="BL44" s="236">
        <v>0.8</v>
      </c>
      <c r="BM44" s="233">
        <v>0.82</v>
      </c>
      <c r="BN44" s="237">
        <v>7.5000000000000002E-4</v>
      </c>
      <c r="BO44" s="238">
        <v>0.95</v>
      </c>
      <c r="BP44" s="229">
        <v>1</v>
      </c>
      <c r="BQ44" s="237">
        <v>2.5000000000000001E-3</v>
      </c>
    </row>
    <row r="45" spans="1:69" s="207" customFormat="1" ht="22.35" customHeight="1" x14ac:dyDescent="0.2">
      <c r="A45" s="216" t="s">
        <v>80</v>
      </c>
      <c r="B45" s="216" t="s">
        <v>81</v>
      </c>
      <c r="C45" s="216" t="s">
        <v>97</v>
      </c>
      <c r="D45" s="217">
        <v>2.94060150377778</v>
      </c>
      <c r="E45" s="218"/>
      <c r="F45" s="219">
        <v>0.05</v>
      </c>
      <c r="G45" s="219">
        <v>0.04</v>
      </c>
      <c r="H45" s="220"/>
      <c r="I45" s="221">
        <v>5</v>
      </c>
      <c r="J45" s="221">
        <v>5</v>
      </c>
      <c r="K45" s="218"/>
      <c r="L45" s="222">
        <v>3012.4400599999999</v>
      </c>
      <c r="M45" s="222">
        <v>1926.6888100000001</v>
      </c>
      <c r="N45" s="222">
        <v>4939.1288699999996</v>
      </c>
      <c r="O45" s="217">
        <v>1679.63216493453</v>
      </c>
      <c r="P45" s="223">
        <v>287.5</v>
      </c>
      <c r="Q45" s="229">
        <v>5.8421988345548899</v>
      </c>
      <c r="R45" s="230">
        <v>4015.9270278889699</v>
      </c>
      <c r="S45" s="219">
        <v>0.01</v>
      </c>
      <c r="T45" s="219">
        <v>0.01</v>
      </c>
      <c r="U45" s="226">
        <v>0</v>
      </c>
      <c r="V45" s="227">
        <v>0</v>
      </c>
      <c r="W45" s="218"/>
      <c r="X45" s="226">
        <v>1857.68922</v>
      </c>
      <c r="Y45" s="217">
        <v>631.73783241742694</v>
      </c>
      <c r="Z45" s="228">
        <v>573</v>
      </c>
      <c r="AA45" s="229">
        <v>1.10250930613862</v>
      </c>
      <c r="AB45" s="230">
        <v>17.707809462182201</v>
      </c>
      <c r="AC45" s="219">
        <v>0.02</v>
      </c>
      <c r="AD45" s="219">
        <v>0.01</v>
      </c>
      <c r="AE45" s="227">
        <v>0</v>
      </c>
      <c r="AF45" s="227">
        <v>165</v>
      </c>
      <c r="AG45" s="218"/>
      <c r="AH45" s="231">
        <v>105.35</v>
      </c>
      <c r="AI45" s="217">
        <v>35.826003579423201</v>
      </c>
      <c r="AJ45" s="232" t="s">
        <v>53</v>
      </c>
      <c r="AK45" s="224">
        <v>0.56866672348290803</v>
      </c>
      <c r="AL45" s="225">
        <v>-96.951621053896204</v>
      </c>
      <c r="AM45" s="219"/>
      <c r="AN45" s="219"/>
      <c r="AO45" s="227">
        <v>80</v>
      </c>
      <c r="AP45" s="227">
        <v>117</v>
      </c>
      <c r="AQ45" s="218"/>
      <c r="AR45" s="231">
        <v>17.8</v>
      </c>
      <c r="AS45" s="217">
        <v>6.0531833290340202</v>
      </c>
      <c r="AT45" s="232" t="s">
        <v>54</v>
      </c>
      <c r="AU45" s="224">
        <v>0.37832395806462599</v>
      </c>
      <c r="AV45" s="225">
        <v>-33.578189474005399</v>
      </c>
      <c r="AW45" s="219"/>
      <c r="AX45" s="219"/>
      <c r="AY45" s="227">
        <v>30</v>
      </c>
      <c r="AZ45" s="227">
        <v>39</v>
      </c>
      <c r="BA45" s="218"/>
      <c r="BB45" s="235">
        <v>120</v>
      </c>
      <c r="BC45" s="231">
        <v>40.807977499105696</v>
      </c>
      <c r="BD45" s="232" t="s">
        <v>55</v>
      </c>
      <c r="BE45" s="229">
        <v>1.2752492968470499</v>
      </c>
      <c r="BF45" s="230">
        <v>17.243621051989201</v>
      </c>
      <c r="BG45" s="219">
        <v>0.02</v>
      </c>
      <c r="BH45" s="219">
        <v>0.02</v>
      </c>
      <c r="BI45" s="227">
        <v>0</v>
      </c>
      <c r="BJ45" s="227">
        <v>0</v>
      </c>
      <c r="BK45" s="220"/>
      <c r="BL45" s="236">
        <v>0.8</v>
      </c>
      <c r="BM45" s="233">
        <v>0.81</v>
      </c>
      <c r="BN45" s="237">
        <v>3.7500000000000001E-4</v>
      </c>
      <c r="BO45" s="238">
        <v>0.95</v>
      </c>
      <c r="BP45" s="229">
        <v>1</v>
      </c>
      <c r="BQ45" s="237">
        <v>2.5000000000000001E-3</v>
      </c>
    </row>
    <row r="46" spans="1:69" s="207" customFormat="1" ht="22.35" customHeight="1" x14ac:dyDescent="0.2">
      <c r="A46" s="216" t="s">
        <v>80</v>
      </c>
      <c r="B46" s="216" t="s">
        <v>81</v>
      </c>
      <c r="C46" s="216" t="s">
        <v>98</v>
      </c>
      <c r="D46" s="217">
        <v>8.6630214135555601</v>
      </c>
      <c r="E46" s="218"/>
      <c r="F46" s="219">
        <v>2.1999999999999999E-2</v>
      </c>
      <c r="G46" s="219">
        <v>1.2E-2</v>
      </c>
      <c r="H46" s="220"/>
      <c r="I46" s="221">
        <v>3</v>
      </c>
      <c r="J46" s="221">
        <v>3</v>
      </c>
      <c r="K46" s="218"/>
      <c r="L46" s="222">
        <v>3919.2051000000001</v>
      </c>
      <c r="M46" s="222">
        <v>4589.5854499999996</v>
      </c>
      <c r="N46" s="222">
        <v>8508.7905499999997</v>
      </c>
      <c r="O46" s="217">
        <v>982.19664292711798</v>
      </c>
      <c r="P46" s="223">
        <v>276.44</v>
      </c>
      <c r="Q46" s="229">
        <v>3.55301925527101</v>
      </c>
      <c r="R46" s="230">
        <v>5893.6627915968802</v>
      </c>
      <c r="S46" s="219">
        <v>0.01</v>
      </c>
      <c r="T46" s="219">
        <v>0.01</v>
      </c>
      <c r="U46" s="226">
        <v>0</v>
      </c>
      <c r="V46" s="227">
        <v>0</v>
      </c>
      <c r="W46" s="218"/>
      <c r="X46" s="226">
        <v>4254.8397999999997</v>
      </c>
      <c r="Y46" s="217">
        <v>491.14963439224499</v>
      </c>
      <c r="Z46" s="228">
        <v>573</v>
      </c>
      <c r="AA46" s="239">
        <v>0.85715468480321999</v>
      </c>
      <c r="AB46" s="222">
        <v>-1165.7513068043299</v>
      </c>
      <c r="AC46" s="219"/>
      <c r="AD46" s="219"/>
      <c r="AE46" s="227">
        <v>710</v>
      </c>
      <c r="AF46" s="227">
        <v>1702</v>
      </c>
      <c r="AG46" s="218"/>
      <c r="AH46" s="231">
        <v>485.25</v>
      </c>
      <c r="AI46" s="217">
        <v>56.013944423674097</v>
      </c>
      <c r="AJ46" s="232" t="s">
        <v>53</v>
      </c>
      <c r="AK46" s="239">
        <v>0.88911022894720904</v>
      </c>
      <c r="AL46" s="222">
        <v>-110.731221166968</v>
      </c>
      <c r="AM46" s="219"/>
      <c r="AN46" s="219"/>
      <c r="AO46" s="227">
        <v>61</v>
      </c>
      <c r="AP46" s="227">
        <v>170</v>
      </c>
      <c r="AQ46" s="218"/>
      <c r="AR46" s="231">
        <v>22</v>
      </c>
      <c r="AS46" s="217">
        <v>2.53952968020779</v>
      </c>
      <c r="AT46" s="232" t="s">
        <v>54</v>
      </c>
      <c r="AU46" s="224">
        <v>0.15872060501298699</v>
      </c>
      <c r="AV46" s="225">
        <v>-129.36031013764301</v>
      </c>
      <c r="AW46" s="219"/>
      <c r="AX46" s="219"/>
      <c r="AY46" s="227">
        <v>117</v>
      </c>
      <c r="AZ46" s="227">
        <v>145</v>
      </c>
      <c r="BA46" s="218"/>
      <c r="BB46" s="235">
        <v>283</v>
      </c>
      <c r="BC46" s="231">
        <v>32.667586340854797</v>
      </c>
      <c r="BD46" s="232" t="s">
        <v>55</v>
      </c>
      <c r="BE46" s="233">
        <v>1.02086207315171</v>
      </c>
      <c r="BF46" s="234">
        <v>-19.720620275285501</v>
      </c>
      <c r="BG46" s="219">
        <v>1.2E-2</v>
      </c>
      <c r="BH46" s="219">
        <v>2E-3</v>
      </c>
      <c r="BI46" s="227">
        <v>0</v>
      </c>
      <c r="BJ46" s="227">
        <v>50</v>
      </c>
      <c r="BK46" s="220"/>
      <c r="BL46" s="236">
        <v>0.8</v>
      </c>
      <c r="BM46" s="239">
        <v>0.7</v>
      </c>
      <c r="BN46" s="237"/>
      <c r="BO46" s="238">
        <v>0.95</v>
      </c>
      <c r="BP46" s="229">
        <v>1</v>
      </c>
      <c r="BQ46" s="237">
        <v>2.5000000000000001E-3</v>
      </c>
    </row>
    <row r="47" spans="1:69" s="207" customFormat="1" ht="22.35" customHeight="1" x14ac:dyDescent="0.2">
      <c r="A47" s="216" t="s">
        <v>80</v>
      </c>
      <c r="B47" s="216" t="s">
        <v>81</v>
      </c>
      <c r="C47" s="216" t="s">
        <v>99</v>
      </c>
      <c r="D47" s="217">
        <v>2.3098195907777801</v>
      </c>
      <c r="E47" s="218"/>
      <c r="F47" s="219">
        <v>0.01</v>
      </c>
      <c r="G47" s="219">
        <v>0.01</v>
      </c>
      <c r="H47" s="220"/>
      <c r="I47" s="221">
        <v>2</v>
      </c>
      <c r="J47" s="221">
        <v>2</v>
      </c>
      <c r="K47" s="218"/>
      <c r="L47" s="222">
        <v>245.21225999999999</v>
      </c>
      <c r="M47" s="222">
        <v>1143.8157200000001</v>
      </c>
      <c r="N47" s="222">
        <v>1389.0279800000001</v>
      </c>
      <c r="O47" s="217">
        <v>601.35777943258199</v>
      </c>
      <c r="P47" s="223">
        <v>236.59800000000001</v>
      </c>
      <c r="Q47" s="229">
        <v>2.5416858106686502</v>
      </c>
      <c r="R47" s="230">
        <v>792.25140447158503</v>
      </c>
      <c r="S47" s="219">
        <v>0.01</v>
      </c>
      <c r="T47" s="219">
        <v>0.01</v>
      </c>
      <c r="U47" s="226">
        <v>0</v>
      </c>
      <c r="V47" s="227">
        <v>0</v>
      </c>
      <c r="W47" s="218"/>
      <c r="X47" s="226">
        <v>1088.4898700000001</v>
      </c>
      <c r="Y47" s="217">
        <v>471.24453976662198</v>
      </c>
      <c r="Z47" s="228">
        <v>573</v>
      </c>
      <c r="AA47" s="239">
        <v>0.82241629976722797</v>
      </c>
      <c r="AB47" s="222">
        <v>-356.80120506310902</v>
      </c>
      <c r="AC47" s="219"/>
      <c r="AD47" s="219"/>
      <c r="AE47" s="227">
        <v>236</v>
      </c>
      <c r="AF47" s="227">
        <v>500</v>
      </c>
      <c r="AG47" s="218"/>
      <c r="AH47" s="231">
        <v>96.25</v>
      </c>
      <c r="AI47" s="217">
        <v>41.6699210554319</v>
      </c>
      <c r="AJ47" s="232" t="s">
        <v>53</v>
      </c>
      <c r="AK47" s="224">
        <v>0.66142731834018897</v>
      </c>
      <c r="AL47" s="225">
        <v>-62.6563485671482</v>
      </c>
      <c r="AM47" s="219"/>
      <c r="AN47" s="219"/>
      <c r="AO47" s="227">
        <v>50</v>
      </c>
      <c r="AP47" s="227">
        <v>79</v>
      </c>
      <c r="AQ47" s="218"/>
      <c r="AR47" s="231">
        <v>1</v>
      </c>
      <c r="AS47" s="217">
        <v>0.43293424473176001</v>
      </c>
      <c r="AT47" s="232" t="s">
        <v>54</v>
      </c>
      <c r="AU47" s="224">
        <v>2.7058390295735001E-2</v>
      </c>
      <c r="AV47" s="225">
        <v>-39.357167890069398</v>
      </c>
      <c r="AW47" s="219"/>
      <c r="AX47" s="219"/>
      <c r="AY47" s="227">
        <v>36</v>
      </c>
      <c r="AZ47" s="227">
        <v>44</v>
      </c>
      <c r="BA47" s="218"/>
      <c r="BB47" s="235">
        <v>63.2</v>
      </c>
      <c r="BC47" s="231">
        <v>27.361444267047201</v>
      </c>
      <c r="BD47" s="232" t="s">
        <v>55</v>
      </c>
      <c r="BE47" s="239">
        <v>0.85504513334522603</v>
      </c>
      <c r="BF47" s="222">
        <v>-17.514335780138801</v>
      </c>
      <c r="BG47" s="219"/>
      <c r="BH47" s="219"/>
      <c r="BI47" s="227">
        <v>11</v>
      </c>
      <c r="BJ47" s="227">
        <v>26</v>
      </c>
      <c r="BK47" s="220"/>
      <c r="BL47" s="236">
        <v>0.8</v>
      </c>
      <c r="BM47" s="239">
        <v>0.72</v>
      </c>
      <c r="BN47" s="237"/>
      <c r="BO47" s="238">
        <v>0.95</v>
      </c>
      <c r="BP47" s="229">
        <v>1</v>
      </c>
      <c r="BQ47" s="237">
        <v>2.5000000000000001E-3</v>
      </c>
    </row>
    <row r="48" spans="1:69" s="207" customFormat="1" ht="22.35" customHeight="1" x14ac:dyDescent="0.2">
      <c r="A48" s="216" t="s">
        <v>80</v>
      </c>
      <c r="B48" s="216" t="s">
        <v>100</v>
      </c>
      <c r="C48" s="216" t="s">
        <v>101</v>
      </c>
      <c r="D48" s="217">
        <v>2.9631336405555602</v>
      </c>
      <c r="E48" s="218"/>
      <c r="F48" s="219">
        <v>0.04</v>
      </c>
      <c r="G48" s="219">
        <v>0.04</v>
      </c>
      <c r="H48" s="220"/>
      <c r="I48" s="221">
        <v>4</v>
      </c>
      <c r="J48" s="221">
        <v>4</v>
      </c>
      <c r="K48" s="218"/>
      <c r="L48" s="222">
        <v>1553.1058599999999</v>
      </c>
      <c r="M48" s="222">
        <v>1707.2940799999999</v>
      </c>
      <c r="N48" s="222">
        <v>3260.3999399999998</v>
      </c>
      <c r="O48" s="217">
        <v>1100.32159716857</v>
      </c>
      <c r="P48" s="223">
        <v>287.5</v>
      </c>
      <c r="Q48" s="229">
        <v>3.8272055553689399</v>
      </c>
      <c r="R48" s="230">
        <v>2330.1241335475802</v>
      </c>
      <c r="S48" s="219">
        <v>0.01</v>
      </c>
      <c r="T48" s="219">
        <v>0.01</v>
      </c>
      <c r="U48" s="226">
        <v>0</v>
      </c>
      <c r="V48" s="227">
        <v>0</v>
      </c>
      <c r="W48" s="218"/>
      <c r="X48" s="226">
        <v>1500.644235</v>
      </c>
      <c r="Y48" s="217">
        <v>506.43825660142898</v>
      </c>
      <c r="Z48" s="228">
        <v>573</v>
      </c>
      <c r="AA48" s="239">
        <v>0.88383639895537303</v>
      </c>
      <c r="AB48" s="222">
        <v>-353.43589403386301</v>
      </c>
      <c r="AC48" s="219"/>
      <c r="AD48" s="219"/>
      <c r="AE48" s="227">
        <v>198</v>
      </c>
      <c r="AF48" s="227">
        <v>537</v>
      </c>
      <c r="AG48" s="218"/>
      <c r="AH48" s="231">
        <v>160.5</v>
      </c>
      <c r="AI48" s="217">
        <v>54.1656298599843</v>
      </c>
      <c r="AJ48" s="232" t="s">
        <v>53</v>
      </c>
      <c r="AK48" s="239">
        <v>0.85977190253943303</v>
      </c>
      <c r="AL48" s="222">
        <v>-43.3517419356603</v>
      </c>
      <c r="AM48" s="219"/>
      <c r="AN48" s="219"/>
      <c r="AO48" s="227">
        <v>27</v>
      </c>
      <c r="AP48" s="227">
        <v>64</v>
      </c>
      <c r="AQ48" s="218"/>
      <c r="AR48" s="231">
        <v>57.9</v>
      </c>
      <c r="AS48" s="217">
        <v>19.540124416779399</v>
      </c>
      <c r="AT48" s="232" t="s">
        <v>54</v>
      </c>
      <c r="AU48" s="229">
        <v>1.22125777604871</v>
      </c>
      <c r="AV48" s="230">
        <v>6.1281290322132396</v>
      </c>
      <c r="AW48" s="219">
        <v>0.01</v>
      </c>
      <c r="AX48" s="219">
        <v>0.01</v>
      </c>
      <c r="AY48" s="227">
        <v>0</v>
      </c>
      <c r="AZ48" s="227">
        <v>0</v>
      </c>
      <c r="BA48" s="218"/>
      <c r="BB48" s="235">
        <v>119</v>
      </c>
      <c r="BC48" s="231">
        <v>40.160186625159703</v>
      </c>
      <c r="BD48" s="232" t="s">
        <v>55</v>
      </c>
      <c r="BE48" s="229">
        <v>1.2550058320362401</v>
      </c>
      <c r="BF48" s="230">
        <v>15.4562580644265</v>
      </c>
      <c r="BG48" s="219">
        <v>0.02</v>
      </c>
      <c r="BH48" s="219">
        <v>0.02</v>
      </c>
      <c r="BI48" s="227">
        <v>0</v>
      </c>
      <c r="BJ48" s="227">
        <v>0</v>
      </c>
      <c r="BK48" s="220"/>
      <c r="BL48" s="236">
        <v>0.8</v>
      </c>
      <c r="BM48" s="224">
        <v>0.64</v>
      </c>
      <c r="BN48" s="237"/>
      <c r="BO48" s="238">
        <v>0.95</v>
      </c>
      <c r="BP48" s="229">
        <v>1</v>
      </c>
      <c r="BQ48" s="237">
        <v>2.5000000000000001E-3</v>
      </c>
    </row>
    <row r="49" spans="1:69" s="207" customFormat="1" ht="22.35" customHeight="1" x14ac:dyDescent="0.2">
      <c r="A49" s="216" t="s">
        <v>80</v>
      </c>
      <c r="B49" s="216" t="s">
        <v>100</v>
      </c>
      <c r="C49" s="216" t="s">
        <v>102</v>
      </c>
      <c r="D49" s="217">
        <v>3.6627518924444402</v>
      </c>
      <c r="E49" s="218"/>
      <c r="F49" s="219">
        <v>0.01</v>
      </c>
      <c r="G49" s="219">
        <v>0.01</v>
      </c>
      <c r="H49" s="220"/>
      <c r="I49" s="221">
        <v>2</v>
      </c>
      <c r="J49" s="221">
        <v>2</v>
      </c>
      <c r="K49" s="218"/>
      <c r="L49" s="222">
        <v>3311.2720100000001</v>
      </c>
      <c r="M49" s="222">
        <v>311.16413999999997</v>
      </c>
      <c r="N49" s="222">
        <v>3622.43615</v>
      </c>
      <c r="O49" s="217">
        <v>988.99304576768998</v>
      </c>
      <c r="P49" s="223">
        <v>265.84899999999999</v>
      </c>
      <c r="Q49" s="229">
        <v>3.7201307726103501</v>
      </c>
      <c r="R49" s="230">
        <v>2559.11324078293</v>
      </c>
      <c r="S49" s="219">
        <v>0.01</v>
      </c>
      <c r="T49" s="219">
        <v>0.01</v>
      </c>
      <c r="U49" s="226">
        <v>0</v>
      </c>
      <c r="V49" s="227">
        <v>0</v>
      </c>
      <c r="W49" s="218"/>
      <c r="X49" s="226">
        <v>1658.358365</v>
      </c>
      <c r="Y49" s="217">
        <v>452.76295356528902</v>
      </c>
      <c r="Z49" s="228">
        <v>573</v>
      </c>
      <c r="AA49" s="239">
        <v>0.79016222262703195</v>
      </c>
      <c r="AB49" s="222">
        <v>-633.48409813276498</v>
      </c>
      <c r="AC49" s="219"/>
      <c r="AD49" s="219"/>
      <c r="AE49" s="227">
        <v>441</v>
      </c>
      <c r="AF49" s="227">
        <v>861</v>
      </c>
      <c r="AG49" s="218"/>
      <c r="AH49" s="231">
        <v>124.5</v>
      </c>
      <c r="AI49" s="217">
        <v>33.990836304479103</v>
      </c>
      <c r="AJ49" s="232" t="s">
        <v>53</v>
      </c>
      <c r="AK49" s="224">
        <v>0.53953708419808</v>
      </c>
      <c r="AL49" s="225">
        <v>-127.482679192608</v>
      </c>
      <c r="AM49" s="219"/>
      <c r="AN49" s="219"/>
      <c r="AO49" s="227">
        <v>107</v>
      </c>
      <c r="AP49" s="227">
        <v>153</v>
      </c>
      <c r="AQ49" s="218"/>
      <c r="AR49" s="231">
        <v>4.8</v>
      </c>
      <c r="AS49" s="217">
        <v>1.31049007438955</v>
      </c>
      <c r="AT49" s="232" t="s">
        <v>54</v>
      </c>
      <c r="AU49" s="224">
        <v>8.1905629649346903E-2</v>
      </c>
      <c r="AV49" s="225">
        <v>-59.195601064789301</v>
      </c>
      <c r="AW49" s="219"/>
      <c r="AX49" s="219"/>
      <c r="AY49" s="227">
        <v>54</v>
      </c>
      <c r="AZ49" s="227">
        <v>66</v>
      </c>
      <c r="BA49" s="218"/>
      <c r="BB49" s="235">
        <v>93.6</v>
      </c>
      <c r="BC49" s="231">
        <v>25.554556450596301</v>
      </c>
      <c r="BD49" s="232" t="s">
        <v>55</v>
      </c>
      <c r="BE49" s="239">
        <v>0.79857988908113398</v>
      </c>
      <c r="BF49" s="222">
        <v>-34.391202129578502</v>
      </c>
      <c r="BG49" s="219"/>
      <c r="BH49" s="219"/>
      <c r="BI49" s="227">
        <v>24</v>
      </c>
      <c r="BJ49" s="227">
        <v>48</v>
      </c>
      <c r="BK49" s="220"/>
      <c r="BL49" s="236">
        <v>0.8</v>
      </c>
      <c r="BM49" s="224">
        <v>0.64</v>
      </c>
      <c r="BN49" s="237"/>
      <c r="BO49" s="238">
        <v>0.95</v>
      </c>
      <c r="BP49" s="229">
        <v>1</v>
      </c>
      <c r="BQ49" s="237">
        <v>2.5000000000000001E-3</v>
      </c>
    </row>
    <row r="50" spans="1:69" s="207" customFormat="1" ht="22.35" customHeight="1" x14ac:dyDescent="0.2">
      <c r="A50" s="216" t="s">
        <v>80</v>
      </c>
      <c r="B50" s="216" t="s">
        <v>100</v>
      </c>
      <c r="C50" s="216" t="s">
        <v>103</v>
      </c>
      <c r="D50" s="217">
        <v>4.5139963626666697</v>
      </c>
      <c r="E50" s="218"/>
      <c r="F50" s="219">
        <v>0.01</v>
      </c>
      <c r="G50" s="219">
        <v>0.01</v>
      </c>
      <c r="H50" s="220"/>
      <c r="I50" s="221">
        <v>2</v>
      </c>
      <c r="J50" s="221">
        <v>2</v>
      </c>
      <c r="K50" s="218"/>
      <c r="L50" s="222">
        <v>3301.9454799999999</v>
      </c>
      <c r="M50" s="222">
        <v>2218.41435</v>
      </c>
      <c r="N50" s="222">
        <v>5520.3598300000003</v>
      </c>
      <c r="O50" s="217">
        <v>1222.9429061256101</v>
      </c>
      <c r="P50" s="223">
        <v>287.5</v>
      </c>
      <c r="Q50" s="229">
        <v>4.2537144560890798</v>
      </c>
      <c r="R50" s="230">
        <v>4103.1906719407998</v>
      </c>
      <c r="S50" s="219">
        <v>0.01</v>
      </c>
      <c r="T50" s="219">
        <v>0.01</v>
      </c>
      <c r="U50" s="226">
        <v>0</v>
      </c>
      <c r="V50" s="227">
        <v>0</v>
      </c>
      <c r="W50" s="218"/>
      <c r="X50" s="226">
        <v>1454.83294</v>
      </c>
      <c r="Y50" s="217">
        <v>322.293777645082</v>
      </c>
      <c r="Z50" s="228">
        <v>573</v>
      </c>
      <c r="AA50" s="224">
        <v>0.56246732573312797</v>
      </c>
      <c r="AB50" s="225">
        <v>-1369.6468080623399</v>
      </c>
      <c r="AC50" s="219"/>
      <c r="AD50" s="219"/>
      <c r="AE50" s="227">
        <v>1132</v>
      </c>
      <c r="AF50" s="227">
        <v>1649</v>
      </c>
      <c r="AG50" s="218"/>
      <c r="AH50" s="231">
        <v>149.1</v>
      </c>
      <c r="AI50" s="217">
        <v>33.030598170867499</v>
      </c>
      <c r="AJ50" s="232" t="s">
        <v>53</v>
      </c>
      <c r="AK50" s="224">
        <v>0.52429520906138805</v>
      </c>
      <c r="AL50" s="225">
        <v>-161.44489376601601</v>
      </c>
      <c r="AM50" s="219"/>
      <c r="AN50" s="219"/>
      <c r="AO50" s="227">
        <v>136</v>
      </c>
      <c r="AP50" s="227">
        <v>193</v>
      </c>
      <c r="AQ50" s="218"/>
      <c r="AR50" s="231">
        <v>17.100000000000001</v>
      </c>
      <c r="AS50" s="217">
        <v>3.7882174964576398</v>
      </c>
      <c r="AT50" s="232" t="s">
        <v>54</v>
      </c>
      <c r="AU50" s="224">
        <v>0.23676359352860299</v>
      </c>
      <c r="AV50" s="225">
        <v>-61.768544448512102</v>
      </c>
      <c r="AW50" s="219"/>
      <c r="AX50" s="219"/>
      <c r="AY50" s="227">
        <v>56</v>
      </c>
      <c r="AZ50" s="227">
        <v>70</v>
      </c>
      <c r="BA50" s="218"/>
      <c r="BB50" s="235">
        <v>102.6</v>
      </c>
      <c r="BC50" s="231">
        <v>22.729304978745802</v>
      </c>
      <c r="BD50" s="232" t="s">
        <v>55</v>
      </c>
      <c r="BE50" s="224">
        <v>0.71029078058580697</v>
      </c>
      <c r="BF50" s="225">
        <v>-55.1370888970241</v>
      </c>
      <c r="BG50" s="219"/>
      <c r="BH50" s="219"/>
      <c r="BI50" s="227">
        <v>42</v>
      </c>
      <c r="BJ50" s="227">
        <v>71</v>
      </c>
      <c r="BK50" s="220"/>
      <c r="BL50" s="236">
        <v>0.8</v>
      </c>
      <c r="BM50" s="224">
        <v>0.68</v>
      </c>
      <c r="BN50" s="237"/>
      <c r="BO50" s="238">
        <v>0.95</v>
      </c>
      <c r="BP50" s="229">
        <v>1</v>
      </c>
      <c r="BQ50" s="237">
        <v>2.5000000000000001E-3</v>
      </c>
    </row>
    <row r="51" spans="1:69" s="207" customFormat="1" ht="22.35" customHeight="1" x14ac:dyDescent="0.2">
      <c r="A51" s="216" t="s">
        <v>80</v>
      </c>
      <c r="B51" s="216" t="s">
        <v>100</v>
      </c>
      <c r="C51" s="216" t="s">
        <v>104</v>
      </c>
      <c r="D51" s="217">
        <v>2.2098362645555598</v>
      </c>
      <c r="E51" s="218"/>
      <c r="F51" s="219">
        <v>4.4999999999999998E-2</v>
      </c>
      <c r="G51" s="219">
        <v>3.5000000000000003E-2</v>
      </c>
      <c r="H51" s="220"/>
      <c r="I51" s="221">
        <v>4</v>
      </c>
      <c r="J51" s="221">
        <v>4</v>
      </c>
      <c r="K51" s="218"/>
      <c r="L51" s="222">
        <v>-422.94718999999998</v>
      </c>
      <c r="M51" s="222">
        <v>2136.6299100000001</v>
      </c>
      <c r="N51" s="222">
        <v>1713.68272</v>
      </c>
      <c r="O51" s="217">
        <v>775.47949931243295</v>
      </c>
      <c r="P51" s="223">
        <v>287.5</v>
      </c>
      <c r="Q51" s="229">
        <v>2.6973199976084601</v>
      </c>
      <c r="R51" s="230">
        <v>1019.90462474278</v>
      </c>
      <c r="S51" s="219">
        <v>0.01</v>
      </c>
      <c r="T51" s="219">
        <v>0.01</v>
      </c>
      <c r="U51" s="226">
        <v>0</v>
      </c>
      <c r="V51" s="227">
        <v>0</v>
      </c>
      <c r="W51" s="218"/>
      <c r="X51" s="226">
        <v>1133.7021549999999</v>
      </c>
      <c r="Y51" s="217">
        <v>513.02540970292705</v>
      </c>
      <c r="Z51" s="228">
        <v>573</v>
      </c>
      <c r="AA51" s="239">
        <v>0.89533230314647005</v>
      </c>
      <c r="AB51" s="222">
        <v>-249.02775311264699</v>
      </c>
      <c r="AC51" s="219"/>
      <c r="AD51" s="219"/>
      <c r="AE51" s="227">
        <v>133</v>
      </c>
      <c r="AF51" s="227">
        <v>386</v>
      </c>
      <c r="AG51" s="218"/>
      <c r="AH51" s="231">
        <v>145.94999999999999</v>
      </c>
      <c r="AI51" s="217">
        <v>66.045617198409801</v>
      </c>
      <c r="AJ51" s="232" t="s">
        <v>53</v>
      </c>
      <c r="AK51" s="233">
        <v>1.04834313013349</v>
      </c>
      <c r="AL51" s="234">
        <v>-6.0778956563642899</v>
      </c>
      <c r="AM51" s="219">
        <v>1.4999999999999999E-2</v>
      </c>
      <c r="AN51" s="219">
        <v>5.0000000000000001E-3</v>
      </c>
      <c r="AO51" s="227">
        <v>0</v>
      </c>
      <c r="AP51" s="227">
        <v>22</v>
      </c>
      <c r="AQ51" s="218"/>
      <c r="AR51" s="231">
        <v>9.3000000000000007</v>
      </c>
      <c r="AS51" s="217">
        <v>4.2084565943488199</v>
      </c>
      <c r="AT51" s="232" t="s">
        <v>54</v>
      </c>
      <c r="AU51" s="224">
        <v>0.26302853714680102</v>
      </c>
      <c r="AV51" s="225">
        <v>-29.310259214314701</v>
      </c>
      <c r="AW51" s="219"/>
      <c r="AX51" s="219"/>
      <c r="AY51" s="227">
        <v>27</v>
      </c>
      <c r="AZ51" s="227">
        <v>34</v>
      </c>
      <c r="BA51" s="218"/>
      <c r="BB51" s="235">
        <v>104.6</v>
      </c>
      <c r="BC51" s="231">
        <v>47.333823631063098</v>
      </c>
      <c r="BD51" s="232" t="s">
        <v>55</v>
      </c>
      <c r="BE51" s="229">
        <v>1.47918198847072</v>
      </c>
      <c r="BF51" s="230">
        <v>27.379481571370501</v>
      </c>
      <c r="BG51" s="219">
        <v>0.02</v>
      </c>
      <c r="BH51" s="219">
        <v>0.02</v>
      </c>
      <c r="BI51" s="227">
        <v>0</v>
      </c>
      <c r="BJ51" s="227">
        <v>0</v>
      </c>
      <c r="BK51" s="220"/>
      <c r="BL51" s="236">
        <v>0.8</v>
      </c>
      <c r="BM51" s="239">
        <v>0.73</v>
      </c>
      <c r="BN51" s="237"/>
      <c r="BO51" s="238">
        <v>0.95</v>
      </c>
      <c r="BP51" s="229">
        <v>1</v>
      </c>
      <c r="BQ51" s="237">
        <v>2.5000000000000001E-3</v>
      </c>
    </row>
    <row r="52" spans="1:69" s="207" customFormat="1" ht="22.35" customHeight="1" x14ac:dyDescent="0.2">
      <c r="A52" s="216" t="s">
        <v>80</v>
      </c>
      <c r="B52" s="216" t="s">
        <v>100</v>
      </c>
      <c r="C52" s="216" t="s">
        <v>105</v>
      </c>
      <c r="D52" s="217">
        <v>7.7514398572222198</v>
      </c>
      <c r="E52" s="218"/>
      <c r="F52" s="219">
        <v>3.5999999999999997E-2</v>
      </c>
      <c r="G52" s="219">
        <v>1.6E-2</v>
      </c>
      <c r="H52" s="220"/>
      <c r="I52" s="221">
        <v>4</v>
      </c>
      <c r="J52" s="221">
        <v>4</v>
      </c>
      <c r="K52" s="218"/>
      <c r="L52" s="222">
        <v>6012.0926799999997</v>
      </c>
      <c r="M52" s="222">
        <v>3592.7775299999998</v>
      </c>
      <c r="N52" s="222">
        <v>9604.8702099999991</v>
      </c>
      <c r="O52" s="217">
        <v>1239.1078802025299</v>
      </c>
      <c r="P52" s="223">
        <v>287.5</v>
      </c>
      <c r="Q52" s="229">
        <v>4.3099404528783696</v>
      </c>
      <c r="R52" s="230">
        <v>7171.3056668250802</v>
      </c>
      <c r="S52" s="219">
        <v>0.01</v>
      </c>
      <c r="T52" s="219">
        <v>0.01</v>
      </c>
      <c r="U52" s="226">
        <v>0</v>
      </c>
      <c r="V52" s="227">
        <v>0</v>
      </c>
      <c r="W52" s="218"/>
      <c r="X52" s="226">
        <v>4666.10826</v>
      </c>
      <c r="Y52" s="217">
        <v>601.96664696462301</v>
      </c>
      <c r="Z52" s="228">
        <v>573</v>
      </c>
      <c r="AA52" s="233">
        <v>1.0505526125037099</v>
      </c>
      <c r="AB52" s="234">
        <v>-184.09168170165901</v>
      </c>
      <c r="AC52" s="219">
        <v>1.4999999999999999E-2</v>
      </c>
      <c r="AD52" s="219">
        <v>5.0000000000000001E-3</v>
      </c>
      <c r="AE52" s="227">
        <v>0</v>
      </c>
      <c r="AF52" s="227">
        <v>664</v>
      </c>
      <c r="AG52" s="218"/>
      <c r="AH52" s="231">
        <v>428.2</v>
      </c>
      <c r="AI52" s="217">
        <v>55.241349721759697</v>
      </c>
      <c r="AJ52" s="232" t="s">
        <v>53</v>
      </c>
      <c r="AK52" s="239">
        <v>0.87684682098031297</v>
      </c>
      <c r="AL52" s="222">
        <v>-105.06805641746</v>
      </c>
      <c r="AM52" s="219"/>
      <c r="AN52" s="219"/>
      <c r="AO52" s="227">
        <v>61</v>
      </c>
      <c r="AP52" s="227">
        <v>158</v>
      </c>
      <c r="AQ52" s="218"/>
      <c r="AR52" s="231">
        <v>80.599999999999994</v>
      </c>
      <c r="AS52" s="217">
        <v>10.3980681634139</v>
      </c>
      <c r="AT52" s="232" t="s">
        <v>54</v>
      </c>
      <c r="AU52" s="224">
        <v>0.64987926021336895</v>
      </c>
      <c r="AV52" s="225">
        <v>-54.833157185386597</v>
      </c>
      <c r="AW52" s="219"/>
      <c r="AX52" s="219"/>
      <c r="AY52" s="227">
        <v>44</v>
      </c>
      <c r="AZ52" s="227">
        <v>69</v>
      </c>
      <c r="BA52" s="218"/>
      <c r="BB52" s="235">
        <v>251.6</v>
      </c>
      <c r="BC52" s="231">
        <v>32.4584857309546</v>
      </c>
      <c r="BD52" s="232" t="s">
        <v>55</v>
      </c>
      <c r="BE52" s="233">
        <v>1.0143276790923299</v>
      </c>
      <c r="BF52" s="234">
        <v>-19.266314370773301</v>
      </c>
      <c r="BG52" s="219">
        <v>1.0999999999999999E-2</v>
      </c>
      <c r="BH52" s="219">
        <v>1E-3</v>
      </c>
      <c r="BI52" s="227">
        <v>0</v>
      </c>
      <c r="BJ52" s="227">
        <v>47</v>
      </c>
      <c r="BK52" s="220"/>
      <c r="BL52" s="236">
        <v>0.8</v>
      </c>
      <c r="BM52" s="239">
        <v>0.73</v>
      </c>
      <c r="BN52" s="237"/>
      <c r="BO52" s="238">
        <v>0.95</v>
      </c>
      <c r="BP52" s="229">
        <v>1</v>
      </c>
      <c r="BQ52" s="237">
        <v>2.5000000000000001E-3</v>
      </c>
    </row>
    <row r="53" spans="1:69" s="207" customFormat="1" ht="22.35" customHeight="1" x14ac:dyDescent="0.2">
      <c r="A53" s="216" t="s">
        <v>80</v>
      </c>
      <c r="B53" s="216" t="s">
        <v>100</v>
      </c>
      <c r="C53" s="216" t="s">
        <v>106</v>
      </c>
      <c r="D53" s="217">
        <v>4.7798890690000002</v>
      </c>
      <c r="E53" s="218"/>
      <c r="F53" s="219">
        <v>2.5999999999999999E-2</v>
      </c>
      <c r="G53" s="219">
        <v>1.6E-2</v>
      </c>
      <c r="H53" s="220"/>
      <c r="I53" s="221">
        <v>3</v>
      </c>
      <c r="J53" s="221">
        <v>3</v>
      </c>
      <c r="K53" s="218"/>
      <c r="L53" s="222">
        <v>942.15089999999998</v>
      </c>
      <c r="M53" s="222">
        <v>1492.1940099999999</v>
      </c>
      <c r="N53" s="222">
        <v>2434.3449099999998</v>
      </c>
      <c r="O53" s="217">
        <v>509.28899705810301</v>
      </c>
      <c r="P53" s="223">
        <v>284.87700000000001</v>
      </c>
      <c r="Q53" s="229">
        <v>1.7877504925217</v>
      </c>
      <c r="R53" s="230">
        <v>947.38984952601197</v>
      </c>
      <c r="S53" s="219">
        <v>0.01</v>
      </c>
      <c r="T53" s="219">
        <v>0.01</v>
      </c>
      <c r="U53" s="226">
        <v>0</v>
      </c>
      <c r="V53" s="227">
        <v>0</v>
      </c>
      <c r="W53" s="218"/>
      <c r="X53" s="226">
        <v>2332.0972750000001</v>
      </c>
      <c r="Y53" s="217">
        <v>487.897782006037</v>
      </c>
      <c r="Z53" s="228">
        <v>573</v>
      </c>
      <c r="AA53" s="239">
        <v>0.85147954974875495</v>
      </c>
      <c r="AB53" s="222">
        <v>-658.75579369840398</v>
      </c>
      <c r="AC53" s="219"/>
      <c r="AD53" s="219"/>
      <c r="AE53" s="227">
        <v>407</v>
      </c>
      <c r="AF53" s="227">
        <v>955</v>
      </c>
      <c r="AG53" s="218"/>
      <c r="AH53" s="231">
        <v>167.15</v>
      </c>
      <c r="AI53" s="217">
        <v>34.969430793708597</v>
      </c>
      <c r="AJ53" s="232" t="s">
        <v>53</v>
      </c>
      <c r="AK53" s="224">
        <v>0.55507033005886697</v>
      </c>
      <c r="AL53" s="225">
        <v>-161.687248390924</v>
      </c>
      <c r="AM53" s="219"/>
      <c r="AN53" s="219"/>
      <c r="AO53" s="227">
        <v>134</v>
      </c>
      <c r="AP53" s="227">
        <v>195</v>
      </c>
      <c r="AQ53" s="218"/>
      <c r="AR53" s="231">
        <v>24.2</v>
      </c>
      <c r="AS53" s="217">
        <v>5.0628790021402903</v>
      </c>
      <c r="AT53" s="232" t="s">
        <v>54</v>
      </c>
      <c r="AU53" s="224">
        <v>0.31642993763376798</v>
      </c>
      <c r="AV53" s="225">
        <v>-59.314221813567997</v>
      </c>
      <c r="AW53" s="219"/>
      <c r="AX53" s="219"/>
      <c r="AY53" s="227">
        <v>53</v>
      </c>
      <c r="AZ53" s="227">
        <v>68</v>
      </c>
      <c r="BA53" s="218"/>
      <c r="BB53" s="235">
        <v>161.80000000000001</v>
      </c>
      <c r="BC53" s="231">
        <v>33.850157956458602</v>
      </c>
      <c r="BD53" s="232" t="s">
        <v>55</v>
      </c>
      <c r="BE53" s="233">
        <v>1.05781743613933</v>
      </c>
      <c r="BF53" s="234">
        <v>-5.22844362713602</v>
      </c>
      <c r="BG53" s="219">
        <v>1.6E-2</v>
      </c>
      <c r="BH53" s="219">
        <v>6.0000000000000001E-3</v>
      </c>
      <c r="BI53" s="227">
        <v>0</v>
      </c>
      <c r="BJ53" s="227">
        <v>22</v>
      </c>
      <c r="BK53" s="220"/>
      <c r="BL53" s="236">
        <v>0.8</v>
      </c>
      <c r="BM53" s="239">
        <v>0.7</v>
      </c>
      <c r="BN53" s="237"/>
      <c r="BO53" s="238">
        <v>0.95</v>
      </c>
      <c r="BP53" s="229">
        <v>1</v>
      </c>
      <c r="BQ53" s="237">
        <v>2.5000000000000001E-3</v>
      </c>
    </row>
    <row r="54" spans="1:69" s="207" customFormat="1" ht="22.35" customHeight="1" x14ac:dyDescent="0.2">
      <c r="A54" s="216" t="s">
        <v>80</v>
      </c>
      <c r="B54" s="216" t="s">
        <v>100</v>
      </c>
      <c r="C54" s="216" t="s">
        <v>107</v>
      </c>
      <c r="D54" s="217">
        <v>2.5187938062222202</v>
      </c>
      <c r="E54" s="218"/>
      <c r="F54" s="219">
        <v>6.7000000000000004E-2</v>
      </c>
      <c r="G54" s="219">
        <v>5.0999999999999997E-2</v>
      </c>
      <c r="H54" s="220"/>
      <c r="I54" s="221">
        <v>5</v>
      </c>
      <c r="J54" s="221">
        <v>5</v>
      </c>
      <c r="K54" s="218"/>
      <c r="L54" s="222">
        <v>1242.9356600000001</v>
      </c>
      <c r="M54" s="222">
        <v>-186.79929999999999</v>
      </c>
      <c r="N54" s="222">
        <v>1056.13636</v>
      </c>
      <c r="O54" s="217">
        <v>419.30242856362702</v>
      </c>
      <c r="P54" s="223">
        <v>239.02500000000001</v>
      </c>
      <c r="Q54" s="229">
        <v>1.7542199709805599</v>
      </c>
      <c r="R54" s="230">
        <v>398.69263903076501</v>
      </c>
      <c r="S54" s="219">
        <v>0.01</v>
      </c>
      <c r="T54" s="219">
        <v>0.01</v>
      </c>
      <c r="U54" s="226">
        <v>0</v>
      </c>
      <c r="V54" s="227">
        <v>0</v>
      </c>
      <c r="W54" s="218"/>
      <c r="X54" s="226">
        <v>1728.5798649999999</v>
      </c>
      <c r="Y54" s="217">
        <v>686.27287423442795</v>
      </c>
      <c r="Z54" s="228">
        <v>573</v>
      </c>
      <c r="AA54" s="229">
        <v>1.1976838991874801</v>
      </c>
      <c r="AB54" s="230">
        <v>152.530279745857</v>
      </c>
      <c r="AC54" s="219">
        <v>0.02</v>
      </c>
      <c r="AD54" s="219">
        <v>0.02</v>
      </c>
      <c r="AE54" s="227">
        <v>0</v>
      </c>
      <c r="AF54" s="227">
        <v>4</v>
      </c>
      <c r="AG54" s="218"/>
      <c r="AH54" s="231">
        <v>168.8</v>
      </c>
      <c r="AI54" s="217">
        <v>67.016204177972099</v>
      </c>
      <c r="AJ54" s="232" t="s">
        <v>53</v>
      </c>
      <c r="AK54" s="233">
        <v>1.0637492726662201</v>
      </c>
      <c r="AL54" s="234">
        <v>-4.4829386928638497</v>
      </c>
      <c r="AM54" s="219">
        <v>1.7000000000000001E-2</v>
      </c>
      <c r="AN54" s="219">
        <v>6.0000000000000001E-3</v>
      </c>
      <c r="AO54" s="227">
        <v>0</v>
      </c>
      <c r="AP54" s="227">
        <v>22</v>
      </c>
      <c r="AQ54" s="218"/>
      <c r="AR54" s="231">
        <v>15.8</v>
      </c>
      <c r="AS54" s="217">
        <v>6.2728437559950203</v>
      </c>
      <c r="AT54" s="232" t="s">
        <v>54</v>
      </c>
      <c r="AU54" s="224">
        <v>0.39205273474968899</v>
      </c>
      <c r="AV54" s="225">
        <v>-28.2083653823146</v>
      </c>
      <c r="AW54" s="219"/>
      <c r="AX54" s="219"/>
      <c r="AY54" s="227">
        <v>25</v>
      </c>
      <c r="AZ54" s="227">
        <v>33</v>
      </c>
      <c r="BA54" s="218"/>
      <c r="BB54" s="235">
        <v>92.8</v>
      </c>
      <c r="BC54" s="231">
        <v>36.843031680780904</v>
      </c>
      <c r="BD54" s="232" t="s">
        <v>55</v>
      </c>
      <c r="BE54" s="229">
        <v>1.1513447400243999</v>
      </c>
      <c r="BF54" s="230">
        <v>4.78326923537072</v>
      </c>
      <c r="BG54" s="219">
        <v>0.02</v>
      </c>
      <c r="BH54" s="219">
        <v>1.4999999999999999E-2</v>
      </c>
      <c r="BI54" s="227">
        <v>0</v>
      </c>
      <c r="BJ54" s="227">
        <v>4</v>
      </c>
      <c r="BK54" s="220"/>
      <c r="BL54" s="236">
        <v>0.8</v>
      </c>
      <c r="BM54" s="239">
        <v>0.7</v>
      </c>
      <c r="BN54" s="237"/>
      <c r="BO54" s="238">
        <v>0.95</v>
      </c>
      <c r="BP54" s="229">
        <v>1</v>
      </c>
      <c r="BQ54" s="237">
        <v>2.5000000000000001E-3</v>
      </c>
    </row>
    <row r="55" spans="1:69" s="207" customFormat="1" ht="22.35" customHeight="1" x14ac:dyDescent="0.2">
      <c r="A55" s="216" t="s">
        <v>80</v>
      </c>
      <c r="B55" s="216" t="s">
        <v>100</v>
      </c>
      <c r="C55" s="216" t="s">
        <v>108</v>
      </c>
      <c r="D55" s="217">
        <v>2.56970437377778</v>
      </c>
      <c r="E55" s="218"/>
      <c r="F55" s="219">
        <v>0.01</v>
      </c>
      <c r="G55" s="219">
        <v>0.01</v>
      </c>
      <c r="H55" s="220"/>
      <c r="I55" s="221">
        <v>2</v>
      </c>
      <c r="J55" s="221">
        <v>2</v>
      </c>
      <c r="K55" s="218"/>
      <c r="L55" s="222">
        <v>466.75184999999999</v>
      </c>
      <c r="M55" s="222">
        <v>407.60933999999997</v>
      </c>
      <c r="N55" s="222">
        <v>874.36118999999997</v>
      </c>
      <c r="O55" s="217">
        <v>340.257501571896</v>
      </c>
      <c r="P55" s="223">
        <v>273.43799999999999</v>
      </c>
      <c r="Q55" s="229">
        <v>1.24436801604713</v>
      </c>
      <c r="R55" s="230">
        <v>107.062121583703</v>
      </c>
      <c r="S55" s="219">
        <v>0.01</v>
      </c>
      <c r="T55" s="219">
        <v>0.01</v>
      </c>
      <c r="U55" s="226">
        <v>0</v>
      </c>
      <c r="V55" s="227">
        <v>0</v>
      </c>
      <c r="W55" s="218"/>
      <c r="X55" s="226">
        <v>1020.32716</v>
      </c>
      <c r="Y55" s="217">
        <v>397.06013283543399</v>
      </c>
      <c r="Z55" s="228">
        <v>573</v>
      </c>
      <c r="AA55" s="224">
        <v>0.69294962100424795</v>
      </c>
      <c r="AB55" s="225">
        <v>-587.57798194273698</v>
      </c>
      <c r="AC55" s="219"/>
      <c r="AD55" s="219"/>
      <c r="AE55" s="227">
        <v>453</v>
      </c>
      <c r="AF55" s="227">
        <v>747</v>
      </c>
      <c r="AG55" s="218"/>
      <c r="AH55" s="231">
        <v>96.1</v>
      </c>
      <c r="AI55" s="217">
        <v>37.397297907354698</v>
      </c>
      <c r="AJ55" s="232" t="s">
        <v>53</v>
      </c>
      <c r="AK55" s="224">
        <v>0.59360790329134505</v>
      </c>
      <c r="AL55" s="225">
        <v>-80.685382098416198</v>
      </c>
      <c r="AM55" s="219"/>
      <c r="AN55" s="219"/>
      <c r="AO55" s="227">
        <v>66</v>
      </c>
      <c r="AP55" s="227">
        <v>99</v>
      </c>
      <c r="AQ55" s="218"/>
      <c r="AR55" s="231">
        <v>7</v>
      </c>
      <c r="AS55" s="217">
        <v>2.7240487549582002</v>
      </c>
      <c r="AT55" s="232" t="s">
        <v>54</v>
      </c>
      <c r="AU55" s="224">
        <v>0.17025304718488701</v>
      </c>
      <c r="AV55" s="225">
        <v>-37.897874818645398</v>
      </c>
      <c r="AW55" s="219"/>
      <c r="AX55" s="219"/>
      <c r="AY55" s="227">
        <v>35</v>
      </c>
      <c r="AZ55" s="227">
        <v>43</v>
      </c>
      <c r="BA55" s="218"/>
      <c r="BB55" s="235">
        <v>59.4</v>
      </c>
      <c r="BC55" s="231">
        <v>23.115499434930999</v>
      </c>
      <c r="BD55" s="232" t="s">
        <v>55</v>
      </c>
      <c r="BE55" s="224">
        <v>0.72235935734159396</v>
      </c>
      <c r="BF55" s="225">
        <v>-30.395749637290798</v>
      </c>
      <c r="BG55" s="219"/>
      <c r="BH55" s="219"/>
      <c r="BI55" s="227">
        <v>23</v>
      </c>
      <c r="BJ55" s="227">
        <v>40</v>
      </c>
      <c r="BK55" s="220"/>
      <c r="BL55" s="236">
        <v>0.8</v>
      </c>
      <c r="BM55" s="239">
        <v>0.74</v>
      </c>
      <c r="BN55" s="237"/>
      <c r="BO55" s="238">
        <v>0.95</v>
      </c>
      <c r="BP55" s="229">
        <v>1</v>
      </c>
      <c r="BQ55" s="237">
        <v>2.5000000000000001E-3</v>
      </c>
    </row>
    <row r="56" spans="1:69" s="207" customFormat="1" ht="22.35" customHeight="1" x14ac:dyDescent="0.2">
      <c r="A56" s="216" t="s">
        <v>80</v>
      </c>
      <c r="B56" s="216" t="s">
        <v>100</v>
      </c>
      <c r="C56" s="216" t="s">
        <v>109</v>
      </c>
      <c r="D56" s="217">
        <v>5.2395012254444397</v>
      </c>
      <c r="E56" s="218"/>
      <c r="F56" s="219">
        <v>2.8000000000000001E-2</v>
      </c>
      <c r="G56" s="219">
        <v>1.7999999999999999E-2</v>
      </c>
      <c r="H56" s="220"/>
      <c r="I56" s="221">
        <v>3</v>
      </c>
      <c r="J56" s="221">
        <v>3</v>
      </c>
      <c r="K56" s="218"/>
      <c r="L56" s="222">
        <v>2040.5803000000001</v>
      </c>
      <c r="M56" s="222">
        <v>1292.06933</v>
      </c>
      <c r="N56" s="222">
        <v>3332.6496299999999</v>
      </c>
      <c r="O56" s="217">
        <v>636.06238200990299</v>
      </c>
      <c r="P56" s="223">
        <v>287.5</v>
      </c>
      <c r="Q56" s="229">
        <v>2.2123908939474899</v>
      </c>
      <c r="R56" s="230">
        <v>1687.7082202717199</v>
      </c>
      <c r="S56" s="219">
        <v>0.01</v>
      </c>
      <c r="T56" s="219">
        <v>0.01</v>
      </c>
      <c r="U56" s="226">
        <v>0</v>
      </c>
      <c r="V56" s="227">
        <v>0</v>
      </c>
      <c r="W56" s="218"/>
      <c r="X56" s="226">
        <v>2274.1187</v>
      </c>
      <c r="Y56" s="217">
        <v>434.03343221989502</v>
      </c>
      <c r="Z56" s="228">
        <v>573</v>
      </c>
      <c r="AA56" s="239">
        <v>0.75747544890034102</v>
      </c>
      <c r="AB56" s="222">
        <v>-1004.32104878019</v>
      </c>
      <c r="AC56" s="219"/>
      <c r="AD56" s="219"/>
      <c r="AE56" s="227">
        <v>729</v>
      </c>
      <c r="AF56" s="227">
        <v>1329</v>
      </c>
      <c r="AG56" s="218"/>
      <c r="AH56" s="231">
        <v>148.80000000000001</v>
      </c>
      <c r="AI56" s="217">
        <v>28.399649813495</v>
      </c>
      <c r="AJ56" s="232" t="s">
        <v>53</v>
      </c>
      <c r="AK56" s="224">
        <v>0.450788092277698</v>
      </c>
      <c r="AL56" s="225">
        <v>-211.65672630567599</v>
      </c>
      <c r="AM56" s="219"/>
      <c r="AN56" s="219"/>
      <c r="AO56" s="227">
        <v>182</v>
      </c>
      <c r="AP56" s="227">
        <v>248</v>
      </c>
      <c r="AQ56" s="218"/>
      <c r="AR56" s="231">
        <v>26.3</v>
      </c>
      <c r="AS56" s="217">
        <v>5.0195617613905803</v>
      </c>
      <c r="AT56" s="232" t="s">
        <v>54</v>
      </c>
      <c r="AU56" s="224">
        <v>0.31372261008691099</v>
      </c>
      <c r="AV56" s="225">
        <v>-65.244565410965293</v>
      </c>
      <c r="AW56" s="219"/>
      <c r="AX56" s="219"/>
      <c r="AY56" s="227">
        <v>58</v>
      </c>
      <c r="AZ56" s="227">
        <v>75</v>
      </c>
      <c r="BA56" s="218"/>
      <c r="BB56" s="235">
        <v>180.8</v>
      </c>
      <c r="BC56" s="231">
        <v>34.507101386289598</v>
      </c>
      <c r="BD56" s="232" t="s">
        <v>55</v>
      </c>
      <c r="BE56" s="233">
        <v>1.0783469183215499</v>
      </c>
      <c r="BF56" s="234">
        <v>-2.28913082193051</v>
      </c>
      <c r="BG56" s="219">
        <v>1.7999999999999999E-2</v>
      </c>
      <c r="BH56" s="219">
        <v>8.0000000000000002E-3</v>
      </c>
      <c r="BI56" s="227">
        <v>0</v>
      </c>
      <c r="BJ56" s="227">
        <v>21</v>
      </c>
      <c r="BK56" s="220"/>
      <c r="BL56" s="236">
        <v>0.8</v>
      </c>
      <c r="BM56" s="239">
        <v>0.7</v>
      </c>
      <c r="BN56" s="237"/>
      <c r="BO56" s="238">
        <v>0.95</v>
      </c>
      <c r="BP56" s="229">
        <v>1</v>
      </c>
      <c r="BQ56" s="237">
        <v>2.5000000000000001E-3</v>
      </c>
    </row>
    <row r="57" spans="1:69" s="207" customFormat="1" ht="22.35" customHeight="1" x14ac:dyDescent="0.2">
      <c r="A57" s="216" t="s">
        <v>80</v>
      </c>
      <c r="B57" s="216" t="s">
        <v>100</v>
      </c>
      <c r="C57" s="216" t="s">
        <v>110</v>
      </c>
      <c r="D57" s="217">
        <v>2.6352440239999999</v>
      </c>
      <c r="E57" s="218"/>
      <c r="F57" s="219">
        <v>0.06</v>
      </c>
      <c r="G57" s="219">
        <v>0.06</v>
      </c>
      <c r="H57" s="220"/>
      <c r="I57" s="221">
        <v>5</v>
      </c>
      <c r="J57" s="221">
        <v>5</v>
      </c>
      <c r="K57" s="218"/>
      <c r="L57" s="222">
        <v>1834.59843</v>
      </c>
      <c r="M57" s="222">
        <v>2636.83941</v>
      </c>
      <c r="N57" s="222">
        <v>4471.4378399999996</v>
      </c>
      <c r="O57" s="217">
        <v>1696.7832197994601</v>
      </c>
      <c r="P57" s="223">
        <v>269.755</v>
      </c>
      <c r="Q57" s="229">
        <v>6.2900899697853996</v>
      </c>
      <c r="R57" s="230">
        <v>3695.1675251500201</v>
      </c>
      <c r="S57" s="219">
        <v>0.01</v>
      </c>
      <c r="T57" s="219">
        <v>0.01</v>
      </c>
      <c r="U57" s="226">
        <v>0</v>
      </c>
      <c r="V57" s="227">
        <v>0</v>
      </c>
      <c r="W57" s="218"/>
      <c r="X57" s="226">
        <v>1869.7637400000001</v>
      </c>
      <c r="Y57" s="217">
        <v>709.52204918082396</v>
      </c>
      <c r="Z57" s="228">
        <v>573</v>
      </c>
      <c r="AA57" s="229">
        <v>1.23825837553372</v>
      </c>
      <c r="AB57" s="230">
        <v>220.849390278816</v>
      </c>
      <c r="AC57" s="219">
        <v>0.02</v>
      </c>
      <c r="AD57" s="219">
        <v>0.02</v>
      </c>
      <c r="AE57" s="227">
        <v>0</v>
      </c>
      <c r="AF57" s="227">
        <v>0</v>
      </c>
      <c r="AG57" s="218"/>
      <c r="AH57" s="231">
        <v>147.94999999999999</v>
      </c>
      <c r="AI57" s="217">
        <v>56.142808276035403</v>
      </c>
      <c r="AJ57" s="232" t="s">
        <v>53</v>
      </c>
      <c r="AK57" s="239">
        <v>0.89115568692119596</v>
      </c>
      <c r="AL57" s="222">
        <v>-33.344247875104003</v>
      </c>
      <c r="AM57" s="219"/>
      <c r="AN57" s="219"/>
      <c r="AO57" s="227">
        <v>19</v>
      </c>
      <c r="AP57" s="227">
        <v>52</v>
      </c>
      <c r="AQ57" s="218"/>
      <c r="AR57" s="231">
        <v>63.4</v>
      </c>
      <c r="AS57" s="217">
        <v>24.058493036165199</v>
      </c>
      <c r="AT57" s="232" t="s">
        <v>54</v>
      </c>
      <c r="AU57" s="229">
        <v>1.5036558147603301</v>
      </c>
      <c r="AV57" s="230">
        <v>17.357016412671999</v>
      </c>
      <c r="AW57" s="219">
        <v>0.01</v>
      </c>
      <c r="AX57" s="219">
        <v>0.01</v>
      </c>
      <c r="AY57" s="227">
        <v>0</v>
      </c>
      <c r="AZ57" s="227">
        <v>0</v>
      </c>
      <c r="BA57" s="218"/>
      <c r="BB57" s="235">
        <v>134.80000000000001</v>
      </c>
      <c r="BC57" s="231">
        <v>51.152758064275602</v>
      </c>
      <c r="BD57" s="232" t="s">
        <v>55</v>
      </c>
      <c r="BE57" s="229">
        <v>1.5985236895086099</v>
      </c>
      <c r="BF57" s="230">
        <v>42.714032825343999</v>
      </c>
      <c r="BG57" s="219">
        <v>0.02</v>
      </c>
      <c r="BH57" s="219">
        <v>0.02</v>
      </c>
      <c r="BI57" s="227">
        <v>0</v>
      </c>
      <c r="BJ57" s="227">
        <v>0</v>
      </c>
      <c r="BK57" s="220"/>
      <c r="BL57" s="236">
        <v>0.8</v>
      </c>
      <c r="BM57" s="239">
        <v>0.73</v>
      </c>
      <c r="BN57" s="237"/>
      <c r="BO57" s="238">
        <v>0.95</v>
      </c>
      <c r="BP57" s="229">
        <v>1</v>
      </c>
      <c r="BQ57" s="237">
        <v>2.5000000000000001E-3</v>
      </c>
    </row>
    <row r="58" spans="1:69" s="207" customFormat="1" ht="22.35" customHeight="1" x14ac:dyDescent="0.2">
      <c r="A58" s="216" t="s">
        <v>80</v>
      </c>
      <c r="B58" s="216" t="s">
        <v>100</v>
      </c>
      <c r="C58" s="216" t="s">
        <v>111</v>
      </c>
      <c r="D58" s="217">
        <v>5.3559300766666702</v>
      </c>
      <c r="E58" s="218"/>
      <c r="F58" s="219">
        <v>0.03</v>
      </c>
      <c r="G58" s="219">
        <v>2.5999999999999999E-2</v>
      </c>
      <c r="H58" s="220"/>
      <c r="I58" s="221">
        <v>3</v>
      </c>
      <c r="J58" s="221">
        <v>3</v>
      </c>
      <c r="K58" s="218"/>
      <c r="L58" s="222">
        <v>3012.1510400000002</v>
      </c>
      <c r="M58" s="222">
        <v>1264.44965</v>
      </c>
      <c r="N58" s="222">
        <v>4276.6006900000002</v>
      </c>
      <c r="O58" s="217">
        <v>798.47955981187795</v>
      </c>
      <c r="P58" s="223">
        <v>280.08499999999998</v>
      </c>
      <c r="Q58" s="229">
        <v>2.85084727783308</v>
      </c>
      <c r="R58" s="230">
        <v>2638.4743723286801</v>
      </c>
      <c r="S58" s="219">
        <v>0.01</v>
      </c>
      <c r="T58" s="219">
        <v>0.01</v>
      </c>
      <c r="U58" s="226">
        <v>0</v>
      </c>
      <c r="V58" s="227">
        <v>0</v>
      </c>
      <c r="W58" s="218"/>
      <c r="X58" s="226">
        <v>1920.2623349999999</v>
      </c>
      <c r="Y58" s="217">
        <v>358.53013529166498</v>
      </c>
      <c r="Z58" s="228">
        <v>573</v>
      </c>
      <c r="AA58" s="224">
        <v>0.62570704239383101</v>
      </c>
      <c r="AB58" s="225">
        <v>-1431.0288088515599</v>
      </c>
      <c r="AC58" s="219"/>
      <c r="AD58" s="219"/>
      <c r="AE58" s="227">
        <v>1149</v>
      </c>
      <c r="AF58" s="227">
        <v>1763</v>
      </c>
      <c r="AG58" s="218"/>
      <c r="AH58" s="231">
        <v>236.2</v>
      </c>
      <c r="AI58" s="217">
        <v>44.100650422793102</v>
      </c>
      <c r="AJ58" s="232" t="s">
        <v>53</v>
      </c>
      <c r="AK58" s="224">
        <v>0.70001032417131803</v>
      </c>
      <c r="AL58" s="225">
        <v>-132.26656555436</v>
      </c>
      <c r="AM58" s="219"/>
      <c r="AN58" s="219"/>
      <c r="AO58" s="227">
        <v>102</v>
      </c>
      <c r="AP58" s="227">
        <v>169</v>
      </c>
      <c r="AQ58" s="218"/>
      <c r="AR58" s="231">
        <v>26.9</v>
      </c>
      <c r="AS58" s="217">
        <v>5.0224703487431599</v>
      </c>
      <c r="AT58" s="232" t="s">
        <v>54</v>
      </c>
      <c r="AU58" s="224">
        <v>0.31390439679644699</v>
      </c>
      <c r="AV58" s="225">
        <v>-66.678810299520094</v>
      </c>
      <c r="AW58" s="219"/>
      <c r="AX58" s="219"/>
      <c r="AY58" s="227">
        <v>59</v>
      </c>
      <c r="AZ58" s="227">
        <v>76</v>
      </c>
      <c r="BA58" s="218"/>
      <c r="BB58" s="235">
        <v>199.2</v>
      </c>
      <c r="BC58" s="231">
        <v>37.192419831584999</v>
      </c>
      <c r="BD58" s="232" t="s">
        <v>55</v>
      </c>
      <c r="BE58" s="229">
        <v>1.1622631197370299</v>
      </c>
      <c r="BF58" s="230">
        <v>12.0423794009599</v>
      </c>
      <c r="BG58" s="219">
        <v>0.02</v>
      </c>
      <c r="BH58" s="219">
        <v>1.6E-2</v>
      </c>
      <c r="BI58" s="227">
        <v>0</v>
      </c>
      <c r="BJ58" s="227">
        <v>7</v>
      </c>
      <c r="BK58" s="220"/>
      <c r="BL58" s="236">
        <v>0.8</v>
      </c>
      <c r="BM58" s="224">
        <v>0.65</v>
      </c>
      <c r="BN58" s="237"/>
      <c r="BO58" s="238">
        <v>0.95</v>
      </c>
      <c r="BP58" s="229">
        <v>1</v>
      </c>
      <c r="BQ58" s="237">
        <v>2.5000000000000001E-3</v>
      </c>
    </row>
    <row r="59" spans="1:69" s="207" customFormat="1" ht="22.35" customHeight="1" x14ac:dyDescent="0.2">
      <c r="A59" s="216" t="s">
        <v>80</v>
      </c>
      <c r="B59" s="216" t="s">
        <v>100</v>
      </c>
      <c r="C59" s="216" t="s">
        <v>112</v>
      </c>
      <c r="D59" s="217">
        <v>1.38279080044444</v>
      </c>
      <c r="E59" s="218"/>
      <c r="F59" s="219">
        <v>0.01</v>
      </c>
      <c r="G59" s="219">
        <v>0.01</v>
      </c>
      <c r="H59" s="220"/>
      <c r="I59" s="221">
        <v>2</v>
      </c>
      <c r="J59" s="221">
        <v>2</v>
      </c>
      <c r="K59" s="218"/>
      <c r="L59" s="222">
        <v>155.45249000000001</v>
      </c>
      <c r="M59" s="222">
        <v>1450.7616700000001</v>
      </c>
      <c r="N59" s="222">
        <v>1606.21416</v>
      </c>
      <c r="O59" s="217">
        <v>1161.5742305226099</v>
      </c>
      <c r="P59" s="223">
        <v>280.08499999999998</v>
      </c>
      <c r="Q59" s="229">
        <v>4.1472204170969897</v>
      </c>
      <c r="R59" s="230">
        <v>1183.28369421401</v>
      </c>
      <c r="S59" s="219">
        <v>0.01</v>
      </c>
      <c r="T59" s="219">
        <v>0.01</v>
      </c>
      <c r="U59" s="226">
        <v>0</v>
      </c>
      <c r="V59" s="227">
        <v>0</v>
      </c>
      <c r="W59" s="218"/>
      <c r="X59" s="226">
        <v>699.18479000000002</v>
      </c>
      <c r="Y59" s="217">
        <v>505.63309343342002</v>
      </c>
      <c r="Z59" s="228">
        <v>573</v>
      </c>
      <c r="AA59" s="239">
        <v>0.88243122763249604</v>
      </c>
      <c r="AB59" s="222">
        <v>-166.04953849089301</v>
      </c>
      <c r="AC59" s="219"/>
      <c r="AD59" s="219"/>
      <c r="AE59" s="227">
        <v>94</v>
      </c>
      <c r="AF59" s="227">
        <v>252</v>
      </c>
      <c r="AG59" s="218"/>
      <c r="AH59" s="231">
        <v>61.3</v>
      </c>
      <c r="AI59" s="217">
        <v>44.330639154019202</v>
      </c>
      <c r="AJ59" s="232" t="s">
        <v>53</v>
      </c>
      <c r="AK59" s="224">
        <v>0.703660938952685</v>
      </c>
      <c r="AL59" s="225">
        <v>-33.8304759073757</v>
      </c>
      <c r="AM59" s="219"/>
      <c r="AN59" s="219"/>
      <c r="AO59" s="227">
        <v>26</v>
      </c>
      <c r="AP59" s="227">
        <v>44</v>
      </c>
      <c r="AQ59" s="218"/>
      <c r="AR59" s="231">
        <v>5</v>
      </c>
      <c r="AS59" s="217">
        <v>3.61587595057253</v>
      </c>
      <c r="AT59" s="232" t="s">
        <v>54</v>
      </c>
      <c r="AU59" s="224">
        <v>0.22599224691078301</v>
      </c>
      <c r="AV59" s="225">
        <v>-19.1601208653653</v>
      </c>
      <c r="AW59" s="219"/>
      <c r="AX59" s="219"/>
      <c r="AY59" s="227">
        <v>18</v>
      </c>
      <c r="AZ59" s="227">
        <v>22</v>
      </c>
      <c r="BA59" s="218"/>
      <c r="BB59" s="235">
        <v>34</v>
      </c>
      <c r="BC59" s="231">
        <v>24.5879564638932</v>
      </c>
      <c r="BD59" s="232" t="s">
        <v>55</v>
      </c>
      <c r="BE59" s="239">
        <v>0.76837363949666104</v>
      </c>
      <c r="BF59" s="222">
        <v>-14.320241730730499</v>
      </c>
      <c r="BG59" s="219"/>
      <c r="BH59" s="219"/>
      <c r="BI59" s="227">
        <v>11</v>
      </c>
      <c r="BJ59" s="227">
        <v>20</v>
      </c>
      <c r="BK59" s="220"/>
      <c r="BL59" s="236">
        <v>0.8</v>
      </c>
      <c r="BM59" s="239">
        <v>0.75</v>
      </c>
      <c r="BN59" s="237"/>
      <c r="BO59" s="238">
        <v>0.95</v>
      </c>
      <c r="BP59" s="229">
        <v>1</v>
      </c>
      <c r="BQ59" s="237">
        <v>2.5000000000000001E-3</v>
      </c>
    </row>
    <row r="60" spans="1:69" s="207" customFormat="1" ht="22.35" customHeight="1" x14ac:dyDescent="0.2">
      <c r="A60" s="216" t="s">
        <v>80</v>
      </c>
      <c r="B60" s="216" t="s">
        <v>100</v>
      </c>
      <c r="C60" s="216" t="s">
        <v>113</v>
      </c>
      <c r="D60" s="217">
        <v>3.0026688585555599</v>
      </c>
      <c r="E60" s="218"/>
      <c r="F60" s="219">
        <v>0.05</v>
      </c>
      <c r="G60" s="219">
        <v>4.7E-2</v>
      </c>
      <c r="H60" s="220"/>
      <c r="I60" s="221">
        <v>4</v>
      </c>
      <c r="J60" s="221">
        <v>4</v>
      </c>
      <c r="K60" s="218"/>
      <c r="L60" s="222">
        <v>1197.3513600000001</v>
      </c>
      <c r="M60" s="222">
        <v>785.22547999999995</v>
      </c>
      <c r="N60" s="222">
        <v>1982.5768399999999</v>
      </c>
      <c r="O60" s="217">
        <v>660.27155620274596</v>
      </c>
      <c r="P60" s="223">
        <v>239.26400000000001</v>
      </c>
      <c r="Q60" s="229">
        <v>2.7595942398469702</v>
      </c>
      <c r="R60" s="230">
        <v>1198.05066654341</v>
      </c>
      <c r="S60" s="219">
        <v>0.01</v>
      </c>
      <c r="T60" s="219">
        <v>0.01</v>
      </c>
      <c r="U60" s="226">
        <v>0</v>
      </c>
      <c r="V60" s="227">
        <v>0</v>
      </c>
      <c r="W60" s="218"/>
      <c r="X60" s="226">
        <v>2018.4277300000001</v>
      </c>
      <c r="Y60" s="217">
        <v>672.21123110157805</v>
      </c>
      <c r="Z60" s="228">
        <v>573</v>
      </c>
      <c r="AA60" s="229">
        <v>1.17314350977588</v>
      </c>
      <c r="AB60" s="230">
        <v>139.60978250004899</v>
      </c>
      <c r="AC60" s="219">
        <v>0.02</v>
      </c>
      <c r="AD60" s="219">
        <v>1.7000000000000001E-2</v>
      </c>
      <c r="AE60" s="227">
        <v>0</v>
      </c>
      <c r="AF60" s="227">
        <v>47</v>
      </c>
      <c r="AG60" s="218"/>
      <c r="AH60" s="231">
        <v>169.8</v>
      </c>
      <c r="AI60" s="217">
        <v>56.549692289972597</v>
      </c>
      <c r="AJ60" s="232" t="s">
        <v>53</v>
      </c>
      <c r="AK60" s="239">
        <v>0.89761416333289901</v>
      </c>
      <c r="AL60" s="222">
        <v>-36.771606793188298</v>
      </c>
      <c r="AM60" s="219"/>
      <c r="AN60" s="219"/>
      <c r="AO60" s="227">
        <v>20</v>
      </c>
      <c r="AP60" s="227">
        <v>58</v>
      </c>
      <c r="AQ60" s="218"/>
      <c r="AR60" s="231">
        <v>31.5</v>
      </c>
      <c r="AS60" s="217">
        <v>10.4906672976098</v>
      </c>
      <c r="AT60" s="232" t="s">
        <v>54</v>
      </c>
      <c r="AU60" s="224">
        <v>0.65566670610060995</v>
      </c>
      <c r="AV60" s="225">
        <v>-20.9626302966828</v>
      </c>
      <c r="AW60" s="219"/>
      <c r="AX60" s="219"/>
      <c r="AY60" s="227">
        <v>17</v>
      </c>
      <c r="AZ60" s="227">
        <v>27</v>
      </c>
      <c r="BA60" s="218"/>
      <c r="BB60" s="235">
        <v>130.80000000000001</v>
      </c>
      <c r="BC60" s="231">
        <v>43.561247064360501</v>
      </c>
      <c r="BD60" s="232" t="s">
        <v>55</v>
      </c>
      <c r="BE60" s="229">
        <v>1.3612889707612701</v>
      </c>
      <c r="BF60" s="230">
        <v>25.8747394066345</v>
      </c>
      <c r="BG60" s="219">
        <v>0.02</v>
      </c>
      <c r="BH60" s="219">
        <v>0.02</v>
      </c>
      <c r="BI60" s="227">
        <v>0</v>
      </c>
      <c r="BJ60" s="227">
        <v>0</v>
      </c>
      <c r="BK60" s="220"/>
      <c r="BL60" s="236">
        <v>0.8</v>
      </c>
      <c r="BM60" s="239">
        <v>0.73</v>
      </c>
      <c r="BN60" s="237"/>
      <c r="BO60" s="238">
        <v>0.95</v>
      </c>
      <c r="BP60" s="229">
        <v>1</v>
      </c>
      <c r="BQ60" s="237">
        <v>2.5000000000000001E-3</v>
      </c>
    </row>
    <row r="61" spans="1:69" s="207" customFormat="1" ht="22.35" customHeight="1" x14ac:dyDescent="0.2">
      <c r="A61" s="216" t="s">
        <v>80</v>
      </c>
      <c r="B61" s="216" t="s">
        <v>100</v>
      </c>
      <c r="C61" s="216" t="s">
        <v>114</v>
      </c>
      <c r="D61" s="217">
        <v>8.0969419465555603</v>
      </c>
      <c r="E61" s="218"/>
      <c r="F61" s="219">
        <v>4.4999999999999998E-2</v>
      </c>
      <c r="G61" s="219">
        <v>2.9000000000000001E-2</v>
      </c>
      <c r="H61" s="220"/>
      <c r="I61" s="221">
        <v>4</v>
      </c>
      <c r="J61" s="221">
        <v>4</v>
      </c>
      <c r="K61" s="218"/>
      <c r="L61" s="222">
        <v>4538.8215399999999</v>
      </c>
      <c r="M61" s="222">
        <v>3400.4379800000002</v>
      </c>
      <c r="N61" s="222">
        <v>7939.2595199999996</v>
      </c>
      <c r="O61" s="217">
        <v>980.52568147377701</v>
      </c>
      <c r="P61" s="223">
        <v>262.83</v>
      </c>
      <c r="Q61" s="229">
        <v>3.7306459744845601</v>
      </c>
      <c r="R61" s="230">
        <v>5615.3532970199904</v>
      </c>
      <c r="S61" s="219">
        <v>0.01</v>
      </c>
      <c r="T61" s="219">
        <v>0.01</v>
      </c>
      <c r="U61" s="226">
        <v>0</v>
      </c>
      <c r="V61" s="227">
        <v>0</v>
      </c>
      <c r="W61" s="218"/>
      <c r="X61" s="226">
        <v>4865.2485100000004</v>
      </c>
      <c r="Y61" s="217">
        <v>600.87481695106896</v>
      </c>
      <c r="Z61" s="228">
        <v>573</v>
      </c>
      <c r="AA61" s="233">
        <v>1.0486471500018699</v>
      </c>
      <c r="AB61" s="234">
        <v>-201.13761703096</v>
      </c>
      <c r="AC61" s="219">
        <v>1.4999999999999999E-2</v>
      </c>
      <c r="AD61" s="219">
        <v>5.0000000000000001E-3</v>
      </c>
      <c r="AE61" s="227">
        <v>0</v>
      </c>
      <c r="AF61" s="227">
        <v>703</v>
      </c>
      <c r="AG61" s="218"/>
      <c r="AH61" s="231">
        <v>415.3</v>
      </c>
      <c r="AI61" s="217">
        <v>51.290969200621298</v>
      </c>
      <c r="AJ61" s="232" t="s">
        <v>53</v>
      </c>
      <c r="AK61" s="239">
        <v>0.81414236826383102</v>
      </c>
      <c r="AL61" s="222">
        <v>-141.73721815523601</v>
      </c>
      <c r="AM61" s="219"/>
      <c r="AN61" s="219"/>
      <c r="AO61" s="227">
        <v>95</v>
      </c>
      <c r="AP61" s="227">
        <v>197</v>
      </c>
      <c r="AQ61" s="218"/>
      <c r="AR61" s="231">
        <v>35.9</v>
      </c>
      <c r="AS61" s="217">
        <v>4.43377268071829</v>
      </c>
      <c r="AT61" s="232" t="s">
        <v>54</v>
      </c>
      <c r="AU61" s="224">
        <v>0.27711079254489301</v>
      </c>
      <c r="AV61" s="225">
        <v>-105.569769690219</v>
      </c>
      <c r="AW61" s="219"/>
      <c r="AX61" s="219"/>
      <c r="AY61" s="227">
        <v>94</v>
      </c>
      <c r="AZ61" s="227">
        <v>120</v>
      </c>
      <c r="BA61" s="218"/>
      <c r="BB61" s="235">
        <v>294.60000000000002</v>
      </c>
      <c r="BC61" s="231">
        <v>36.384106733693798</v>
      </c>
      <c r="BD61" s="232" t="s">
        <v>55</v>
      </c>
      <c r="BE61" s="229">
        <v>1.1370033354279301</v>
      </c>
      <c r="BF61" s="230">
        <v>11.6604606195625</v>
      </c>
      <c r="BG61" s="219">
        <v>0.02</v>
      </c>
      <c r="BH61" s="219">
        <v>1.4E-2</v>
      </c>
      <c r="BI61" s="227">
        <v>0</v>
      </c>
      <c r="BJ61" s="227">
        <v>17</v>
      </c>
      <c r="BK61" s="220"/>
      <c r="BL61" s="236">
        <v>0.8</v>
      </c>
      <c r="BM61" s="224">
        <v>0.68</v>
      </c>
      <c r="BN61" s="237"/>
      <c r="BO61" s="238">
        <v>0.95</v>
      </c>
      <c r="BP61" s="229">
        <v>1</v>
      </c>
      <c r="BQ61" s="237">
        <v>2.5000000000000001E-3</v>
      </c>
    </row>
    <row r="62" spans="1:69" s="207" customFormat="1" ht="22.35" customHeight="1" x14ac:dyDescent="0.2">
      <c r="A62" s="216" t="s">
        <v>80</v>
      </c>
      <c r="B62" s="216" t="s">
        <v>100</v>
      </c>
      <c r="C62" s="216" t="s">
        <v>115</v>
      </c>
      <c r="D62" s="217">
        <v>1.895420369</v>
      </c>
      <c r="E62" s="218"/>
      <c r="F62" s="219">
        <v>5.8000000000000003E-2</v>
      </c>
      <c r="G62" s="219">
        <v>4.3999999999999997E-2</v>
      </c>
      <c r="H62" s="220"/>
      <c r="I62" s="221">
        <v>5</v>
      </c>
      <c r="J62" s="221">
        <v>4</v>
      </c>
      <c r="K62" s="218"/>
      <c r="L62" s="222">
        <v>2330.3993599999999</v>
      </c>
      <c r="M62" s="222">
        <v>412.32677999999999</v>
      </c>
      <c r="N62" s="222">
        <v>2742.7261400000002</v>
      </c>
      <c r="O62" s="217">
        <v>1447.0278914682301</v>
      </c>
      <c r="P62" s="223">
        <v>248.27199999999999</v>
      </c>
      <c r="Q62" s="229">
        <v>5.8283974490406898</v>
      </c>
      <c r="R62" s="230">
        <v>2228.8529920092101</v>
      </c>
      <c r="S62" s="219">
        <v>0.01</v>
      </c>
      <c r="T62" s="219">
        <v>0.01</v>
      </c>
      <c r="U62" s="226">
        <v>0</v>
      </c>
      <c r="V62" s="227">
        <v>0</v>
      </c>
      <c r="W62" s="218"/>
      <c r="X62" s="226">
        <v>1069.90086</v>
      </c>
      <c r="Y62" s="217">
        <v>564.46626695505302</v>
      </c>
      <c r="Z62" s="228">
        <v>573</v>
      </c>
      <c r="AA62" s="233">
        <v>0.98510692313272896</v>
      </c>
      <c r="AB62" s="234">
        <v>-116.093991609204</v>
      </c>
      <c r="AC62" s="219">
        <v>8.0000000000000002E-3</v>
      </c>
      <c r="AD62" s="219"/>
      <c r="AE62" s="227">
        <v>17</v>
      </c>
      <c r="AF62" s="227">
        <v>234</v>
      </c>
      <c r="AG62" s="218"/>
      <c r="AH62" s="231">
        <v>135.9</v>
      </c>
      <c r="AI62" s="217">
        <v>71.699134515315507</v>
      </c>
      <c r="AJ62" s="232" t="s">
        <v>53</v>
      </c>
      <c r="AK62" s="229">
        <v>1.1380815002431</v>
      </c>
      <c r="AL62" s="230">
        <v>5.5026602942759801</v>
      </c>
      <c r="AM62" s="219">
        <v>0.02</v>
      </c>
      <c r="AN62" s="219">
        <v>1.4E-2</v>
      </c>
      <c r="AO62" s="227">
        <v>0</v>
      </c>
      <c r="AP62" s="227">
        <v>8</v>
      </c>
      <c r="AQ62" s="218"/>
      <c r="AR62" s="231">
        <v>26.9</v>
      </c>
      <c r="AS62" s="217">
        <v>14.1921024169388</v>
      </c>
      <c r="AT62" s="232" t="s">
        <v>54</v>
      </c>
      <c r="AU62" s="239">
        <v>0.88700640105867701</v>
      </c>
      <c r="AV62" s="222">
        <v>-6.2167846871680004</v>
      </c>
      <c r="AW62" s="219"/>
      <c r="AX62" s="219"/>
      <c r="AY62" s="227">
        <v>4</v>
      </c>
      <c r="AZ62" s="227">
        <v>10</v>
      </c>
      <c r="BA62" s="218"/>
      <c r="BB62" s="235">
        <v>82</v>
      </c>
      <c r="BC62" s="231">
        <v>43.262170936393503</v>
      </c>
      <c r="BD62" s="232" t="s">
        <v>55</v>
      </c>
      <c r="BE62" s="229">
        <v>1.3519428417623001</v>
      </c>
      <c r="BF62" s="230">
        <v>15.766430625664</v>
      </c>
      <c r="BG62" s="219">
        <v>0.02</v>
      </c>
      <c r="BH62" s="219">
        <v>0.02</v>
      </c>
      <c r="BI62" s="227">
        <v>0</v>
      </c>
      <c r="BJ62" s="227">
        <v>0</v>
      </c>
      <c r="BK62" s="220"/>
      <c r="BL62" s="236">
        <v>0.8</v>
      </c>
      <c r="BM62" s="239">
        <v>0.8</v>
      </c>
      <c r="BN62" s="237">
        <v>0</v>
      </c>
      <c r="BO62" s="238">
        <v>0.95</v>
      </c>
      <c r="BP62" s="229">
        <v>1</v>
      </c>
      <c r="BQ62" s="237">
        <v>2.5000000000000001E-3</v>
      </c>
    </row>
    <row r="63" spans="1:69" s="207" customFormat="1" ht="22.35" customHeight="1" x14ac:dyDescent="0.2">
      <c r="A63" s="216" t="s">
        <v>80</v>
      </c>
      <c r="B63" s="216" t="s">
        <v>100</v>
      </c>
      <c r="C63" s="216" t="s">
        <v>116</v>
      </c>
      <c r="D63" s="217">
        <v>2.1204174575555599</v>
      </c>
      <c r="E63" s="218"/>
      <c r="F63" s="219">
        <v>5.3999999999999999E-2</v>
      </c>
      <c r="G63" s="219">
        <v>3.5000000000000003E-2</v>
      </c>
      <c r="H63" s="220"/>
      <c r="I63" s="221">
        <v>4</v>
      </c>
      <c r="J63" s="221">
        <v>3</v>
      </c>
      <c r="K63" s="218"/>
      <c r="L63" s="222">
        <v>230.20095000000001</v>
      </c>
      <c r="M63" s="222">
        <v>717.09532000000002</v>
      </c>
      <c r="N63" s="222">
        <v>947.29627000000005</v>
      </c>
      <c r="O63" s="217">
        <v>446.74989192555302</v>
      </c>
      <c r="P63" s="223">
        <v>256.27100000000002</v>
      </c>
      <c r="Q63" s="229">
        <v>1.7432713491794001</v>
      </c>
      <c r="R63" s="230">
        <v>353.901829526379</v>
      </c>
      <c r="S63" s="219">
        <v>0.01</v>
      </c>
      <c r="T63" s="219">
        <v>0.01</v>
      </c>
      <c r="U63" s="226">
        <v>0</v>
      </c>
      <c r="V63" s="227">
        <v>0</v>
      </c>
      <c r="W63" s="218"/>
      <c r="X63" s="226">
        <v>1199.2255</v>
      </c>
      <c r="Y63" s="217">
        <v>565.56103880718001</v>
      </c>
      <c r="Z63" s="228">
        <v>573</v>
      </c>
      <c r="AA63" s="233">
        <v>0.98701751973329899</v>
      </c>
      <c r="AB63" s="234">
        <v>-127.553629871835</v>
      </c>
      <c r="AC63" s="219">
        <v>8.0000000000000002E-3</v>
      </c>
      <c r="AD63" s="219"/>
      <c r="AE63" s="227">
        <v>16</v>
      </c>
      <c r="AF63" s="227">
        <v>259</v>
      </c>
      <c r="AG63" s="218"/>
      <c r="AH63" s="231">
        <v>140.5</v>
      </c>
      <c r="AI63" s="217">
        <v>66.2605372821115</v>
      </c>
      <c r="AJ63" s="232" t="s">
        <v>53</v>
      </c>
      <c r="AK63" s="233">
        <v>1.0517545600335201</v>
      </c>
      <c r="AL63" s="234">
        <v>-5.3762394099923103</v>
      </c>
      <c r="AM63" s="219">
        <v>1.6E-2</v>
      </c>
      <c r="AN63" s="219">
        <v>5.0000000000000001E-3</v>
      </c>
      <c r="AO63" s="227">
        <v>0</v>
      </c>
      <c r="AP63" s="227">
        <v>20</v>
      </c>
      <c r="AQ63" s="218"/>
      <c r="AR63" s="231">
        <v>12.8</v>
      </c>
      <c r="AS63" s="217">
        <v>6.0365471687617598</v>
      </c>
      <c r="AT63" s="232" t="s">
        <v>54</v>
      </c>
      <c r="AU63" s="224">
        <v>0.37728419804760999</v>
      </c>
      <c r="AV63" s="225">
        <v>-24.247933818410701</v>
      </c>
      <c r="AW63" s="219"/>
      <c r="AX63" s="219"/>
      <c r="AY63" s="227">
        <v>22</v>
      </c>
      <c r="AZ63" s="227">
        <v>28</v>
      </c>
      <c r="BA63" s="218"/>
      <c r="BB63" s="235">
        <v>89.8</v>
      </c>
      <c r="BC63" s="231">
        <v>42.350151230844197</v>
      </c>
      <c r="BD63" s="232" t="s">
        <v>55</v>
      </c>
      <c r="BE63" s="229">
        <v>1.3234422259638801</v>
      </c>
      <c r="BF63" s="230">
        <v>15.7041323631785</v>
      </c>
      <c r="BG63" s="219">
        <v>0.02</v>
      </c>
      <c r="BH63" s="219">
        <v>0.02</v>
      </c>
      <c r="BI63" s="227">
        <v>0</v>
      </c>
      <c r="BJ63" s="227">
        <v>0</v>
      </c>
      <c r="BK63" s="220"/>
      <c r="BL63" s="236">
        <v>0.8</v>
      </c>
      <c r="BM63" s="239">
        <v>0.73</v>
      </c>
      <c r="BN63" s="237"/>
      <c r="BO63" s="238">
        <v>0.95</v>
      </c>
      <c r="BP63" s="224">
        <v>0.71</v>
      </c>
      <c r="BQ63" s="237"/>
    </row>
    <row r="64" spans="1:69" s="207" customFormat="1" ht="22.35" customHeight="1" x14ac:dyDescent="0.2">
      <c r="A64" s="216" t="s">
        <v>80</v>
      </c>
      <c r="B64" s="216" t="s">
        <v>100</v>
      </c>
      <c r="C64" s="216" t="s">
        <v>117</v>
      </c>
      <c r="D64" s="217">
        <v>2.5505437582222199</v>
      </c>
      <c r="E64" s="218"/>
      <c r="F64" s="219">
        <v>0.05</v>
      </c>
      <c r="G64" s="219">
        <v>0.05</v>
      </c>
      <c r="H64" s="220"/>
      <c r="I64" s="221">
        <v>4</v>
      </c>
      <c r="J64" s="221">
        <v>4</v>
      </c>
      <c r="K64" s="218"/>
      <c r="L64" s="222">
        <v>1358.1736599999999</v>
      </c>
      <c r="M64" s="222">
        <v>2832.5041000000001</v>
      </c>
      <c r="N64" s="222">
        <v>4190.6777599999996</v>
      </c>
      <c r="O64" s="217">
        <v>1643.05268101771</v>
      </c>
      <c r="P64" s="223">
        <v>273.43799999999999</v>
      </c>
      <c r="Q64" s="229">
        <v>6.0088673886501098</v>
      </c>
      <c r="R64" s="230">
        <v>3429.0999420964399</v>
      </c>
      <c r="S64" s="219">
        <v>0.01</v>
      </c>
      <c r="T64" s="219">
        <v>0.01</v>
      </c>
      <c r="U64" s="226">
        <v>0</v>
      </c>
      <c r="V64" s="227">
        <v>0</v>
      </c>
      <c r="W64" s="218"/>
      <c r="X64" s="226">
        <v>1775.12745</v>
      </c>
      <c r="Y64" s="217">
        <v>695.98000202015601</v>
      </c>
      <c r="Z64" s="228">
        <v>573</v>
      </c>
      <c r="AA64" s="229">
        <v>1.2146247853754899</v>
      </c>
      <c r="AB64" s="230">
        <v>179.21141178022501</v>
      </c>
      <c r="AC64" s="219">
        <v>0.02</v>
      </c>
      <c r="AD64" s="219">
        <v>0.02</v>
      </c>
      <c r="AE64" s="227">
        <v>0</v>
      </c>
      <c r="AF64" s="227">
        <v>0</v>
      </c>
      <c r="AG64" s="218"/>
      <c r="AH64" s="231">
        <v>125.45</v>
      </c>
      <c r="AI64" s="217">
        <v>49.185590168992398</v>
      </c>
      <c r="AJ64" s="232" t="s">
        <v>53</v>
      </c>
      <c r="AK64" s="239">
        <v>0.78072365347607098</v>
      </c>
      <c r="AL64" s="222">
        <v>-50.017208390655902</v>
      </c>
      <c r="AM64" s="219"/>
      <c r="AN64" s="219"/>
      <c r="AO64" s="227">
        <v>36</v>
      </c>
      <c r="AP64" s="227">
        <v>68</v>
      </c>
      <c r="AQ64" s="218"/>
      <c r="AR64" s="231">
        <v>10.6</v>
      </c>
      <c r="AS64" s="217">
        <v>4.1559765308196104</v>
      </c>
      <c r="AT64" s="232" t="s">
        <v>54</v>
      </c>
      <c r="AU64" s="224">
        <v>0.25974853317622598</v>
      </c>
      <c r="AV64" s="225">
        <v>-33.963100543658598</v>
      </c>
      <c r="AW64" s="219"/>
      <c r="AX64" s="219"/>
      <c r="AY64" s="227">
        <v>31</v>
      </c>
      <c r="AZ64" s="227">
        <v>39</v>
      </c>
      <c r="BA64" s="218"/>
      <c r="BB64" s="235">
        <v>100.8</v>
      </c>
      <c r="BC64" s="231">
        <v>39.520984368548703</v>
      </c>
      <c r="BD64" s="232" t="s">
        <v>55</v>
      </c>
      <c r="BE64" s="229">
        <v>1.2350307615171501</v>
      </c>
      <c r="BF64" s="230">
        <v>11.673798912682701</v>
      </c>
      <c r="BG64" s="219">
        <v>0.02</v>
      </c>
      <c r="BH64" s="219">
        <v>0.02</v>
      </c>
      <c r="BI64" s="227">
        <v>0</v>
      </c>
      <c r="BJ64" s="227">
        <v>0</v>
      </c>
      <c r="BK64" s="220"/>
      <c r="BL64" s="236">
        <v>0.8</v>
      </c>
      <c r="BM64" s="224">
        <v>0.66</v>
      </c>
      <c r="BN64" s="237"/>
      <c r="BO64" s="238">
        <v>0.95</v>
      </c>
      <c r="BP64" s="229">
        <v>1</v>
      </c>
      <c r="BQ64" s="237">
        <v>2.5000000000000001E-3</v>
      </c>
    </row>
    <row r="65" spans="1:69" s="207" customFormat="1" ht="22.35" customHeight="1" x14ac:dyDescent="0.2">
      <c r="A65" s="216" t="s">
        <v>80</v>
      </c>
      <c r="B65" s="216" t="s">
        <v>118</v>
      </c>
      <c r="C65" s="216" t="s">
        <v>119</v>
      </c>
      <c r="D65" s="217">
        <v>2.7952903572222199</v>
      </c>
      <c r="E65" s="218"/>
      <c r="F65" s="219">
        <v>0.03</v>
      </c>
      <c r="G65" s="219">
        <v>0.03</v>
      </c>
      <c r="H65" s="220"/>
      <c r="I65" s="221">
        <v>2</v>
      </c>
      <c r="J65" s="221">
        <v>2</v>
      </c>
      <c r="K65" s="218"/>
      <c r="L65" s="222">
        <v>2630.0652</v>
      </c>
      <c r="M65" s="222">
        <v>880.678</v>
      </c>
      <c r="N65" s="222">
        <v>3510.7431999999999</v>
      </c>
      <c r="O65" s="217">
        <v>1255.9493831934999</v>
      </c>
      <c r="P65" s="223">
        <v>264.72899999999998</v>
      </c>
      <c r="Q65" s="229">
        <v>4.7442833357641199</v>
      </c>
      <c r="R65" s="230">
        <v>2702.6692922930301</v>
      </c>
      <c r="S65" s="219">
        <v>0.01</v>
      </c>
      <c r="T65" s="219">
        <v>0.01</v>
      </c>
      <c r="U65" s="226">
        <v>0</v>
      </c>
      <c r="V65" s="227">
        <v>0</v>
      </c>
      <c r="W65" s="218"/>
      <c r="X65" s="226">
        <v>1389.47047</v>
      </c>
      <c r="Y65" s="217">
        <v>497.07554222766498</v>
      </c>
      <c r="Z65" s="228">
        <v>573</v>
      </c>
      <c r="AA65" s="239">
        <v>0.86749658329435397</v>
      </c>
      <c r="AB65" s="222">
        <v>-359.58743115965899</v>
      </c>
      <c r="AC65" s="219"/>
      <c r="AD65" s="219"/>
      <c r="AE65" s="227">
        <v>213</v>
      </c>
      <c r="AF65" s="227">
        <v>533</v>
      </c>
      <c r="AG65" s="218"/>
      <c r="AH65" s="231">
        <v>150.75</v>
      </c>
      <c r="AI65" s="217">
        <v>53.929996792821697</v>
      </c>
      <c r="AJ65" s="232" t="s">
        <v>53</v>
      </c>
      <c r="AK65" s="239">
        <v>0.856031695124154</v>
      </c>
      <c r="AL65" s="222">
        <v>-41.5547954154599</v>
      </c>
      <c r="AM65" s="219"/>
      <c r="AN65" s="219"/>
      <c r="AO65" s="227">
        <v>26</v>
      </c>
      <c r="AP65" s="227">
        <v>61</v>
      </c>
      <c r="AQ65" s="218"/>
      <c r="AR65" s="231">
        <v>14</v>
      </c>
      <c r="AS65" s="217">
        <v>5.0084242460995299</v>
      </c>
      <c r="AT65" s="232" t="s">
        <v>54</v>
      </c>
      <c r="AU65" s="224">
        <v>0.313026515381221</v>
      </c>
      <c r="AV65" s="225">
        <v>-34.839313121386603</v>
      </c>
      <c r="AW65" s="219"/>
      <c r="AX65" s="219"/>
      <c r="AY65" s="227">
        <v>31</v>
      </c>
      <c r="AZ65" s="227">
        <v>40</v>
      </c>
      <c r="BA65" s="218"/>
      <c r="BB65" s="235">
        <v>124.2</v>
      </c>
      <c r="BC65" s="231">
        <v>44.431877954683003</v>
      </c>
      <c r="BD65" s="232" t="s">
        <v>55</v>
      </c>
      <c r="BE65" s="229">
        <v>1.3884961860838401</v>
      </c>
      <c r="BF65" s="230">
        <v>26.521373757226701</v>
      </c>
      <c r="BG65" s="219">
        <v>0.02</v>
      </c>
      <c r="BH65" s="219">
        <v>0.02</v>
      </c>
      <c r="BI65" s="227">
        <v>0</v>
      </c>
      <c r="BJ65" s="227">
        <v>0</v>
      </c>
      <c r="BK65" s="220"/>
      <c r="BL65" s="236">
        <v>0.8</v>
      </c>
      <c r="BM65" s="224">
        <v>0.68</v>
      </c>
      <c r="BN65" s="237"/>
      <c r="BO65" s="238">
        <v>0.95</v>
      </c>
      <c r="BP65" s="239">
        <v>0.9</v>
      </c>
      <c r="BQ65" s="237"/>
    </row>
    <row r="66" spans="1:69" s="207" customFormat="1" ht="22.35" customHeight="1" x14ac:dyDescent="0.2">
      <c r="A66" s="216" t="s">
        <v>80</v>
      </c>
      <c r="B66" s="216" t="s">
        <v>118</v>
      </c>
      <c r="C66" s="216" t="s">
        <v>120</v>
      </c>
      <c r="D66" s="217">
        <v>1.42108807377778</v>
      </c>
      <c r="E66" s="218"/>
      <c r="F66" s="219">
        <v>0.03</v>
      </c>
      <c r="G66" s="219">
        <v>0.03</v>
      </c>
      <c r="H66" s="220"/>
      <c r="I66" s="221">
        <v>3</v>
      </c>
      <c r="J66" s="221">
        <v>3</v>
      </c>
      <c r="K66" s="218"/>
      <c r="L66" s="222">
        <v>2098.7774300000001</v>
      </c>
      <c r="M66" s="222">
        <v>1270.84374</v>
      </c>
      <c r="N66" s="222">
        <v>3369.6211699999999</v>
      </c>
      <c r="O66" s="217">
        <v>2371.1557588702399</v>
      </c>
      <c r="P66" s="223">
        <v>287.5</v>
      </c>
      <c r="Q66" s="229">
        <v>8.2474982917225699</v>
      </c>
      <c r="R66" s="230">
        <v>2923.47056923747</v>
      </c>
      <c r="S66" s="219">
        <v>0.01</v>
      </c>
      <c r="T66" s="219">
        <v>0.01</v>
      </c>
      <c r="U66" s="226">
        <v>0</v>
      </c>
      <c r="V66" s="227">
        <v>0</v>
      </c>
      <c r="W66" s="218"/>
      <c r="X66" s="226">
        <v>981.08911000000001</v>
      </c>
      <c r="Y66" s="217">
        <v>690.37882176570702</v>
      </c>
      <c r="Z66" s="228">
        <v>573</v>
      </c>
      <c r="AA66" s="229">
        <v>1.20484960168535</v>
      </c>
      <c r="AB66" s="230">
        <v>91.891564828062798</v>
      </c>
      <c r="AC66" s="219">
        <v>0.02</v>
      </c>
      <c r="AD66" s="219">
        <v>0.02</v>
      </c>
      <c r="AE66" s="227">
        <v>0</v>
      </c>
      <c r="AF66" s="227">
        <v>0</v>
      </c>
      <c r="AG66" s="218"/>
      <c r="AH66" s="231">
        <v>61.2</v>
      </c>
      <c r="AI66" s="217">
        <v>43.065592576051799</v>
      </c>
      <c r="AJ66" s="232" t="s">
        <v>53</v>
      </c>
      <c r="AK66" s="224">
        <v>0.683580834540504</v>
      </c>
      <c r="AL66" s="225">
        <v>-36.5651751236161</v>
      </c>
      <c r="AM66" s="219"/>
      <c r="AN66" s="219"/>
      <c r="AO66" s="227">
        <v>29</v>
      </c>
      <c r="AP66" s="227">
        <v>47</v>
      </c>
      <c r="AQ66" s="218"/>
      <c r="AR66" s="231">
        <v>10.6</v>
      </c>
      <c r="AS66" s="217">
        <v>7.4590732239566799</v>
      </c>
      <c r="AT66" s="232" t="s">
        <v>54</v>
      </c>
      <c r="AU66" s="224">
        <v>0.466192076497292</v>
      </c>
      <c r="AV66" s="225">
        <v>-14.2292508250454</v>
      </c>
      <c r="AW66" s="219"/>
      <c r="AX66" s="219"/>
      <c r="AY66" s="227">
        <v>13</v>
      </c>
      <c r="AZ66" s="227">
        <v>17</v>
      </c>
      <c r="BA66" s="218"/>
      <c r="BB66" s="235">
        <v>40.6</v>
      </c>
      <c r="BC66" s="231">
        <v>28.569657820060499</v>
      </c>
      <c r="BD66" s="232" t="s">
        <v>55</v>
      </c>
      <c r="BE66" s="239">
        <v>0.89280180687689004</v>
      </c>
      <c r="BF66" s="222">
        <v>-9.05850165009074</v>
      </c>
      <c r="BG66" s="219"/>
      <c r="BH66" s="219"/>
      <c r="BI66" s="227">
        <v>5</v>
      </c>
      <c r="BJ66" s="227">
        <v>14</v>
      </c>
      <c r="BK66" s="220"/>
      <c r="BL66" s="236">
        <v>0.8</v>
      </c>
      <c r="BM66" s="239">
        <v>0.75</v>
      </c>
      <c r="BN66" s="237"/>
      <c r="BO66" s="238">
        <v>0.95</v>
      </c>
      <c r="BP66" s="229">
        <v>1</v>
      </c>
      <c r="BQ66" s="237">
        <v>2.5000000000000001E-3</v>
      </c>
    </row>
    <row r="67" spans="1:69" s="207" customFormat="1" ht="22.35" customHeight="1" x14ac:dyDescent="0.2">
      <c r="A67" s="216" t="s">
        <v>80</v>
      </c>
      <c r="B67" s="216" t="s">
        <v>118</v>
      </c>
      <c r="C67" s="216" t="s">
        <v>121</v>
      </c>
      <c r="D67" s="217">
        <v>4.3565891625555597</v>
      </c>
      <c r="E67" s="218"/>
      <c r="F67" s="219">
        <v>0.03</v>
      </c>
      <c r="G67" s="219">
        <v>0.03</v>
      </c>
      <c r="H67" s="220"/>
      <c r="I67" s="221">
        <v>3</v>
      </c>
      <c r="J67" s="221">
        <v>3</v>
      </c>
      <c r="K67" s="218"/>
      <c r="L67" s="222">
        <v>3638.6355400000002</v>
      </c>
      <c r="M67" s="222">
        <v>2011.29115</v>
      </c>
      <c r="N67" s="222">
        <v>5649.9266900000002</v>
      </c>
      <c r="O67" s="217">
        <v>1296.8692890668999</v>
      </c>
      <c r="P67" s="223">
        <v>287.5</v>
      </c>
      <c r="Q67" s="229">
        <v>4.5108497011022601</v>
      </c>
      <c r="R67" s="230">
        <v>4282.1755224156796</v>
      </c>
      <c r="S67" s="219">
        <v>0.01</v>
      </c>
      <c r="T67" s="219">
        <v>0.01</v>
      </c>
      <c r="U67" s="226">
        <v>0</v>
      </c>
      <c r="V67" s="227">
        <v>0</v>
      </c>
      <c r="W67" s="218"/>
      <c r="X67" s="226">
        <v>1955.762305</v>
      </c>
      <c r="Y67" s="217">
        <v>448.92052751027802</v>
      </c>
      <c r="Z67" s="228">
        <v>573</v>
      </c>
      <c r="AA67" s="239">
        <v>0.78345641799350396</v>
      </c>
      <c r="AB67" s="222">
        <v>-770.22523943761496</v>
      </c>
      <c r="AC67" s="219"/>
      <c r="AD67" s="219"/>
      <c r="AE67" s="227">
        <v>541</v>
      </c>
      <c r="AF67" s="227">
        <v>1040</v>
      </c>
      <c r="AG67" s="218"/>
      <c r="AH67" s="231">
        <v>153.9</v>
      </c>
      <c r="AI67" s="217">
        <v>35.325800587935902</v>
      </c>
      <c r="AJ67" s="232" t="s">
        <v>53</v>
      </c>
      <c r="AK67" s="224">
        <v>0.56072699345929899</v>
      </c>
      <c r="AL67" s="225">
        <v>-145.81590802717199</v>
      </c>
      <c r="AM67" s="219"/>
      <c r="AN67" s="219"/>
      <c r="AO67" s="227">
        <v>121</v>
      </c>
      <c r="AP67" s="227">
        <v>176</v>
      </c>
      <c r="AQ67" s="218"/>
      <c r="AR67" s="231">
        <v>45.4</v>
      </c>
      <c r="AS67" s="217">
        <v>10.420996404758201</v>
      </c>
      <c r="AT67" s="232" t="s">
        <v>54</v>
      </c>
      <c r="AU67" s="224">
        <v>0.651312275297387</v>
      </c>
      <c r="AV67" s="225">
        <v>-30.7183258481707</v>
      </c>
      <c r="AW67" s="219"/>
      <c r="AX67" s="219"/>
      <c r="AY67" s="227">
        <v>25</v>
      </c>
      <c r="AZ67" s="227">
        <v>39</v>
      </c>
      <c r="BA67" s="218"/>
      <c r="BB67" s="235">
        <v>193.6</v>
      </c>
      <c r="BC67" s="231">
        <v>44.438434007955699</v>
      </c>
      <c r="BD67" s="232" t="s">
        <v>55</v>
      </c>
      <c r="BE67" s="229">
        <v>1.38870106274862</v>
      </c>
      <c r="BF67" s="230">
        <v>41.363348303658498</v>
      </c>
      <c r="BG67" s="219">
        <v>0.02</v>
      </c>
      <c r="BH67" s="219">
        <v>0.02</v>
      </c>
      <c r="BI67" s="227">
        <v>0</v>
      </c>
      <c r="BJ67" s="227">
        <v>0</v>
      </c>
      <c r="BK67" s="220"/>
      <c r="BL67" s="236">
        <v>0.8</v>
      </c>
      <c r="BM67" s="239">
        <v>0.75</v>
      </c>
      <c r="BN67" s="237"/>
      <c r="BO67" s="238">
        <v>0.95</v>
      </c>
      <c r="BP67" s="229">
        <v>1</v>
      </c>
      <c r="BQ67" s="237">
        <v>2.5000000000000001E-3</v>
      </c>
    </row>
    <row r="68" spans="1:69" s="207" customFormat="1" ht="22.35" customHeight="1" x14ac:dyDescent="0.2">
      <c r="A68" s="216" t="s">
        <v>80</v>
      </c>
      <c r="B68" s="216" t="s">
        <v>118</v>
      </c>
      <c r="C68" s="216" t="s">
        <v>122</v>
      </c>
      <c r="D68" s="217">
        <v>4.5469934366666704</v>
      </c>
      <c r="E68" s="218"/>
      <c r="F68" s="219">
        <v>5.6000000000000001E-2</v>
      </c>
      <c r="G68" s="219">
        <v>3.6999999999999998E-2</v>
      </c>
      <c r="H68" s="220"/>
      <c r="I68" s="221">
        <v>5</v>
      </c>
      <c r="J68" s="221">
        <v>5</v>
      </c>
      <c r="K68" s="218"/>
      <c r="L68" s="222">
        <v>4450.64534</v>
      </c>
      <c r="M68" s="222">
        <v>1574.8201200000001</v>
      </c>
      <c r="N68" s="222">
        <v>6025.4654600000003</v>
      </c>
      <c r="O68" s="217">
        <v>1325.15376235449</v>
      </c>
      <c r="P68" s="223">
        <v>287.5</v>
      </c>
      <c r="Q68" s="229">
        <v>4.6092304777547497</v>
      </c>
      <c r="R68" s="230">
        <v>4597.9368705585002</v>
      </c>
      <c r="S68" s="219">
        <v>0.01</v>
      </c>
      <c r="T68" s="219">
        <v>0.01</v>
      </c>
      <c r="U68" s="226">
        <v>0</v>
      </c>
      <c r="V68" s="227">
        <v>0</v>
      </c>
      <c r="W68" s="218"/>
      <c r="X68" s="226">
        <v>2752.2470450000001</v>
      </c>
      <c r="Y68" s="217">
        <v>605.28942549291003</v>
      </c>
      <c r="Z68" s="228">
        <v>573</v>
      </c>
      <c r="AA68" s="233">
        <v>1.05635152791084</v>
      </c>
      <c r="AB68" s="234">
        <v>-92.879500217322004</v>
      </c>
      <c r="AC68" s="219">
        <v>1.6E-2</v>
      </c>
      <c r="AD68" s="219">
        <v>6.0000000000000001E-3</v>
      </c>
      <c r="AE68" s="227">
        <v>0</v>
      </c>
      <c r="AF68" s="227">
        <v>375</v>
      </c>
      <c r="AG68" s="218"/>
      <c r="AH68" s="231">
        <v>287.05</v>
      </c>
      <c r="AI68" s="217">
        <v>63.129627081765101</v>
      </c>
      <c r="AJ68" s="232" t="s">
        <v>53</v>
      </c>
      <c r="AK68" s="233">
        <v>1.00205757272643</v>
      </c>
      <c r="AL68" s="234">
        <v>-25.764960468920201</v>
      </c>
      <c r="AM68" s="219">
        <v>0.01</v>
      </c>
      <c r="AN68" s="219">
        <v>1E-3</v>
      </c>
      <c r="AO68" s="227">
        <v>0</v>
      </c>
      <c r="AP68" s="227">
        <v>57</v>
      </c>
      <c r="AQ68" s="218"/>
      <c r="AR68" s="231">
        <v>40.200000000000003</v>
      </c>
      <c r="AS68" s="217">
        <v>8.8410068235044594</v>
      </c>
      <c r="AT68" s="232" t="s">
        <v>54</v>
      </c>
      <c r="AU68" s="224">
        <v>0.55256292646902905</v>
      </c>
      <c r="AV68" s="225">
        <v>-39.245069325440099</v>
      </c>
      <c r="AW68" s="219"/>
      <c r="AX68" s="219"/>
      <c r="AY68" s="227">
        <v>33</v>
      </c>
      <c r="AZ68" s="227">
        <v>48</v>
      </c>
      <c r="BA68" s="218"/>
      <c r="BB68" s="235">
        <v>211.8</v>
      </c>
      <c r="BC68" s="231">
        <v>46.580229980553298</v>
      </c>
      <c r="BD68" s="232" t="s">
        <v>55</v>
      </c>
      <c r="BE68" s="229">
        <v>1.4556321868922899</v>
      </c>
      <c r="BF68" s="230">
        <v>52.9098613491199</v>
      </c>
      <c r="BG68" s="219">
        <v>0.02</v>
      </c>
      <c r="BH68" s="219">
        <v>0.02</v>
      </c>
      <c r="BI68" s="227">
        <v>0</v>
      </c>
      <c r="BJ68" s="227">
        <v>0</v>
      </c>
      <c r="BK68" s="220"/>
      <c r="BL68" s="236">
        <v>0.8</v>
      </c>
      <c r="BM68" s="239">
        <v>0.77</v>
      </c>
      <c r="BN68" s="237"/>
      <c r="BO68" s="238">
        <v>0.95</v>
      </c>
      <c r="BP68" s="229">
        <v>1</v>
      </c>
      <c r="BQ68" s="237">
        <v>2.5000000000000001E-3</v>
      </c>
    </row>
    <row r="69" spans="1:69" s="207" customFormat="1" ht="22.35" customHeight="1" x14ac:dyDescent="0.2">
      <c r="A69" s="216" t="s">
        <v>80</v>
      </c>
      <c r="B69" s="216" t="s">
        <v>118</v>
      </c>
      <c r="C69" s="216" t="s">
        <v>123</v>
      </c>
      <c r="D69" s="217">
        <v>1.5103209235555599</v>
      </c>
      <c r="E69" s="218"/>
      <c r="F69" s="219">
        <v>3.5999999999999997E-2</v>
      </c>
      <c r="G69" s="219">
        <v>1.2500000000000001E-2</v>
      </c>
      <c r="H69" s="220"/>
      <c r="I69" s="221">
        <v>4</v>
      </c>
      <c r="J69" s="221">
        <v>3</v>
      </c>
      <c r="K69" s="218"/>
      <c r="L69" s="222">
        <v>542.33698000000004</v>
      </c>
      <c r="M69" s="222">
        <v>-323.46710999999999</v>
      </c>
      <c r="N69" s="222">
        <v>218.86986999999999</v>
      </c>
      <c r="O69" s="217">
        <v>144.91613443634401</v>
      </c>
      <c r="P69" s="223">
        <v>287.5</v>
      </c>
      <c r="Q69" s="224">
        <v>0.504056119778588</v>
      </c>
      <c r="R69" s="225">
        <v>-255.29538395026799</v>
      </c>
      <c r="S69" s="219"/>
      <c r="T69" s="219"/>
      <c r="U69" s="226">
        <v>216</v>
      </c>
      <c r="V69" s="227">
        <v>303</v>
      </c>
      <c r="W69" s="218"/>
      <c r="X69" s="226">
        <v>620.82729500000005</v>
      </c>
      <c r="Y69" s="217">
        <v>411.05654124056298</v>
      </c>
      <c r="Z69" s="228">
        <v>573</v>
      </c>
      <c r="AA69" s="224">
        <v>0.71737616272349602</v>
      </c>
      <c r="AB69" s="225">
        <v>-324.204672003491</v>
      </c>
      <c r="AC69" s="219"/>
      <c r="AD69" s="219"/>
      <c r="AE69" s="227">
        <v>245</v>
      </c>
      <c r="AF69" s="227">
        <v>418</v>
      </c>
      <c r="AG69" s="218"/>
      <c r="AH69" s="231">
        <v>93.65</v>
      </c>
      <c r="AI69" s="217">
        <v>62.006689134340903</v>
      </c>
      <c r="AJ69" s="232" t="s">
        <v>53</v>
      </c>
      <c r="AK69" s="233">
        <v>0.98423316086255397</v>
      </c>
      <c r="AL69" s="234">
        <v>-10.2540382569283</v>
      </c>
      <c r="AM69" s="219">
        <v>8.0000000000000002E-3</v>
      </c>
      <c r="AN69" s="219"/>
      <c r="AO69" s="227">
        <v>2</v>
      </c>
      <c r="AP69" s="227">
        <v>21</v>
      </c>
      <c r="AQ69" s="218"/>
      <c r="AR69" s="231">
        <v>25.4</v>
      </c>
      <c r="AS69" s="217">
        <v>16.817617768417101</v>
      </c>
      <c r="AT69" s="232" t="s">
        <v>54</v>
      </c>
      <c r="AU69" s="233">
        <v>1.0511011105260699</v>
      </c>
      <c r="AV69" s="234">
        <v>-0.98832717636274103</v>
      </c>
      <c r="AW69" s="219">
        <v>8.0000000000000002E-3</v>
      </c>
      <c r="AX69" s="219">
        <v>2.5000000000000001E-3</v>
      </c>
      <c r="AY69" s="227">
        <v>0</v>
      </c>
      <c r="AZ69" s="227">
        <v>4</v>
      </c>
      <c r="BA69" s="218"/>
      <c r="BB69" s="235">
        <v>53.4</v>
      </c>
      <c r="BC69" s="231">
        <v>35.356723969821701</v>
      </c>
      <c r="BD69" s="232" t="s">
        <v>55</v>
      </c>
      <c r="BE69" s="229">
        <v>1.1048976240569299</v>
      </c>
      <c r="BF69" s="230">
        <v>0.62334564727451203</v>
      </c>
      <c r="BG69" s="219">
        <v>0.02</v>
      </c>
      <c r="BH69" s="219">
        <v>0.01</v>
      </c>
      <c r="BI69" s="227">
        <v>0</v>
      </c>
      <c r="BJ69" s="227">
        <v>5</v>
      </c>
      <c r="BK69" s="220"/>
      <c r="BL69" s="236">
        <v>0.8</v>
      </c>
      <c r="BM69" s="224">
        <v>0.65</v>
      </c>
      <c r="BN69" s="237"/>
      <c r="BO69" s="238">
        <v>0.95</v>
      </c>
      <c r="BP69" s="229">
        <v>1</v>
      </c>
      <c r="BQ69" s="237">
        <v>2.5000000000000001E-3</v>
      </c>
    </row>
    <row r="70" spans="1:69" s="207" customFormat="1" ht="22.35" customHeight="1" x14ac:dyDescent="0.2">
      <c r="A70" s="216" t="s">
        <v>80</v>
      </c>
      <c r="B70" s="216" t="s">
        <v>118</v>
      </c>
      <c r="C70" s="216" t="s">
        <v>124</v>
      </c>
      <c r="D70" s="217">
        <v>3.0536943671111101</v>
      </c>
      <c r="E70" s="218"/>
      <c r="F70" s="219">
        <v>3.4500000000000003E-2</v>
      </c>
      <c r="G70" s="219">
        <v>0.03</v>
      </c>
      <c r="H70" s="220"/>
      <c r="I70" s="221">
        <v>4</v>
      </c>
      <c r="J70" s="221">
        <v>3</v>
      </c>
      <c r="K70" s="218"/>
      <c r="L70" s="222">
        <v>2768.2326800000001</v>
      </c>
      <c r="M70" s="222">
        <v>697.54173000000003</v>
      </c>
      <c r="N70" s="222">
        <v>3465.77441</v>
      </c>
      <c r="O70" s="217">
        <v>1134.94475653067</v>
      </c>
      <c r="P70" s="223">
        <v>253.321</v>
      </c>
      <c r="Q70" s="229">
        <v>4.4802632096457504</v>
      </c>
      <c r="R70" s="230">
        <v>2621.0415274381198</v>
      </c>
      <c r="S70" s="219">
        <v>0.01</v>
      </c>
      <c r="T70" s="219">
        <v>0.01</v>
      </c>
      <c r="U70" s="226">
        <v>0</v>
      </c>
      <c r="V70" s="227">
        <v>0</v>
      </c>
      <c r="W70" s="218"/>
      <c r="X70" s="226">
        <v>1468.09015</v>
      </c>
      <c r="Y70" s="217">
        <v>480.75870519709503</v>
      </c>
      <c r="Z70" s="228">
        <v>573</v>
      </c>
      <c r="AA70" s="239">
        <v>0.83902042791814102</v>
      </c>
      <c r="AB70" s="222">
        <v>-442.655274611295</v>
      </c>
      <c r="AC70" s="219"/>
      <c r="AD70" s="219"/>
      <c r="AE70" s="227">
        <v>282</v>
      </c>
      <c r="AF70" s="227">
        <v>632</v>
      </c>
      <c r="AG70" s="218"/>
      <c r="AH70" s="231">
        <v>121.3</v>
      </c>
      <c r="AI70" s="217">
        <v>39.722377362457998</v>
      </c>
      <c r="AJ70" s="232" t="s">
        <v>53</v>
      </c>
      <c r="AK70" s="224">
        <v>0.63051392638822301</v>
      </c>
      <c r="AL70" s="225">
        <v>-88.7819576797759</v>
      </c>
      <c r="AM70" s="219"/>
      <c r="AN70" s="219"/>
      <c r="AO70" s="227">
        <v>72</v>
      </c>
      <c r="AP70" s="227">
        <v>110</v>
      </c>
      <c r="AQ70" s="218"/>
      <c r="AR70" s="231">
        <v>48.6</v>
      </c>
      <c r="AS70" s="217">
        <v>15.9151487206551</v>
      </c>
      <c r="AT70" s="232" t="s">
        <v>54</v>
      </c>
      <c r="AU70" s="233">
        <v>0.99469679504094199</v>
      </c>
      <c r="AV70" s="234">
        <v>-4.7541479821653096</v>
      </c>
      <c r="AW70" s="219">
        <v>4.4999999999999997E-3</v>
      </c>
      <c r="AX70" s="219"/>
      <c r="AY70" s="227">
        <v>1</v>
      </c>
      <c r="AZ70" s="227">
        <v>11</v>
      </c>
      <c r="BA70" s="218"/>
      <c r="BB70" s="235">
        <v>164</v>
      </c>
      <c r="BC70" s="231">
        <v>53.705440127313402</v>
      </c>
      <c r="BD70" s="232" t="s">
        <v>55</v>
      </c>
      <c r="BE70" s="229">
        <v>1.67829500397854</v>
      </c>
      <c r="BF70" s="230">
        <v>57.291704035669397</v>
      </c>
      <c r="BG70" s="219">
        <v>0.02</v>
      </c>
      <c r="BH70" s="219">
        <v>0.02</v>
      </c>
      <c r="BI70" s="227">
        <v>0</v>
      </c>
      <c r="BJ70" s="227">
        <v>0</v>
      </c>
      <c r="BK70" s="220"/>
      <c r="BL70" s="236">
        <v>0.8</v>
      </c>
      <c r="BM70" s="224">
        <v>0.62</v>
      </c>
      <c r="BN70" s="237"/>
      <c r="BO70" s="238">
        <v>0.95</v>
      </c>
      <c r="BP70" s="229">
        <v>1</v>
      </c>
      <c r="BQ70" s="237">
        <v>2.5000000000000001E-3</v>
      </c>
    </row>
    <row r="71" spans="1:69" s="207" customFormat="1" ht="22.35" customHeight="1" x14ac:dyDescent="0.2">
      <c r="A71" s="216" t="s">
        <v>80</v>
      </c>
      <c r="B71" s="216" t="s">
        <v>118</v>
      </c>
      <c r="C71" s="216" t="s">
        <v>125</v>
      </c>
      <c r="D71" s="217">
        <v>2.1938047859999998</v>
      </c>
      <c r="E71" s="218"/>
      <c r="F71" s="219">
        <v>4.4999999999999998E-2</v>
      </c>
      <c r="G71" s="219">
        <v>3.5000000000000003E-2</v>
      </c>
      <c r="H71" s="220"/>
      <c r="I71" s="221">
        <v>4</v>
      </c>
      <c r="J71" s="221">
        <v>4</v>
      </c>
      <c r="K71" s="218"/>
      <c r="L71" s="222">
        <v>1984.3654300000001</v>
      </c>
      <c r="M71" s="222">
        <v>220.25617</v>
      </c>
      <c r="N71" s="222">
        <v>2204.6215999999999</v>
      </c>
      <c r="O71" s="217">
        <v>1004.93061828884</v>
      </c>
      <c r="P71" s="223">
        <v>252.24799999999999</v>
      </c>
      <c r="Q71" s="229">
        <v>3.9838992510895599</v>
      </c>
      <c r="R71" s="230">
        <v>1600.32750633245</v>
      </c>
      <c r="S71" s="219">
        <v>0.01</v>
      </c>
      <c r="T71" s="219">
        <v>0.01</v>
      </c>
      <c r="U71" s="226">
        <v>0</v>
      </c>
      <c r="V71" s="227">
        <v>0</v>
      </c>
      <c r="W71" s="218"/>
      <c r="X71" s="226">
        <v>1317.896555</v>
      </c>
      <c r="Y71" s="217">
        <v>600.73556380690695</v>
      </c>
      <c r="Z71" s="228">
        <v>573</v>
      </c>
      <c r="AA71" s="233">
        <v>1.0484041253174601</v>
      </c>
      <c r="AB71" s="234">
        <v>-54.802200476775901</v>
      </c>
      <c r="AC71" s="219">
        <v>1.4999999999999999E-2</v>
      </c>
      <c r="AD71" s="219">
        <v>5.0000000000000001E-3</v>
      </c>
      <c r="AE71" s="227">
        <v>0</v>
      </c>
      <c r="AF71" s="227">
        <v>191</v>
      </c>
      <c r="AG71" s="218"/>
      <c r="AH71" s="231">
        <v>118.9</v>
      </c>
      <c r="AI71" s="217">
        <v>54.198076674266098</v>
      </c>
      <c r="AJ71" s="232" t="s">
        <v>53</v>
      </c>
      <c r="AK71" s="239">
        <v>0.86028693133755796</v>
      </c>
      <c r="AL71" s="222">
        <v>-32.024994057656002</v>
      </c>
      <c r="AM71" s="219"/>
      <c r="AN71" s="219"/>
      <c r="AO71" s="227">
        <v>20</v>
      </c>
      <c r="AP71" s="227">
        <v>47</v>
      </c>
      <c r="AQ71" s="218"/>
      <c r="AR71" s="231">
        <v>24.8</v>
      </c>
      <c r="AS71" s="217">
        <v>11.304560988408699</v>
      </c>
      <c r="AT71" s="232" t="s">
        <v>54</v>
      </c>
      <c r="AU71" s="224">
        <v>0.70653506177554604</v>
      </c>
      <c r="AV71" s="225">
        <v>-13.530157220992001</v>
      </c>
      <c r="AW71" s="219"/>
      <c r="AX71" s="219"/>
      <c r="AY71" s="227">
        <v>11</v>
      </c>
      <c r="AZ71" s="227">
        <v>18</v>
      </c>
      <c r="BA71" s="218"/>
      <c r="BB71" s="235">
        <v>85.4</v>
      </c>
      <c r="BC71" s="231">
        <v>38.927802758471998</v>
      </c>
      <c r="BD71" s="232" t="s">
        <v>55</v>
      </c>
      <c r="BE71" s="229">
        <v>1.2164938362022499</v>
      </c>
      <c r="BF71" s="230">
        <v>8.73968555801601</v>
      </c>
      <c r="BG71" s="219">
        <v>0.02</v>
      </c>
      <c r="BH71" s="219">
        <v>0.02</v>
      </c>
      <c r="BI71" s="227">
        <v>0</v>
      </c>
      <c r="BJ71" s="227">
        <v>0</v>
      </c>
      <c r="BK71" s="220"/>
      <c r="BL71" s="236">
        <v>0.8</v>
      </c>
      <c r="BM71" s="239">
        <v>0.74</v>
      </c>
      <c r="BN71" s="237"/>
      <c r="BO71" s="238">
        <v>0.95</v>
      </c>
      <c r="BP71" s="229">
        <v>1</v>
      </c>
      <c r="BQ71" s="237">
        <v>2.5000000000000001E-3</v>
      </c>
    </row>
    <row r="72" spans="1:69" s="207" customFormat="1" ht="22.35" customHeight="1" x14ac:dyDescent="0.2">
      <c r="A72" s="216" t="s">
        <v>80</v>
      </c>
      <c r="B72" s="216" t="s">
        <v>118</v>
      </c>
      <c r="C72" s="216" t="s">
        <v>126</v>
      </c>
      <c r="D72" s="217">
        <v>4.5919046557777801</v>
      </c>
      <c r="E72" s="218"/>
      <c r="F72" s="219">
        <v>0.08</v>
      </c>
      <c r="G72" s="219">
        <v>6.9500000000000006E-2</v>
      </c>
      <c r="H72" s="220"/>
      <c r="I72" s="221">
        <v>6</v>
      </c>
      <c r="J72" s="221">
        <v>6</v>
      </c>
      <c r="K72" s="218"/>
      <c r="L72" s="222">
        <v>2959.4050900000002</v>
      </c>
      <c r="M72" s="222">
        <v>1029.2330199999999</v>
      </c>
      <c r="N72" s="222">
        <v>3988.6381099999999</v>
      </c>
      <c r="O72" s="217">
        <v>868.623895529121</v>
      </c>
      <c r="P72" s="223">
        <v>287.5</v>
      </c>
      <c r="Q72" s="229">
        <v>3.0213005061882501</v>
      </c>
      <c r="R72" s="230">
        <v>2547.0096433185699</v>
      </c>
      <c r="S72" s="219">
        <v>0.01</v>
      </c>
      <c r="T72" s="219">
        <v>0.01</v>
      </c>
      <c r="U72" s="226">
        <v>0</v>
      </c>
      <c r="V72" s="227">
        <v>0</v>
      </c>
      <c r="W72" s="218"/>
      <c r="X72" s="226">
        <v>2932.2169349999999</v>
      </c>
      <c r="Y72" s="217">
        <v>638.56224264380796</v>
      </c>
      <c r="Z72" s="228">
        <v>573</v>
      </c>
      <c r="AA72" s="229">
        <v>1.1144192716296799</v>
      </c>
      <c r="AB72" s="230">
        <v>58.988721405351001</v>
      </c>
      <c r="AC72" s="219">
        <v>0.02</v>
      </c>
      <c r="AD72" s="219">
        <v>1.0999999999999999E-2</v>
      </c>
      <c r="AE72" s="227">
        <v>0</v>
      </c>
      <c r="AF72" s="227">
        <v>226</v>
      </c>
      <c r="AG72" s="218"/>
      <c r="AH72" s="231">
        <v>367.75</v>
      </c>
      <c r="AI72" s="217">
        <v>80.086593160700204</v>
      </c>
      <c r="AJ72" s="232" t="s">
        <v>53</v>
      </c>
      <c r="AK72" s="229">
        <v>1.2712157644555599</v>
      </c>
      <c r="AL72" s="230">
        <v>51.845327301111901</v>
      </c>
      <c r="AM72" s="219">
        <v>0.02</v>
      </c>
      <c r="AN72" s="219">
        <v>0.02</v>
      </c>
      <c r="AO72" s="227">
        <v>0</v>
      </c>
      <c r="AP72" s="227">
        <v>0</v>
      </c>
      <c r="AQ72" s="218"/>
      <c r="AR72" s="231">
        <v>86</v>
      </c>
      <c r="AS72" s="217">
        <v>18.728611860829901</v>
      </c>
      <c r="AT72" s="232" t="s">
        <v>54</v>
      </c>
      <c r="AU72" s="229">
        <v>1.1705382413018699</v>
      </c>
      <c r="AV72" s="230">
        <v>5.7702418542506404</v>
      </c>
      <c r="AW72" s="219">
        <v>0.01</v>
      </c>
      <c r="AX72" s="219">
        <v>8.5000000000000006E-3</v>
      </c>
      <c r="AY72" s="227">
        <v>0</v>
      </c>
      <c r="AZ72" s="227">
        <v>3</v>
      </c>
      <c r="BA72" s="218"/>
      <c r="BB72" s="235">
        <v>232.8</v>
      </c>
      <c r="BC72" s="231">
        <v>50.697916758153603</v>
      </c>
      <c r="BD72" s="232" t="s">
        <v>55</v>
      </c>
      <c r="BE72" s="229">
        <v>1.5843098986923001</v>
      </c>
      <c r="BF72" s="230">
        <v>72.340483708501296</v>
      </c>
      <c r="BG72" s="219">
        <v>0.02</v>
      </c>
      <c r="BH72" s="219">
        <v>0.02</v>
      </c>
      <c r="BI72" s="227">
        <v>0</v>
      </c>
      <c r="BJ72" s="227">
        <v>0</v>
      </c>
      <c r="BK72" s="220"/>
      <c r="BL72" s="236">
        <v>0.8</v>
      </c>
      <c r="BM72" s="224">
        <v>0.62</v>
      </c>
      <c r="BN72" s="237"/>
      <c r="BO72" s="238">
        <v>0.95</v>
      </c>
      <c r="BP72" s="233">
        <v>0.96</v>
      </c>
      <c r="BQ72" s="237">
        <v>5.0000000000000001E-4</v>
      </c>
    </row>
    <row r="73" spans="1:69" s="207" customFormat="1" ht="22.35" customHeight="1" x14ac:dyDescent="0.2">
      <c r="A73" s="216" t="s">
        <v>80</v>
      </c>
      <c r="B73" s="216" t="s">
        <v>118</v>
      </c>
      <c r="C73" s="216" t="s">
        <v>127</v>
      </c>
      <c r="D73" s="217">
        <v>2.7606706158888898</v>
      </c>
      <c r="E73" s="218"/>
      <c r="F73" s="219">
        <v>5.1999999999999998E-2</v>
      </c>
      <c r="G73" s="219">
        <v>0.04</v>
      </c>
      <c r="H73" s="220"/>
      <c r="I73" s="221">
        <v>5</v>
      </c>
      <c r="J73" s="221">
        <v>4</v>
      </c>
      <c r="K73" s="218"/>
      <c r="L73" s="222">
        <v>2026.9544699999999</v>
      </c>
      <c r="M73" s="222">
        <v>982.22915</v>
      </c>
      <c r="N73" s="222">
        <v>3009.1836199999998</v>
      </c>
      <c r="O73" s="217">
        <v>1090.0190709752901</v>
      </c>
      <c r="P73" s="223">
        <v>276.39800000000002</v>
      </c>
      <c r="Q73" s="229">
        <v>3.94365759149954</v>
      </c>
      <c r="R73" s="230">
        <v>2175.93975011562</v>
      </c>
      <c r="S73" s="219">
        <v>0.01</v>
      </c>
      <c r="T73" s="219">
        <v>0.01</v>
      </c>
      <c r="U73" s="226">
        <v>0</v>
      </c>
      <c r="V73" s="227">
        <v>0</v>
      </c>
      <c r="W73" s="218"/>
      <c r="X73" s="226">
        <v>1765.9622449999999</v>
      </c>
      <c r="Y73" s="217">
        <v>639.68596428567002</v>
      </c>
      <c r="Z73" s="228">
        <v>573</v>
      </c>
      <c r="AA73" s="229">
        <v>1.11638039142351</v>
      </c>
      <c r="AB73" s="230">
        <v>38.566469908467496</v>
      </c>
      <c r="AC73" s="219">
        <v>0.02</v>
      </c>
      <c r="AD73" s="219">
        <v>1.2E-2</v>
      </c>
      <c r="AE73" s="227">
        <v>0</v>
      </c>
      <c r="AF73" s="227">
        <v>133</v>
      </c>
      <c r="AG73" s="218"/>
      <c r="AH73" s="231">
        <v>160.9</v>
      </c>
      <c r="AI73" s="217">
        <v>58.282940048678299</v>
      </c>
      <c r="AJ73" s="232" t="s">
        <v>53</v>
      </c>
      <c r="AK73" s="233">
        <v>0.92512603251870396</v>
      </c>
      <c r="AL73" s="234">
        <v>-29.023095690692099</v>
      </c>
      <c r="AM73" s="219">
        <v>2E-3</v>
      </c>
      <c r="AN73" s="219"/>
      <c r="AO73" s="227">
        <v>14</v>
      </c>
      <c r="AP73" s="227">
        <v>48</v>
      </c>
      <c r="AQ73" s="218"/>
      <c r="AR73" s="231">
        <v>29.8</v>
      </c>
      <c r="AS73" s="217">
        <v>10.7944786417067</v>
      </c>
      <c r="AT73" s="232" t="s">
        <v>54</v>
      </c>
      <c r="AU73" s="224">
        <v>0.67465491510667097</v>
      </c>
      <c r="AV73" s="225">
        <v>-18.4344370008107</v>
      </c>
      <c r="AW73" s="219"/>
      <c r="AX73" s="219"/>
      <c r="AY73" s="227">
        <v>15</v>
      </c>
      <c r="AZ73" s="227">
        <v>24</v>
      </c>
      <c r="BA73" s="218"/>
      <c r="BB73" s="235">
        <v>104</v>
      </c>
      <c r="BC73" s="231">
        <v>37.672005997902701</v>
      </c>
      <c r="BD73" s="232" t="s">
        <v>55</v>
      </c>
      <c r="BE73" s="229">
        <v>1.1772501874344601</v>
      </c>
      <c r="BF73" s="230">
        <v>7.5311259983786298</v>
      </c>
      <c r="BG73" s="219">
        <v>0.02</v>
      </c>
      <c r="BH73" s="219">
        <v>1.7999999999999999E-2</v>
      </c>
      <c r="BI73" s="227">
        <v>0</v>
      </c>
      <c r="BJ73" s="227">
        <v>3</v>
      </c>
      <c r="BK73" s="220"/>
      <c r="BL73" s="236">
        <v>0.8</v>
      </c>
      <c r="BM73" s="239">
        <v>0.72</v>
      </c>
      <c r="BN73" s="237"/>
      <c r="BO73" s="238">
        <v>0.95</v>
      </c>
      <c r="BP73" s="229">
        <v>1</v>
      </c>
      <c r="BQ73" s="237">
        <v>2.5000000000000001E-3</v>
      </c>
    </row>
    <row r="74" spans="1:69" s="207" customFormat="1" ht="22.35" customHeight="1" x14ac:dyDescent="0.2">
      <c r="A74" s="216" t="s">
        <v>80</v>
      </c>
      <c r="B74" s="216" t="s">
        <v>118</v>
      </c>
      <c r="C74" s="216" t="s">
        <v>128</v>
      </c>
      <c r="D74" s="217">
        <v>5.5965996495555599</v>
      </c>
      <c r="E74" s="218"/>
      <c r="F74" s="219">
        <v>0.04</v>
      </c>
      <c r="G74" s="219">
        <v>3.5499999999999997E-2</v>
      </c>
      <c r="H74" s="220"/>
      <c r="I74" s="221">
        <v>4</v>
      </c>
      <c r="J74" s="221">
        <v>4</v>
      </c>
      <c r="K74" s="218"/>
      <c r="L74" s="222">
        <v>2613.0964100000001</v>
      </c>
      <c r="M74" s="222">
        <v>1459.00397</v>
      </c>
      <c r="N74" s="222">
        <v>4072.1003799999999</v>
      </c>
      <c r="O74" s="217">
        <v>727.60258638893004</v>
      </c>
      <c r="P74" s="223">
        <v>242.33799999999999</v>
      </c>
      <c r="Q74" s="229">
        <v>3.0024287828938498</v>
      </c>
      <c r="R74" s="230">
        <v>2591.0548876655998</v>
      </c>
      <c r="S74" s="219">
        <v>0.01</v>
      </c>
      <c r="T74" s="219">
        <v>0.01</v>
      </c>
      <c r="U74" s="226">
        <v>0</v>
      </c>
      <c r="V74" s="227">
        <v>0</v>
      </c>
      <c r="W74" s="218"/>
      <c r="X74" s="226">
        <v>2075.1427800000001</v>
      </c>
      <c r="Y74" s="217">
        <v>370.78635420434199</v>
      </c>
      <c r="Z74" s="228">
        <v>573</v>
      </c>
      <c r="AA74" s="224">
        <v>0.64709660419605897</v>
      </c>
      <c r="AB74" s="225">
        <v>-1426.73916632131</v>
      </c>
      <c r="AC74" s="219"/>
      <c r="AD74" s="219"/>
      <c r="AE74" s="227">
        <v>1132</v>
      </c>
      <c r="AF74" s="227">
        <v>1774</v>
      </c>
      <c r="AG74" s="218"/>
      <c r="AH74" s="231">
        <v>275.8</v>
      </c>
      <c r="AI74" s="217">
        <v>49.279923037178897</v>
      </c>
      <c r="AJ74" s="232" t="s">
        <v>53</v>
      </c>
      <c r="AK74" s="239">
        <v>0.78222100059014099</v>
      </c>
      <c r="AL74" s="222">
        <v>-109.22366949082399</v>
      </c>
      <c r="AM74" s="219"/>
      <c r="AN74" s="219"/>
      <c r="AO74" s="227">
        <v>77</v>
      </c>
      <c r="AP74" s="227">
        <v>148</v>
      </c>
      <c r="AQ74" s="218"/>
      <c r="AR74" s="231">
        <v>99.5</v>
      </c>
      <c r="AS74" s="217">
        <v>17.7786524372708</v>
      </c>
      <c r="AT74" s="232" t="s">
        <v>54</v>
      </c>
      <c r="AU74" s="229">
        <v>1.1111657773294299</v>
      </c>
      <c r="AV74" s="230">
        <v>1.71621092296526</v>
      </c>
      <c r="AW74" s="219">
        <v>0.01</v>
      </c>
      <c r="AX74" s="219">
        <v>5.4999999999999997E-3</v>
      </c>
      <c r="AY74" s="227">
        <v>0</v>
      </c>
      <c r="AZ74" s="227">
        <v>8</v>
      </c>
      <c r="BA74" s="218"/>
      <c r="BB74" s="235">
        <v>264.60000000000002</v>
      </c>
      <c r="BC74" s="231">
        <v>47.2787078884609</v>
      </c>
      <c r="BD74" s="232" t="s">
        <v>55</v>
      </c>
      <c r="BE74" s="229">
        <v>1.4774596215144</v>
      </c>
      <c r="BF74" s="230">
        <v>69.0324218459305</v>
      </c>
      <c r="BG74" s="219">
        <v>0.02</v>
      </c>
      <c r="BH74" s="219">
        <v>0.02</v>
      </c>
      <c r="BI74" s="227">
        <v>0</v>
      </c>
      <c r="BJ74" s="227">
        <v>0</v>
      </c>
      <c r="BK74" s="220"/>
      <c r="BL74" s="236">
        <v>0.8</v>
      </c>
      <c r="BM74" s="224">
        <v>0.69</v>
      </c>
      <c r="BN74" s="237"/>
      <c r="BO74" s="238">
        <v>0.95</v>
      </c>
      <c r="BP74" s="229">
        <v>1</v>
      </c>
      <c r="BQ74" s="237">
        <v>2.5000000000000001E-3</v>
      </c>
    </row>
    <row r="75" spans="1:69" s="207" customFormat="1" ht="22.35" customHeight="1" x14ac:dyDescent="0.2">
      <c r="A75" s="216" t="s">
        <v>80</v>
      </c>
      <c r="B75" s="216" t="s">
        <v>118</v>
      </c>
      <c r="C75" s="216" t="s">
        <v>129</v>
      </c>
      <c r="D75" s="217">
        <v>4.2868855297777797</v>
      </c>
      <c r="E75" s="218"/>
      <c r="F75" s="219">
        <v>3.0000000000000001E-3</v>
      </c>
      <c r="G75" s="219"/>
      <c r="H75" s="220"/>
      <c r="I75" s="221">
        <v>1</v>
      </c>
      <c r="J75" s="221">
        <v>0</v>
      </c>
      <c r="K75" s="218"/>
      <c r="L75" s="222">
        <v>1191.4129499999999</v>
      </c>
      <c r="M75" s="222">
        <v>-1389.83674</v>
      </c>
      <c r="N75" s="222">
        <v>-198.42379</v>
      </c>
      <c r="O75" s="217">
        <v>-46.286234755208397</v>
      </c>
      <c r="P75" s="223">
        <v>275.59500000000003</v>
      </c>
      <c r="Q75" s="224">
        <v>-0.167950197772849</v>
      </c>
      <c r="R75" s="225">
        <v>-1488.5608755963899</v>
      </c>
      <c r="S75" s="219"/>
      <c r="T75" s="219"/>
      <c r="U75" s="226">
        <v>1380</v>
      </c>
      <c r="V75" s="227">
        <v>1617</v>
      </c>
      <c r="W75" s="218"/>
      <c r="X75" s="226">
        <v>2294.0540299999998</v>
      </c>
      <c r="Y75" s="217">
        <v>535.13302701108501</v>
      </c>
      <c r="Z75" s="228">
        <v>573</v>
      </c>
      <c r="AA75" s="233">
        <v>0.93391453230555799</v>
      </c>
      <c r="AB75" s="234">
        <v>-388.31883615043398</v>
      </c>
      <c r="AC75" s="219">
        <v>3.0000000000000001E-3</v>
      </c>
      <c r="AD75" s="219"/>
      <c r="AE75" s="227">
        <v>163</v>
      </c>
      <c r="AF75" s="227">
        <v>654</v>
      </c>
      <c r="AG75" s="218"/>
      <c r="AH75" s="231">
        <v>164.4</v>
      </c>
      <c r="AI75" s="217">
        <v>38.3495194490351</v>
      </c>
      <c r="AJ75" s="232" t="s">
        <v>53</v>
      </c>
      <c r="AK75" s="224">
        <v>0.60872253093706497</v>
      </c>
      <c r="AL75" s="225">
        <v>-130.520576906592</v>
      </c>
      <c r="AM75" s="219"/>
      <c r="AN75" s="219"/>
      <c r="AO75" s="227">
        <v>106</v>
      </c>
      <c r="AP75" s="227">
        <v>160</v>
      </c>
      <c r="AQ75" s="218"/>
      <c r="AR75" s="231">
        <v>9</v>
      </c>
      <c r="AS75" s="217">
        <v>2.0994262472099501</v>
      </c>
      <c r="AT75" s="232" t="s">
        <v>54</v>
      </c>
      <c r="AU75" s="224">
        <v>0.13121414045062199</v>
      </c>
      <c r="AV75" s="225">
        <v>-65.900463976277393</v>
      </c>
      <c r="AW75" s="219"/>
      <c r="AX75" s="219"/>
      <c r="AY75" s="227">
        <v>60</v>
      </c>
      <c r="AZ75" s="227">
        <v>74</v>
      </c>
      <c r="BA75" s="218"/>
      <c r="BB75" s="235">
        <v>123.4</v>
      </c>
      <c r="BC75" s="231">
        <v>28.785466545078599</v>
      </c>
      <c r="BD75" s="232" t="s">
        <v>55</v>
      </c>
      <c r="BE75" s="239">
        <v>0.89954582953370799</v>
      </c>
      <c r="BF75" s="222">
        <v>-26.400927952554799</v>
      </c>
      <c r="BG75" s="219"/>
      <c r="BH75" s="219"/>
      <c r="BI75" s="227">
        <v>14</v>
      </c>
      <c r="BJ75" s="227">
        <v>42</v>
      </c>
      <c r="BK75" s="220"/>
      <c r="BL75" s="236">
        <v>0.8</v>
      </c>
      <c r="BM75" s="239">
        <v>0.72</v>
      </c>
      <c r="BN75" s="237"/>
      <c r="BO75" s="238">
        <v>0.95</v>
      </c>
      <c r="BP75" s="239">
        <v>0.9</v>
      </c>
      <c r="BQ75" s="237"/>
    </row>
    <row r="76" spans="1:69" s="207" customFormat="1" ht="22.35" customHeight="1" x14ac:dyDescent="0.2">
      <c r="A76" s="216" t="s">
        <v>80</v>
      </c>
      <c r="B76" s="216" t="s">
        <v>118</v>
      </c>
      <c r="C76" s="216" t="s">
        <v>130</v>
      </c>
      <c r="D76" s="217">
        <v>5.9599043151111104</v>
      </c>
      <c r="E76" s="218"/>
      <c r="F76" s="219">
        <v>3.6999999999999998E-2</v>
      </c>
      <c r="G76" s="219">
        <v>1.7999999999999999E-2</v>
      </c>
      <c r="H76" s="220"/>
      <c r="I76" s="221">
        <v>4</v>
      </c>
      <c r="J76" s="221">
        <v>3</v>
      </c>
      <c r="K76" s="218"/>
      <c r="L76" s="222">
        <v>5538.96191</v>
      </c>
      <c r="M76" s="222">
        <v>4870.9960499999997</v>
      </c>
      <c r="N76" s="222">
        <v>10409.95796</v>
      </c>
      <c r="O76" s="217">
        <v>1746.66528346872</v>
      </c>
      <c r="P76" s="223">
        <v>283.69400000000002</v>
      </c>
      <c r="Q76" s="229">
        <v>6.1568636751877701</v>
      </c>
      <c r="R76" s="230">
        <v>8563.6162685099298</v>
      </c>
      <c r="S76" s="219">
        <v>0.01</v>
      </c>
      <c r="T76" s="219">
        <v>0.01</v>
      </c>
      <c r="U76" s="226">
        <v>0</v>
      </c>
      <c r="V76" s="227">
        <v>0</v>
      </c>
      <c r="W76" s="218"/>
      <c r="X76" s="226">
        <v>3350.6094199999998</v>
      </c>
      <c r="Y76" s="217">
        <v>562.19181430558501</v>
      </c>
      <c r="Z76" s="228">
        <v>573</v>
      </c>
      <c r="AA76" s="233">
        <v>0.98113754678112597</v>
      </c>
      <c r="AB76" s="234">
        <v>-378.59806843406301</v>
      </c>
      <c r="AC76" s="219">
        <v>8.0000000000000002E-3</v>
      </c>
      <c r="AD76" s="219"/>
      <c r="AE76" s="227">
        <v>65</v>
      </c>
      <c r="AF76" s="227">
        <v>748</v>
      </c>
      <c r="AG76" s="218"/>
      <c r="AH76" s="231">
        <v>257</v>
      </c>
      <c r="AI76" s="217">
        <v>43.121497663710201</v>
      </c>
      <c r="AJ76" s="232" t="s">
        <v>53</v>
      </c>
      <c r="AK76" s="224">
        <v>0.68446821688428905</v>
      </c>
      <c r="AL76" s="225">
        <v>-153.01757726238401</v>
      </c>
      <c r="AM76" s="219"/>
      <c r="AN76" s="219"/>
      <c r="AO76" s="227">
        <v>119</v>
      </c>
      <c r="AP76" s="227">
        <v>194</v>
      </c>
      <c r="AQ76" s="218"/>
      <c r="AR76" s="231">
        <v>31.8</v>
      </c>
      <c r="AS76" s="217">
        <v>5.3356561311516897</v>
      </c>
      <c r="AT76" s="232" t="s">
        <v>54</v>
      </c>
      <c r="AU76" s="224">
        <v>0.33347850819698099</v>
      </c>
      <c r="AV76" s="225">
        <v>-72.331448193621299</v>
      </c>
      <c r="AW76" s="219"/>
      <c r="AX76" s="219"/>
      <c r="AY76" s="227">
        <v>64</v>
      </c>
      <c r="AZ76" s="227">
        <v>83</v>
      </c>
      <c r="BA76" s="218"/>
      <c r="BB76" s="235">
        <v>206</v>
      </c>
      <c r="BC76" s="231">
        <v>34.564313302429198</v>
      </c>
      <c r="BD76" s="232" t="s">
        <v>55</v>
      </c>
      <c r="BE76" s="233">
        <v>1.08013479070091</v>
      </c>
      <c r="BF76" s="234">
        <v>-2.2628963872426202</v>
      </c>
      <c r="BG76" s="219">
        <v>1.9E-2</v>
      </c>
      <c r="BH76" s="219">
        <v>8.0000000000000002E-3</v>
      </c>
      <c r="BI76" s="227">
        <v>0</v>
      </c>
      <c r="BJ76" s="227">
        <v>23</v>
      </c>
      <c r="BK76" s="220"/>
      <c r="BL76" s="236">
        <v>0.8</v>
      </c>
      <c r="BM76" s="224">
        <v>0.62</v>
      </c>
      <c r="BN76" s="237"/>
      <c r="BO76" s="238">
        <v>0.95</v>
      </c>
      <c r="BP76" s="229">
        <v>1</v>
      </c>
      <c r="BQ76" s="237">
        <v>2.5000000000000001E-3</v>
      </c>
    </row>
    <row r="77" spans="1:69" s="207" customFormat="1" ht="22.35" customHeight="1" x14ac:dyDescent="0.2">
      <c r="A77" s="216" t="s">
        <v>80</v>
      </c>
      <c r="B77" s="216" t="s">
        <v>118</v>
      </c>
      <c r="C77" s="216" t="s">
        <v>131</v>
      </c>
      <c r="D77" s="217">
        <v>8.4737407848888893</v>
      </c>
      <c r="E77" s="218"/>
      <c r="F77" s="219">
        <v>4.2000000000000003E-2</v>
      </c>
      <c r="G77" s="219">
        <v>3.0499999999999999E-2</v>
      </c>
      <c r="H77" s="220"/>
      <c r="I77" s="221">
        <v>5</v>
      </c>
      <c r="J77" s="221">
        <v>4</v>
      </c>
      <c r="K77" s="218"/>
      <c r="L77" s="222">
        <v>12506.70824</v>
      </c>
      <c r="M77" s="222">
        <v>6411.7211600000001</v>
      </c>
      <c r="N77" s="222">
        <v>18918.429400000001</v>
      </c>
      <c r="O77" s="217">
        <v>2232.5947748764002</v>
      </c>
      <c r="P77" s="223">
        <v>248.64599999999999</v>
      </c>
      <c r="Q77" s="229">
        <v>8.9790094144945005</v>
      </c>
      <c r="R77" s="230">
        <v>16617.6271676902</v>
      </c>
      <c r="S77" s="219">
        <v>0.01</v>
      </c>
      <c r="T77" s="219">
        <v>0.01</v>
      </c>
      <c r="U77" s="226">
        <v>0</v>
      </c>
      <c r="V77" s="227">
        <v>0</v>
      </c>
      <c r="W77" s="218"/>
      <c r="X77" s="226">
        <v>3411.2687799999999</v>
      </c>
      <c r="Y77" s="217">
        <v>402.56940430409099</v>
      </c>
      <c r="Z77" s="228">
        <v>573</v>
      </c>
      <c r="AA77" s="224">
        <v>0.70256440541726195</v>
      </c>
      <c r="AB77" s="225">
        <v>-1890.88640895754</v>
      </c>
      <c r="AC77" s="219"/>
      <c r="AD77" s="219"/>
      <c r="AE77" s="227">
        <v>1445</v>
      </c>
      <c r="AF77" s="227">
        <v>2416</v>
      </c>
      <c r="AG77" s="218"/>
      <c r="AH77" s="231">
        <v>517.6</v>
      </c>
      <c r="AI77" s="217">
        <v>61.082821995573603</v>
      </c>
      <c r="AJ77" s="232" t="s">
        <v>53</v>
      </c>
      <c r="AK77" s="233">
        <v>0.96956860310434201</v>
      </c>
      <c r="AL77" s="234">
        <v>-65.359471037216096</v>
      </c>
      <c r="AM77" s="219">
        <v>7.0000000000000001E-3</v>
      </c>
      <c r="AN77" s="219"/>
      <c r="AO77" s="227">
        <v>17</v>
      </c>
      <c r="AP77" s="227">
        <v>124</v>
      </c>
      <c r="AQ77" s="218"/>
      <c r="AR77" s="231">
        <v>135.80000000000001</v>
      </c>
      <c r="AS77" s="217">
        <v>16.025979959426</v>
      </c>
      <c r="AT77" s="232" t="s">
        <v>54</v>
      </c>
      <c r="AU77" s="233">
        <v>1.0016237474641201</v>
      </c>
      <c r="AV77" s="234">
        <v>-12.2531989935787</v>
      </c>
      <c r="AW77" s="219">
        <v>5.0000000000000001E-3</v>
      </c>
      <c r="AX77" s="219">
        <v>5.0000000000000001E-4</v>
      </c>
      <c r="AY77" s="227">
        <v>0</v>
      </c>
      <c r="AZ77" s="227">
        <v>27</v>
      </c>
      <c r="BA77" s="218"/>
      <c r="BB77" s="235">
        <v>674.8</v>
      </c>
      <c r="BC77" s="231">
        <v>79.634250932405394</v>
      </c>
      <c r="BD77" s="232" t="s">
        <v>55</v>
      </c>
      <c r="BE77" s="229">
        <v>2.4885703416376699</v>
      </c>
      <c r="BF77" s="230">
        <v>378.69360201284297</v>
      </c>
      <c r="BG77" s="219">
        <v>0.02</v>
      </c>
      <c r="BH77" s="219">
        <v>0.02</v>
      </c>
      <c r="BI77" s="227">
        <v>0</v>
      </c>
      <c r="BJ77" s="227">
        <v>0</v>
      </c>
      <c r="BK77" s="220"/>
      <c r="BL77" s="236">
        <v>0.8</v>
      </c>
      <c r="BM77" s="224">
        <v>0.57999999999999996</v>
      </c>
      <c r="BN77" s="237"/>
      <c r="BO77" s="238">
        <v>0.95</v>
      </c>
      <c r="BP77" s="229">
        <v>1</v>
      </c>
      <c r="BQ77" s="237">
        <v>2.5000000000000001E-3</v>
      </c>
    </row>
    <row r="78" spans="1:69" s="207" customFormat="1" ht="22.35" customHeight="1" x14ac:dyDescent="0.2">
      <c r="A78" s="216" t="s">
        <v>80</v>
      </c>
      <c r="B78" s="216" t="s">
        <v>118</v>
      </c>
      <c r="C78" s="216" t="s">
        <v>132</v>
      </c>
      <c r="D78" s="217">
        <v>2.7902579681111099</v>
      </c>
      <c r="E78" s="218"/>
      <c r="F78" s="219">
        <v>1.7000000000000001E-2</v>
      </c>
      <c r="G78" s="219">
        <v>7.0000000000000001E-3</v>
      </c>
      <c r="H78" s="220"/>
      <c r="I78" s="221">
        <v>1</v>
      </c>
      <c r="J78" s="221">
        <v>1</v>
      </c>
      <c r="K78" s="218"/>
      <c r="L78" s="222">
        <v>866.89889000000005</v>
      </c>
      <c r="M78" s="222">
        <v>-848.05146999999999</v>
      </c>
      <c r="N78" s="222">
        <v>18.84742</v>
      </c>
      <c r="O78" s="217">
        <v>6.7547231171456596</v>
      </c>
      <c r="P78" s="223">
        <v>256.80599999999998</v>
      </c>
      <c r="Q78" s="224">
        <v>2.6302824377723501E-2</v>
      </c>
      <c r="R78" s="225">
        <v>-763.63062663254595</v>
      </c>
      <c r="S78" s="219"/>
      <c r="T78" s="219"/>
      <c r="U78" s="226">
        <v>698</v>
      </c>
      <c r="V78" s="227">
        <v>842</v>
      </c>
      <c r="W78" s="218"/>
      <c r="X78" s="226">
        <v>630.70265500000005</v>
      </c>
      <c r="Y78" s="217">
        <v>226.03739948351799</v>
      </c>
      <c r="Z78" s="228">
        <v>573</v>
      </c>
      <c r="AA78" s="224">
        <v>0.39448062737088602</v>
      </c>
      <c r="AB78" s="225">
        <v>-1115.20639977461</v>
      </c>
      <c r="AC78" s="219"/>
      <c r="AD78" s="219"/>
      <c r="AE78" s="227">
        <v>969</v>
      </c>
      <c r="AF78" s="227">
        <v>1288</v>
      </c>
      <c r="AG78" s="218"/>
      <c r="AH78" s="231">
        <v>129.94999999999999</v>
      </c>
      <c r="AI78" s="217">
        <v>46.5727547363553</v>
      </c>
      <c r="AJ78" s="232" t="s">
        <v>53</v>
      </c>
      <c r="AK78" s="239">
        <v>0.73925007518024299</v>
      </c>
      <c r="AL78" s="222">
        <v>-62.0085871741719</v>
      </c>
      <c r="AM78" s="219"/>
      <c r="AN78" s="219"/>
      <c r="AO78" s="227">
        <v>46</v>
      </c>
      <c r="AP78" s="227">
        <v>81</v>
      </c>
      <c r="AQ78" s="218"/>
      <c r="AR78" s="231">
        <v>14.3</v>
      </c>
      <c r="AS78" s="217">
        <v>5.1249741649086697</v>
      </c>
      <c r="AT78" s="232" t="s">
        <v>54</v>
      </c>
      <c r="AU78" s="224">
        <v>0.32031088530679203</v>
      </c>
      <c r="AV78" s="225">
        <v>-34.451387218837297</v>
      </c>
      <c r="AW78" s="219"/>
      <c r="AX78" s="219"/>
      <c r="AY78" s="227">
        <v>31</v>
      </c>
      <c r="AZ78" s="227">
        <v>40</v>
      </c>
      <c r="BA78" s="218"/>
      <c r="BB78" s="235">
        <v>95.4</v>
      </c>
      <c r="BC78" s="231">
        <v>34.190387086173899</v>
      </c>
      <c r="BD78" s="232" t="s">
        <v>55</v>
      </c>
      <c r="BE78" s="233">
        <v>1.0684495964429299</v>
      </c>
      <c r="BF78" s="234">
        <v>-2.10277443767463</v>
      </c>
      <c r="BG78" s="219">
        <v>1.7000000000000001E-2</v>
      </c>
      <c r="BH78" s="219">
        <v>7.0000000000000001E-3</v>
      </c>
      <c r="BI78" s="227">
        <v>0</v>
      </c>
      <c r="BJ78" s="227">
        <v>12</v>
      </c>
      <c r="BK78" s="220"/>
      <c r="BL78" s="236">
        <v>0.8</v>
      </c>
      <c r="BM78" s="239">
        <v>0.73</v>
      </c>
      <c r="BN78" s="237"/>
      <c r="BO78" s="238">
        <v>0.95</v>
      </c>
      <c r="BP78" s="239">
        <v>0.88</v>
      </c>
      <c r="BQ78" s="237"/>
    </row>
    <row r="79" spans="1:69" s="207" customFormat="1" ht="22.35" customHeight="1" x14ac:dyDescent="0.2">
      <c r="A79" s="216" t="s">
        <v>80</v>
      </c>
      <c r="B79" s="216" t="s">
        <v>118</v>
      </c>
      <c r="C79" s="216" t="s">
        <v>133</v>
      </c>
      <c r="D79" s="217">
        <v>2.4499054332222201</v>
      </c>
      <c r="E79" s="218"/>
      <c r="F79" s="219">
        <v>6.0499999999999998E-2</v>
      </c>
      <c r="G79" s="219">
        <v>0.06</v>
      </c>
      <c r="H79" s="220"/>
      <c r="I79" s="221">
        <v>5</v>
      </c>
      <c r="J79" s="221">
        <v>4</v>
      </c>
      <c r="K79" s="218"/>
      <c r="L79" s="222">
        <v>1040.02478</v>
      </c>
      <c r="M79" s="222">
        <v>-479.82504</v>
      </c>
      <c r="N79" s="222">
        <v>560.19974000000002</v>
      </c>
      <c r="O79" s="217">
        <v>228.66178114605901</v>
      </c>
      <c r="P79" s="223">
        <v>249.55500000000001</v>
      </c>
      <c r="Q79" s="233">
        <v>0.91627809960152495</v>
      </c>
      <c r="R79" s="234">
        <v>-107.433936223446</v>
      </c>
      <c r="S79" s="219">
        <v>5.0000000000000001E-4</v>
      </c>
      <c r="T79" s="219"/>
      <c r="U79" s="226">
        <v>52</v>
      </c>
      <c r="V79" s="227">
        <v>174</v>
      </c>
      <c r="W79" s="218"/>
      <c r="X79" s="226">
        <v>1695.3282300000001</v>
      </c>
      <c r="Y79" s="217">
        <v>691.99741631260895</v>
      </c>
      <c r="Z79" s="228">
        <v>573</v>
      </c>
      <c r="AA79" s="229">
        <v>1.2076743740185101</v>
      </c>
      <c r="AB79" s="230">
        <v>162.383201945926</v>
      </c>
      <c r="AC79" s="219">
        <v>0.02</v>
      </c>
      <c r="AD79" s="219">
        <v>0.02</v>
      </c>
      <c r="AE79" s="227">
        <v>0</v>
      </c>
      <c r="AF79" s="227">
        <v>0</v>
      </c>
      <c r="AG79" s="218"/>
      <c r="AH79" s="231">
        <v>205.9</v>
      </c>
      <c r="AI79" s="217">
        <v>84.044060316724696</v>
      </c>
      <c r="AJ79" s="232" t="s">
        <v>53</v>
      </c>
      <c r="AK79" s="229">
        <v>1.3340327034400701</v>
      </c>
      <c r="AL79" s="230">
        <v>37.356305816044198</v>
      </c>
      <c r="AM79" s="219">
        <v>0.02</v>
      </c>
      <c r="AN79" s="219">
        <v>0.02</v>
      </c>
      <c r="AO79" s="227">
        <v>0</v>
      </c>
      <c r="AP79" s="227">
        <v>0</v>
      </c>
      <c r="AQ79" s="218"/>
      <c r="AR79" s="231">
        <v>17.8</v>
      </c>
      <c r="AS79" s="217">
        <v>7.2655865645347202</v>
      </c>
      <c r="AT79" s="232" t="s">
        <v>54</v>
      </c>
      <c r="AU79" s="224">
        <v>0.45409916028342001</v>
      </c>
      <c r="AV79" s="225">
        <v>-25.0047477292586</v>
      </c>
      <c r="AW79" s="219"/>
      <c r="AX79" s="219"/>
      <c r="AY79" s="227">
        <v>22</v>
      </c>
      <c r="AZ79" s="227">
        <v>30</v>
      </c>
      <c r="BA79" s="218"/>
      <c r="BB79" s="235">
        <v>140</v>
      </c>
      <c r="BC79" s="231">
        <v>57.145062867127002</v>
      </c>
      <c r="BD79" s="232" t="s">
        <v>55</v>
      </c>
      <c r="BE79" s="229">
        <v>1.7857832145977199</v>
      </c>
      <c r="BF79" s="230">
        <v>54.390504541482798</v>
      </c>
      <c r="BG79" s="219">
        <v>0.02</v>
      </c>
      <c r="BH79" s="219">
        <v>0.02</v>
      </c>
      <c r="BI79" s="227">
        <v>0</v>
      </c>
      <c r="BJ79" s="227">
        <v>0</v>
      </c>
      <c r="BK79" s="220"/>
      <c r="BL79" s="236">
        <v>0.8</v>
      </c>
      <c r="BM79" s="224">
        <v>0.67</v>
      </c>
      <c r="BN79" s="237"/>
      <c r="BO79" s="238">
        <v>0.95</v>
      </c>
      <c r="BP79" s="229">
        <v>1</v>
      </c>
      <c r="BQ79" s="237">
        <v>2.5000000000000001E-3</v>
      </c>
    </row>
    <row r="80" spans="1:69" s="207" customFormat="1" ht="22.35" customHeight="1" x14ac:dyDescent="0.2">
      <c r="A80" s="216" t="s">
        <v>80</v>
      </c>
      <c r="B80" s="216" t="s">
        <v>118</v>
      </c>
      <c r="C80" s="216" t="s">
        <v>134</v>
      </c>
      <c r="D80" s="217">
        <v>2.67748065066667</v>
      </c>
      <c r="E80" s="218"/>
      <c r="F80" s="219">
        <v>5.5E-2</v>
      </c>
      <c r="G80" s="219">
        <v>4.4999999999999998E-2</v>
      </c>
      <c r="H80" s="220"/>
      <c r="I80" s="221">
        <v>5</v>
      </c>
      <c r="J80" s="221">
        <v>4</v>
      </c>
      <c r="K80" s="218"/>
      <c r="L80" s="222">
        <v>1331.5432599999999</v>
      </c>
      <c r="M80" s="222">
        <v>573.57988</v>
      </c>
      <c r="N80" s="222">
        <v>1905.1231399999999</v>
      </c>
      <c r="O80" s="217">
        <v>711.53572651426703</v>
      </c>
      <c r="P80" s="223">
        <v>236.18299999999999</v>
      </c>
      <c r="Q80" s="229">
        <v>3.0126458149581801</v>
      </c>
      <c r="R80" s="230">
        <v>1214.5691895320799</v>
      </c>
      <c r="S80" s="219">
        <v>0.01</v>
      </c>
      <c r="T80" s="219">
        <v>0.01</v>
      </c>
      <c r="U80" s="226">
        <v>0</v>
      </c>
      <c r="V80" s="227">
        <v>0</v>
      </c>
      <c r="W80" s="218"/>
      <c r="X80" s="226">
        <v>1459.97866</v>
      </c>
      <c r="Y80" s="217">
        <v>545.28075100616695</v>
      </c>
      <c r="Z80" s="228">
        <v>573</v>
      </c>
      <c r="AA80" s="233">
        <v>0.951624347305701</v>
      </c>
      <c r="AB80" s="234">
        <v>-215.363822812546</v>
      </c>
      <c r="AC80" s="219">
        <v>5.0000000000000001E-3</v>
      </c>
      <c r="AD80" s="219"/>
      <c r="AE80" s="227">
        <v>75</v>
      </c>
      <c r="AF80" s="227">
        <v>382</v>
      </c>
      <c r="AG80" s="218"/>
      <c r="AH80" s="231">
        <v>193.55</v>
      </c>
      <c r="AI80" s="217">
        <v>72.288104099578803</v>
      </c>
      <c r="AJ80" s="232" t="s">
        <v>53</v>
      </c>
      <c r="AK80" s="229">
        <v>1.14743022380284</v>
      </c>
      <c r="AL80" s="230">
        <v>9.3500411567357293</v>
      </c>
      <c r="AM80" s="219">
        <v>0.02</v>
      </c>
      <c r="AN80" s="219">
        <v>1.4999999999999999E-2</v>
      </c>
      <c r="AO80" s="227">
        <v>0</v>
      </c>
      <c r="AP80" s="227">
        <v>9</v>
      </c>
      <c r="AQ80" s="218"/>
      <c r="AR80" s="231">
        <v>33.200000000000003</v>
      </c>
      <c r="AS80" s="217">
        <v>12.399716125579999</v>
      </c>
      <c r="AT80" s="232" t="s">
        <v>54</v>
      </c>
      <c r="AU80" s="239">
        <v>0.77498225784875197</v>
      </c>
      <c r="AV80" s="222">
        <v>-13.5809419284481</v>
      </c>
      <c r="AW80" s="219"/>
      <c r="AX80" s="219"/>
      <c r="AY80" s="227">
        <v>10</v>
      </c>
      <c r="AZ80" s="227">
        <v>19</v>
      </c>
      <c r="BA80" s="218"/>
      <c r="BB80" s="235">
        <v>134.6</v>
      </c>
      <c r="BC80" s="231">
        <v>50.271138268164798</v>
      </c>
      <c r="BD80" s="232" t="s">
        <v>55</v>
      </c>
      <c r="BE80" s="229">
        <v>1.5709730708801499</v>
      </c>
      <c r="BF80" s="230">
        <v>41.038116143103899</v>
      </c>
      <c r="BG80" s="219">
        <v>0.02</v>
      </c>
      <c r="BH80" s="219">
        <v>0.02</v>
      </c>
      <c r="BI80" s="227">
        <v>0</v>
      </c>
      <c r="BJ80" s="227">
        <v>0</v>
      </c>
      <c r="BK80" s="220"/>
      <c r="BL80" s="236">
        <v>0.8</v>
      </c>
      <c r="BM80" s="224">
        <v>0.68</v>
      </c>
      <c r="BN80" s="237"/>
      <c r="BO80" s="238">
        <v>0.95</v>
      </c>
      <c r="BP80" s="229">
        <v>1</v>
      </c>
      <c r="BQ80" s="237">
        <v>2.5000000000000001E-3</v>
      </c>
    </row>
    <row r="81" spans="1:69" s="207" customFormat="1" ht="22.35" customHeight="1" x14ac:dyDescent="0.2">
      <c r="A81" s="216" t="s">
        <v>80</v>
      </c>
      <c r="B81" s="216" t="s">
        <v>118</v>
      </c>
      <c r="C81" s="216" t="s">
        <v>135</v>
      </c>
      <c r="D81" s="217">
        <v>5.56134457377778</v>
      </c>
      <c r="E81" s="218"/>
      <c r="F81" s="219">
        <v>0.03</v>
      </c>
      <c r="G81" s="219">
        <v>0.03</v>
      </c>
      <c r="H81" s="220"/>
      <c r="I81" s="221">
        <v>3</v>
      </c>
      <c r="J81" s="221">
        <v>3</v>
      </c>
      <c r="K81" s="218"/>
      <c r="L81" s="222">
        <v>3887.80377</v>
      </c>
      <c r="M81" s="222">
        <v>483.76064000000002</v>
      </c>
      <c r="N81" s="222">
        <v>4371.56441</v>
      </c>
      <c r="O81" s="217">
        <v>786.06249837715598</v>
      </c>
      <c r="P81" s="223">
        <v>255.63</v>
      </c>
      <c r="Q81" s="229">
        <v>3.0750009716275701</v>
      </c>
      <c r="R81" s="230">
        <v>2819.12641737286</v>
      </c>
      <c r="S81" s="219">
        <v>0.01</v>
      </c>
      <c r="T81" s="219">
        <v>0.01</v>
      </c>
      <c r="U81" s="226">
        <v>0</v>
      </c>
      <c r="V81" s="227">
        <v>0</v>
      </c>
      <c r="W81" s="218"/>
      <c r="X81" s="226">
        <v>2342.6053449999999</v>
      </c>
      <c r="Y81" s="217">
        <v>421.23003060187801</v>
      </c>
      <c r="Z81" s="228">
        <v>573</v>
      </c>
      <c r="AA81" s="239">
        <v>0.73513094345877406</v>
      </c>
      <c r="AB81" s="222">
        <v>-1137.21693632594</v>
      </c>
      <c r="AC81" s="219"/>
      <c r="AD81" s="219"/>
      <c r="AE81" s="227">
        <v>845</v>
      </c>
      <c r="AF81" s="227">
        <v>1482</v>
      </c>
      <c r="AG81" s="218"/>
      <c r="AH81" s="231">
        <v>255</v>
      </c>
      <c r="AI81" s="217">
        <v>45.8522209183634</v>
      </c>
      <c r="AJ81" s="232" t="s">
        <v>53</v>
      </c>
      <c r="AK81" s="239">
        <v>0.72781303045021195</v>
      </c>
      <c r="AL81" s="222">
        <v>-127.59826129761601</v>
      </c>
      <c r="AM81" s="219"/>
      <c r="AN81" s="219"/>
      <c r="AO81" s="227">
        <v>96</v>
      </c>
      <c r="AP81" s="227">
        <v>166</v>
      </c>
      <c r="AQ81" s="218"/>
      <c r="AR81" s="231">
        <v>42.8</v>
      </c>
      <c r="AS81" s="217">
        <v>7.6959806090429499</v>
      </c>
      <c r="AT81" s="232" t="s">
        <v>54</v>
      </c>
      <c r="AU81" s="224">
        <v>0.48099878806518398</v>
      </c>
      <c r="AV81" s="225">
        <v>-54.367812393045398</v>
      </c>
      <c r="AW81" s="219"/>
      <c r="AX81" s="219"/>
      <c r="AY81" s="227">
        <v>47</v>
      </c>
      <c r="AZ81" s="227">
        <v>64</v>
      </c>
      <c r="BA81" s="218"/>
      <c r="BB81" s="235">
        <v>219.2</v>
      </c>
      <c r="BC81" s="231">
        <v>39.414928726687201</v>
      </c>
      <c r="BD81" s="232" t="s">
        <v>55</v>
      </c>
      <c r="BE81" s="229">
        <v>1.2317165227089799</v>
      </c>
      <c r="BF81" s="230">
        <v>24.864375213909302</v>
      </c>
      <c r="BG81" s="219">
        <v>0.02</v>
      </c>
      <c r="BH81" s="219">
        <v>0.02</v>
      </c>
      <c r="BI81" s="227">
        <v>0</v>
      </c>
      <c r="BJ81" s="227">
        <v>0</v>
      </c>
      <c r="BK81" s="220"/>
      <c r="BL81" s="236">
        <v>0.8</v>
      </c>
      <c r="BM81" s="224">
        <v>0.62</v>
      </c>
      <c r="BN81" s="237"/>
      <c r="BO81" s="238">
        <v>0.95</v>
      </c>
      <c r="BP81" s="229">
        <v>1</v>
      </c>
      <c r="BQ81" s="237">
        <v>2.5000000000000001E-3</v>
      </c>
    </row>
    <row r="82" spans="1:69" s="207" customFormat="1" ht="22.35" customHeight="1" x14ac:dyDescent="0.2">
      <c r="A82" s="216" t="s">
        <v>80</v>
      </c>
      <c r="B82" s="216" t="s">
        <v>118</v>
      </c>
      <c r="C82" s="216" t="s">
        <v>136</v>
      </c>
      <c r="D82" s="217">
        <v>4.6816910714444404</v>
      </c>
      <c r="E82" s="218"/>
      <c r="F82" s="219">
        <v>0.03</v>
      </c>
      <c r="G82" s="219">
        <v>0.03</v>
      </c>
      <c r="H82" s="220"/>
      <c r="I82" s="221">
        <v>3</v>
      </c>
      <c r="J82" s="221">
        <v>3</v>
      </c>
      <c r="K82" s="218"/>
      <c r="L82" s="222">
        <v>5057.3916200000003</v>
      </c>
      <c r="M82" s="222">
        <v>1785.21137</v>
      </c>
      <c r="N82" s="222">
        <v>6842.6029900000003</v>
      </c>
      <c r="O82" s="217">
        <v>1461.5665334553701</v>
      </c>
      <c r="P82" s="223">
        <v>287.5</v>
      </c>
      <c r="Q82" s="229">
        <v>5.0837096815839002</v>
      </c>
      <c r="R82" s="230">
        <v>5372.7860781200197</v>
      </c>
      <c r="S82" s="219">
        <v>0.01</v>
      </c>
      <c r="T82" s="219">
        <v>0.01</v>
      </c>
      <c r="U82" s="226">
        <v>0</v>
      </c>
      <c r="V82" s="227">
        <v>0</v>
      </c>
      <c r="W82" s="218"/>
      <c r="X82" s="226">
        <v>2291.9000900000001</v>
      </c>
      <c r="Y82" s="217">
        <v>489.54534911097397</v>
      </c>
      <c r="Z82" s="228">
        <v>573</v>
      </c>
      <c r="AA82" s="239">
        <v>0.854354885010426</v>
      </c>
      <c r="AB82" s="222">
        <v>-637.50892045992896</v>
      </c>
      <c r="AC82" s="219"/>
      <c r="AD82" s="219"/>
      <c r="AE82" s="227">
        <v>391</v>
      </c>
      <c r="AF82" s="227">
        <v>928</v>
      </c>
      <c r="AG82" s="218"/>
      <c r="AH82" s="231">
        <v>189.2</v>
      </c>
      <c r="AI82" s="217">
        <v>40.4127476829918</v>
      </c>
      <c r="AJ82" s="232" t="s">
        <v>53</v>
      </c>
      <c r="AK82" s="224">
        <v>0.64147218544431495</v>
      </c>
      <c r="AL82" s="225">
        <v>-132.88161895109201</v>
      </c>
      <c r="AM82" s="219"/>
      <c r="AN82" s="219"/>
      <c r="AO82" s="227">
        <v>106</v>
      </c>
      <c r="AP82" s="227">
        <v>165</v>
      </c>
      <c r="AQ82" s="218"/>
      <c r="AR82" s="231">
        <v>58</v>
      </c>
      <c r="AS82" s="217">
        <v>12.3886858647649</v>
      </c>
      <c r="AT82" s="232" t="s">
        <v>54</v>
      </c>
      <c r="AU82" s="239">
        <v>0.77429286654780805</v>
      </c>
      <c r="AV82" s="222">
        <v>-23.798506400277201</v>
      </c>
      <c r="AW82" s="219"/>
      <c r="AX82" s="219"/>
      <c r="AY82" s="227">
        <v>17</v>
      </c>
      <c r="AZ82" s="227">
        <v>32</v>
      </c>
      <c r="BA82" s="218"/>
      <c r="BB82" s="235">
        <v>209.2</v>
      </c>
      <c r="BC82" s="231">
        <v>44.684708326014203</v>
      </c>
      <c r="BD82" s="232" t="s">
        <v>55</v>
      </c>
      <c r="BE82" s="229">
        <v>1.3963971351879401</v>
      </c>
      <c r="BF82" s="230">
        <v>45.602987199445501</v>
      </c>
      <c r="BG82" s="219">
        <v>0.02</v>
      </c>
      <c r="BH82" s="219">
        <v>0.02</v>
      </c>
      <c r="BI82" s="227">
        <v>0</v>
      </c>
      <c r="BJ82" s="227">
        <v>0</v>
      </c>
      <c r="BK82" s="220"/>
      <c r="BL82" s="236">
        <v>0.8</v>
      </c>
      <c r="BM82" s="224">
        <v>0.65</v>
      </c>
      <c r="BN82" s="237"/>
      <c r="BO82" s="238">
        <v>0.95</v>
      </c>
      <c r="BP82" s="229">
        <v>1</v>
      </c>
      <c r="BQ82" s="237">
        <v>2.5000000000000001E-3</v>
      </c>
    </row>
    <row r="83" spans="1:69" s="207" customFormat="1" ht="22.35" customHeight="1" x14ac:dyDescent="0.2">
      <c r="A83" s="216" t="s">
        <v>80</v>
      </c>
      <c r="B83" s="216" t="s">
        <v>118</v>
      </c>
      <c r="C83" s="216" t="s">
        <v>137</v>
      </c>
      <c r="D83" s="217">
        <v>2.8572871573333298</v>
      </c>
      <c r="E83" s="218"/>
      <c r="F83" s="219">
        <v>0.03</v>
      </c>
      <c r="G83" s="219">
        <v>0.03</v>
      </c>
      <c r="H83" s="220"/>
      <c r="I83" s="221">
        <v>3</v>
      </c>
      <c r="J83" s="221">
        <v>3</v>
      </c>
      <c r="K83" s="218"/>
      <c r="L83" s="222">
        <v>572.47702000000004</v>
      </c>
      <c r="M83" s="222">
        <v>691.70268999999996</v>
      </c>
      <c r="N83" s="222">
        <v>1264.1797099999999</v>
      </c>
      <c r="O83" s="217">
        <v>442.440553010374</v>
      </c>
      <c r="P83" s="223">
        <v>255.63</v>
      </c>
      <c r="Q83" s="229">
        <v>1.73078493529857</v>
      </c>
      <c r="R83" s="230">
        <v>466.57382889620197</v>
      </c>
      <c r="S83" s="219">
        <v>0.01</v>
      </c>
      <c r="T83" s="219">
        <v>0.01</v>
      </c>
      <c r="U83" s="226">
        <v>0</v>
      </c>
      <c r="V83" s="227">
        <v>0</v>
      </c>
      <c r="W83" s="218"/>
      <c r="X83" s="226">
        <v>604.84105</v>
      </c>
      <c r="Y83" s="217">
        <v>211.683676401811</v>
      </c>
      <c r="Z83" s="228">
        <v>573</v>
      </c>
      <c r="AA83" s="224">
        <v>0.36943049982864101</v>
      </c>
      <c r="AB83" s="225">
        <v>-1183.0092409379799</v>
      </c>
      <c r="AC83" s="219"/>
      <c r="AD83" s="219"/>
      <c r="AE83" s="227">
        <v>1033</v>
      </c>
      <c r="AF83" s="227">
        <v>1360</v>
      </c>
      <c r="AG83" s="218"/>
      <c r="AH83" s="231">
        <v>145.1</v>
      </c>
      <c r="AI83" s="217">
        <v>50.782435229723198</v>
      </c>
      <c r="AJ83" s="232" t="s">
        <v>53</v>
      </c>
      <c r="AK83" s="239">
        <v>0.80607040047179701</v>
      </c>
      <c r="AL83" s="222">
        <v>-51.4699272759038</v>
      </c>
      <c r="AM83" s="219"/>
      <c r="AN83" s="219"/>
      <c r="AO83" s="227">
        <v>35</v>
      </c>
      <c r="AP83" s="227">
        <v>71</v>
      </c>
      <c r="AQ83" s="218"/>
      <c r="AR83" s="231">
        <v>15.6</v>
      </c>
      <c r="AS83" s="217">
        <v>5.4597242562624597</v>
      </c>
      <c r="AT83" s="232" t="s">
        <v>54</v>
      </c>
      <c r="AU83" s="224">
        <v>0.34123276601640401</v>
      </c>
      <c r="AV83" s="225">
        <v>-34.322521212927903</v>
      </c>
      <c r="AW83" s="219"/>
      <c r="AX83" s="219"/>
      <c r="AY83" s="227">
        <v>31</v>
      </c>
      <c r="AZ83" s="227">
        <v>40</v>
      </c>
      <c r="BA83" s="218"/>
      <c r="BB83" s="235">
        <v>118.4</v>
      </c>
      <c r="BC83" s="231">
        <v>41.437907175735603</v>
      </c>
      <c r="BD83" s="232" t="s">
        <v>55</v>
      </c>
      <c r="BE83" s="229">
        <v>1.29493459924174</v>
      </c>
      <c r="BF83" s="230">
        <v>18.554957574144101</v>
      </c>
      <c r="BG83" s="219">
        <v>0.02</v>
      </c>
      <c r="BH83" s="219">
        <v>0.02</v>
      </c>
      <c r="BI83" s="227">
        <v>0</v>
      </c>
      <c r="BJ83" s="227">
        <v>0</v>
      </c>
      <c r="BK83" s="220"/>
      <c r="BL83" s="236">
        <v>0.8</v>
      </c>
      <c r="BM83" s="224">
        <v>0.66</v>
      </c>
      <c r="BN83" s="237"/>
      <c r="BO83" s="238">
        <v>0.95</v>
      </c>
      <c r="BP83" s="229">
        <v>1</v>
      </c>
      <c r="BQ83" s="237">
        <v>2.5000000000000001E-3</v>
      </c>
    </row>
    <row r="84" spans="1:69" s="207" customFormat="1" ht="22.35" customHeight="1" x14ac:dyDescent="0.2">
      <c r="A84" s="216" t="s">
        <v>80</v>
      </c>
      <c r="B84" s="216" t="s">
        <v>118</v>
      </c>
      <c r="C84" s="216" t="s">
        <v>138</v>
      </c>
      <c r="D84" s="217">
        <v>3.2583336913333301</v>
      </c>
      <c r="E84" s="218"/>
      <c r="F84" s="219">
        <v>0.01</v>
      </c>
      <c r="G84" s="219">
        <v>0.01</v>
      </c>
      <c r="H84" s="220"/>
      <c r="I84" s="221">
        <v>1</v>
      </c>
      <c r="J84" s="221">
        <v>1</v>
      </c>
      <c r="K84" s="218"/>
      <c r="L84" s="222">
        <v>3569.1160399999999</v>
      </c>
      <c r="M84" s="222">
        <v>1225.3152399999999</v>
      </c>
      <c r="N84" s="222">
        <v>4794.4312799999998</v>
      </c>
      <c r="O84" s="217">
        <v>1471.4365483045699</v>
      </c>
      <c r="P84" s="223">
        <v>287.5</v>
      </c>
      <c r="Q84" s="229">
        <v>5.1180401680158996</v>
      </c>
      <c r="R84" s="230">
        <v>3771.4774176059</v>
      </c>
      <c r="S84" s="219">
        <v>0.01</v>
      </c>
      <c r="T84" s="219">
        <v>0.01</v>
      </c>
      <c r="U84" s="226">
        <v>0</v>
      </c>
      <c r="V84" s="227">
        <v>0</v>
      </c>
      <c r="W84" s="218"/>
      <c r="X84" s="226">
        <v>1271.31799</v>
      </c>
      <c r="Y84" s="217">
        <v>390.17427631230998</v>
      </c>
      <c r="Z84" s="228">
        <v>573</v>
      </c>
      <c r="AA84" s="224">
        <v>0.68093241939321003</v>
      </c>
      <c r="AB84" s="225">
        <v>-767.47353400632596</v>
      </c>
      <c r="AC84" s="219"/>
      <c r="AD84" s="219"/>
      <c r="AE84" s="227">
        <v>596</v>
      </c>
      <c r="AF84" s="227">
        <v>970</v>
      </c>
      <c r="AG84" s="218"/>
      <c r="AH84" s="231">
        <v>63.05</v>
      </c>
      <c r="AI84" s="217">
        <v>19.350381505646101</v>
      </c>
      <c r="AJ84" s="232" t="s">
        <v>53</v>
      </c>
      <c r="AK84" s="224">
        <v>0.30714891278803302</v>
      </c>
      <c r="AL84" s="225">
        <v>-161.11032462896799</v>
      </c>
      <c r="AM84" s="219"/>
      <c r="AN84" s="219"/>
      <c r="AO84" s="227">
        <v>143</v>
      </c>
      <c r="AP84" s="227">
        <v>184</v>
      </c>
      <c r="AQ84" s="218"/>
      <c r="AR84" s="231">
        <v>14.6</v>
      </c>
      <c r="AS84" s="217">
        <v>4.4808179220052704</v>
      </c>
      <c r="AT84" s="232" t="s">
        <v>54</v>
      </c>
      <c r="AU84" s="224">
        <v>0.28005112012532901</v>
      </c>
      <c r="AV84" s="225">
        <v>-42.3296062549759</v>
      </c>
      <c r="AW84" s="219"/>
      <c r="AX84" s="219"/>
      <c r="AY84" s="227">
        <v>38</v>
      </c>
      <c r="AZ84" s="227">
        <v>48</v>
      </c>
      <c r="BA84" s="218"/>
      <c r="BB84" s="235">
        <v>81.2</v>
      </c>
      <c r="BC84" s="231">
        <v>24.9207133744403</v>
      </c>
      <c r="BD84" s="232" t="s">
        <v>55</v>
      </c>
      <c r="BE84" s="239">
        <v>0.77877229295125905</v>
      </c>
      <c r="BF84" s="222">
        <v>-32.6592125099519</v>
      </c>
      <c r="BG84" s="219"/>
      <c r="BH84" s="219"/>
      <c r="BI84" s="227">
        <v>24</v>
      </c>
      <c r="BJ84" s="227">
        <v>44</v>
      </c>
      <c r="BK84" s="220"/>
      <c r="BL84" s="236">
        <v>0.8</v>
      </c>
      <c r="BM84" s="224">
        <v>0.64</v>
      </c>
      <c r="BN84" s="237"/>
      <c r="BO84" s="238">
        <v>0.95</v>
      </c>
      <c r="BP84" s="224">
        <v>0.8</v>
      </c>
      <c r="BQ84" s="237"/>
    </row>
    <row r="85" spans="1:69" s="207" customFormat="1" ht="22.35" customHeight="1" x14ac:dyDescent="0.2">
      <c r="A85" s="216" t="s">
        <v>139</v>
      </c>
      <c r="B85" s="216" t="s">
        <v>140</v>
      </c>
      <c r="C85" s="216" t="s">
        <v>141</v>
      </c>
      <c r="D85" s="217">
        <v>3.7189131554444401</v>
      </c>
      <c r="E85" s="218"/>
      <c r="F85" s="219">
        <v>2.9000000000000001E-2</v>
      </c>
      <c r="G85" s="219">
        <v>1.6E-2</v>
      </c>
      <c r="H85" s="220"/>
      <c r="I85" s="221">
        <v>4</v>
      </c>
      <c r="J85" s="221">
        <v>3</v>
      </c>
      <c r="K85" s="218"/>
      <c r="L85" s="222">
        <v>10981.78997</v>
      </c>
      <c r="M85" s="222">
        <v>2755.01757</v>
      </c>
      <c r="N85" s="222">
        <v>13736.80754</v>
      </c>
      <c r="O85" s="217">
        <v>3693.7693798763398</v>
      </c>
      <c r="P85" s="223">
        <v>287.5</v>
      </c>
      <c r="Q85" s="229">
        <v>12.847893495222101</v>
      </c>
      <c r="R85" s="230">
        <v>12569.2547548482</v>
      </c>
      <c r="S85" s="219">
        <v>0.01</v>
      </c>
      <c r="T85" s="219">
        <v>0.01</v>
      </c>
      <c r="U85" s="226">
        <v>0</v>
      </c>
      <c r="V85" s="227">
        <v>0</v>
      </c>
      <c r="W85" s="218"/>
      <c r="X85" s="226">
        <v>2262.3280650000002</v>
      </c>
      <c r="Y85" s="217">
        <v>608.33043699554503</v>
      </c>
      <c r="Z85" s="228">
        <v>573</v>
      </c>
      <c r="AA85" s="233">
        <v>1.06165870330811</v>
      </c>
      <c r="AB85" s="234">
        <v>-64.655398972072803</v>
      </c>
      <c r="AC85" s="219">
        <v>1.7000000000000001E-2</v>
      </c>
      <c r="AD85" s="219">
        <v>6.0000000000000001E-3</v>
      </c>
      <c r="AE85" s="227">
        <v>0</v>
      </c>
      <c r="AF85" s="227">
        <v>295</v>
      </c>
      <c r="AG85" s="218"/>
      <c r="AH85" s="231">
        <v>161.4</v>
      </c>
      <c r="AI85" s="217">
        <v>43.399776562061497</v>
      </c>
      <c r="AJ85" s="232" t="s">
        <v>53</v>
      </c>
      <c r="AK85" s="224">
        <v>0.68888534225494402</v>
      </c>
      <c r="AL85" s="225">
        <v>-94.446349441955704</v>
      </c>
      <c r="AM85" s="219"/>
      <c r="AN85" s="219"/>
      <c r="AO85" s="227">
        <v>73</v>
      </c>
      <c r="AP85" s="227">
        <v>120</v>
      </c>
      <c r="AQ85" s="218"/>
      <c r="AR85" s="231">
        <v>20.2</v>
      </c>
      <c r="AS85" s="217">
        <v>5.4316944643967897</v>
      </c>
      <c r="AT85" s="232" t="s">
        <v>54</v>
      </c>
      <c r="AU85" s="224">
        <v>0.33948090402479902</v>
      </c>
      <c r="AV85" s="225">
        <v>-44.776850651925301</v>
      </c>
      <c r="AW85" s="219"/>
      <c r="AX85" s="219"/>
      <c r="AY85" s="227">
        <v>40</v>
      </c>
      <c r="AZ85" s="227">
        <v>52</v>
      </c>
      <c r="BA85" s="218"/>
      <c r="BB85" s="235">
        <v>110.4</v>
      </c>
      <c r="BC85" s="231">
        <v>29.686092518287399</v>
      </c>
      <c r="BD85" s="232" t="s">
        <v>55</v>
      </c>
      <c r="BE85" s="233">
        <v>0.927690391196482</v>
      </c>
      <c r="BF85" s="234">
        <v>-19.553701303850499</v>
      </c>
      <c r="BG85" s="219">
        <v>2E-3</v>
      </c>
      <c r="BH85" s="219"/>
      <c r="BI85" s="227">
        <v>9</v>
      </c>
      <c r="BJ85" s="227">
        <v>33</v>
      </c>
      <c r="BK85" s="220"/>
      <c r="BL85" s="236">
        <v>0.8</v>
      </c>
      <c r="BM85" s="239">
        <v>0.73</v>
      </c>
      <c r="BN85" s="237"/>
      <c r="BO85" s="238">
        <v>0.95</v>
      </c>
      <c r="BP85" s="229">
        <v>1</v>
      </c>
      <c r="BQ85" s="237">
        <v>2.5000000000000001E-3</v>
      </c>
    </row>
    <row r="86" spans="1:69" s="207" customFormat="1" ht="22.35" customHeight="1" x14ac:dyDescent="0.2">
      <c r="A86" s="216" t="s">
        <v>139</v>
      </c>
      <c r="B86" s="216" t="s">
        <v>140</v>
      </c>
      <c r="C86" s="216" t="s">
        <v>142</v>
      </c>
      <c r="D86" s="217">
        <v>8.0608712013333292</v>
      </c>
      <c r="E86" s="218"/>
      <c r="F86" s="219">
        <v>0.03</v>
      </c>
      <c r="G86" s="219">
        <v>2.1999999999999999E-2</v>
      </c>
      <c r="H86" s="220"/>
      <c r="I86" s="221">
        <v>3</v>
      </c>
      <c r="J86" s="221">
        <v>3</v>
      </c>
      <c r="K86" s="218"/>
      <c r="L86" s="222">
        <v>3791.7838099999999</v>
      </c>
      <c r="M86" s="222">
        <v>4343.76602</v>
      </c>
      <c r="N86" s="222">
        <v>8135.5498299999999</v>
      </c>
      <c r="O86" s="217">
        <v>1009.26433716672</v>
      </c>
      <c r="P86" s="223">
        <v>287.5</v>
      </c>
      <c r="Q86" s="229">
        <v>3.5104846510146799</v>
      </c>
      <c r="R86" s="230">
        <v>5604.8393163414003</v>
      </c>
      <c r="S86" s="219">
        <v>0.01</v>
      </c>
      <c r="T86" s="219">
        <v>0.01</v>
      </c>
      <c r="U86" s="226">
        <v>0</v>
      </c>
      <c r="V86" s="227">
        <v>0</v>
      </c>
      <c r="W86" s="218"/>
      <c r="X86" s="226">
        <v>2734.83212</v>
      </c>
      <c r="Y86" s="217">
        <v>339.27252423381202</v>
      </c>
      <c r="Z86" s="228">
        <v>573</v>
      </c>
      <c r="AA86" s="224">
        <v>0.592098646132307</v>
      </c>
      <c r="AB86" s="225">
        <v>-2308.9839646134901</v>
      </c>
      <c r="AC86" s="219"/>
      <c r="AD86" s="219"/>
      <c r="AE86" s="227">
        <v>1885</v>
      </c>
      <c r="AF86" s="227">
        <v>2808</v>
      </c>
      <c r="AG86" s="218"/>
      <c r="AH86" s="231">
        <v>293.39999999999998</v>
      </c>
      <c r="AI86" s="217">
        <v>36.398050864709198</v>
      </c>
      <c r="AJ86" s="232" t="s">
        <v>53</v>
      </c>
      <c r="AK86" s="224">
        <v>0.57774683912236802</v>
      </c>
      <c r="AL86" s="225">
        <v>-261.15569516692801</v>
      </c>
      <c r="AM86" s="219"/>
      <c r="AN86" s="219"/>
      <c r="AO86" s="227">
        <v>215</v>
      </c>
      <c r="AP86" s="227">
        <v>317</v>
      </c>
      <c r="AQ86" s="218"/>
      <c r="AR86" s="231">
        <v>52.6</v>
      </c>
      <c r="AS86" s="217">
        <v>6.5253492688606096</v>
      </c>
      <c r="AT86" s="232" t="s">
        <v>54</v>
      </c>
      <c r="AU86" s="224">
        <v>0.40783432930378799</v>
      </c>
      <c r="AV86" s="225">
        <v>-88.239541629695907</v>
      </c>
      <c r="AW86" s="219"/>
      <c r="AX86" s="219"/>
      <c r="AY86" s="227">
        <v>77</v>
      </c>
      <c r="AZ86" s="227">
        <v>103</v>
      </c>
      <c r="BA86" s="218"/>
      <c r="BB86" s="235">
        <v>288.39999999999998</v>
      </c>
      <c r="BC86" s="231">
        <v>35.777770515958203</v>
      </c>
      <c r="BD86" s="232" t="s">
        <v>55</v>
      </c>
      <c r="BE86" s="229">
        <v>1.1180553286236901</v>
      </c>
      <c r="BF86" s="230">
        <v>6.7209167406081702</v>
      </c>
      <c r="BG86" s="219">
        <v>0.02</v>
      </c>
      <c r="BH86" s="219">
        <v>1.2E-2</v>
      </c>
      <c r="BI86" s="227">
        <v>0</v>
      </c>
      <c r="BJ86" s="227">
        <v>22</v>
      </c>
      <c r="BK86" s="220"/>
      <c r="BL86" s="236">
        <v>0.8</v>
      </c>
      <c r="BM86" s="224">
        <v>0.6</v>
      </c>
      <c r="BN86" s="237"/>
      <c r="BO86" s="238">
        <v>0.95</v>
      </c>
      <c r="BP86" s="229">
        <v>1</v>
      </c>
      <c r="BQ86" s="237">
        <v>2.5000000000000001E-3</v>
      </c>
    </row>
    <row r="87" spans="1:69" s="207" customFormat="1" ht="22.35" customHeight="1" x14ac:dyDescent="0.2">
      <c r="A87" s="216" t="s">
        <v>139</v>
      </c>
      <c r="B87" s="216" t="s">
        <v>140</v>
      </c>
      <c r="C87" s="216" t="s">
        <v>143</v>
      </c>
      <c r="D87" s="217">
        <v>6.5973797197777797</v>
      </c>
      <c r="E87" s="218"/>
      <c r="F87" s="219">
        <v>0.03</v>
      </c>
      <c r="G87" s="219">
        <v>2.9000000000000001E-2</v>
      </c>
      <c r="H87" s="220"/>
      <c r="I87" s="221">
        <v>3</v>
      </c>
      <c r="J87" s="221">
        <v>3</v>
      </c>
      <c r="K87" s="218"/>
      <c r="L87" s="222">
        <v>12123.340889999999</v>
      </c>
      <c r="M87" s="222">
        <v>1955.39708</v>
      </c>
      <c r="N87" s="222">
        <v>14078.73797</v>
      </c>
      <c r="O87" s="217">
        <v>2133.9893363716001</v>
      </c>
      <c r="P87" s="223">
        <v>271.31</v>
      </c>
      <c r="Q87" s="229">
        <v>7.8655019585404098</v>
      </c>
      <c r="R87" s="230">
        <v>12124.128849784</v>
      </c>
      <c r="S87" s="219">
        <v>0.01</v>
      </c>
      <c r="T87" s="219">
        <v>0.01</v>
      </c>
      <c r="U87" s="226">
        <v>0</v>
      </c>
      <c r="V87" s="227">
        <v>0</v>
      </c>
      <c r="W87" s="218"/>
      <c r="X87" s="226">
        <v>3078.0458199999998</v>
      </c>
      <c r="Y87" s="217">
        <v>466.55580711423403</v>
      </c>
      <c r="Z87" s="228">
        <v>573</v>
      </c>
      <c r="AA87" s="239">
        <v>0.81423352026916895</v>
      </c>
      <c r="AB87" s="222">
        <v>-1050.04022874047</v>
      </c>
      <c r="AC87" s="219"/>
      <c r="AD87" s="219"/>
      <c r="AE87" s="227">
        <v>703</v>
      </c>
      <c r="AF87" s="227">
        <v>1459</v>
      </c>
      <c r="AG87" s="218"/>
      <c r="AH87" s="231">
        <v>306.8</v>
      </c>
      <c r="AI87" s="217">
        <v>46.503310864504002</v>
      </c>
      <c r="AJ87" s="232" t="s">
        <v>53</v>
      </c>
      <c r="AK87" s="239">
        <v>0.73814779150006304</v>
      </c>
      <c r="AL87" s="222">
        <v>-147.07333520183201</v>
      </c>
      <c r="AM87" s="219"/>
      <c r="AN87" s="219"/>
      <c r="AO87" s="227">
        <v>109</v>
      </c>
      <c r="AP87" s="227">
        <v>192</v>
      </c>
      <c r="AQ87" s="218"/>
      <c r="AR87" s="231">
        <v>49.4</v>
      </c>
      <c r="AS87" s="217">
        <v>7.4878212408947</v>
      </c>
      <c r="AT87" s="232" t="s">
        <v>54</v>
      </c>
      <c r="AU87" s="224">
        <v>0.46798882755591897</v>
      </c>
      <c r="AV87" s="225">
        <v>-65.869418463957402</v>
      </c>
      <c r="AW87" s="219"/>
      <c r="AX87" s="219"/>
      <c r="AY87" s="227">
        <v>57</v>
      </c>
      <c r="AZ87" s="227">
        <v>78</v>
      </c>
      <c r="BA87" s="218"/>
      <c r="BB87" s="235">
        <v>250.4</v>
      </c>
      <c r="BC87" s="231">
        <v>37.954462322267901</v>
      </c>
      <c r="BD87" s="232" t="s">
        <v>55</v>
      </c>
      <c r="BE87" s="229">
        <v>1.1860769475708699</v>
      </c>
      <c r="BF87" s="230">
        <v>19.861163072085201</v>
      </c>
      <c r="BG87" s="219">
        <v>0.02</v>
      </c>
      <c r="BH87" s="219">
        <v>1.9E-2</v>
      </c>
      <c r="BI87" s="227">
        <v>0</v>
      </c>
      <c r="BJ87" s="227">
        <v>3</v>
      </c>
      <c r="BK87" s="220"/>
      <c r="BL87" s="236">
        <v>0.8</v>
      </c>
      <c r="BM87" s="239">
        <v>0.74</v>
      </c>
      <c r="BN87" s="237"/>
      <c r="BO87" s="238">
        <v>0.95</v>
      </c>
      <c r="BP87" s="229">
        <v>1</v>
      </c>
      <c r="BQ87" s="237">
        <v>2.5000000000000001E-3</v>
      </c>
    </row>
    <row r="88" spans="1:69" s="207" customFormat="1" ht="22.35" customHeight="1" x14ac:dyDescent="0.2">
      <c r="A88" s="216" t="s">
        <v>139</v>
      </c>
      <c r="B88" s="216" t="s">
        <v>140</v>
      </c>
      <c r="C88" s="216" t="s">
        <v>144</v>
      </c>
      <c r="D88" s="217">
        <v>1.00891054722222</v>
      </c>
      <c r="E88" s="218"/>
      <c r="F88" s="219">
        <v>0.02</v>
      </c>
      <c r="G88" s="219">
        <v>0.02</v>
      </c>
      <c r="H88" s="220"/>
      <c r="I88" s="221">
        <v>2</v>
      </c>
      <c r="J88" s="221">
        <v>2</v>
      </c>
      <c r="K88" s="218"/>
      <c r="L88" s="222">
        <v>-8790.1266300000007</v>
      </c>
      <c r="M88" s="222">
        <v>-1747.70876</v>
      </c>
      <c r="N88" s="222">
        <v>-10537.83539</v>
      </c>
      <c r="O88" s="217">
        <v>-10444.766802184</v>
      </c>
      <c r="P88" s="223">
        <v>287.5</v>
      </c>
      <c r="Q88" s="224">
        <v>-36.329623659770597</v>
      </c>
      <c r="R88" s="225">
        <v>-10854.5828563004</v>
      </c>
      <c r="S88" s="219"/>
      <c r="T88" s="219"/>
      <c r="U88" s="226">
        <v>10828</v>
      </c>
      <c r="V88" s="227">
        <v>10886</v>
      </c>
      <c r="W88" s="218"/>
      <c r="X88" s="226">
        <v>354.96262000000002</v>
      </c>
      <c r="Y88" s="217">
        <v>351.82764317143801</v>
      </c>
      <c r="Z88" s="228">
        <v>573</v>
      </c>
      <c r="AA88" s="224">
        <v>0.61400984846673201</v>
      </c>
      <c r="AB88" s="225">
        <v>-276.32885196569902</v>
      </c>
      <c r="AC88" s="219"/>
      <c r="AD88" s="219"/>
      <c r="AE88" s="227">
        <v>224</v>
      </c>
      <c r="AF88" s="227">
        <v>339</v>
      </c>
      <c r="AG88" s="218"/>
      <c r="AH88" s="231">
        <v>23.6</v>
      </c>
      <c r="AI88" s="217">
        <v>23.3915683258308</v>
      </c>
      <c r="AJ88" s="232" t="s">
        <v>53</v>
      </c>
      <c r="AK88" s="224">
        <v>0.371294735330648</v>
      </c>
      <c r="AL88" s="225">
        <v>-45.8090100066998</v>
      </c>
      <c r="AM88" s="219"/>
      <c r="AN88" s="219"/>
      <c r="AO88" s="227">
        <v>40</v>
      </c>
      <c r="AP88" s="227">
        <v>53</v>
      </c>
      <c r="AQ88" s="218"/>
      <c r="AR88" s="231"/>
      <c r="AS88" s="217" t="s">
        <v>145</v>
      </c>
      <c r="AT88" s="232" t="s">
        <v>54</v>
      </c>
      <c r="AU88" s="224"/>
      <c r="AV88" s="225"/>
      <c r="AW88" s="219"/>
      <c r="AX88" s="219"/>
      <c r="AY88" s="227">
        <v>17</v>
      </c>
      <c r="AZ88" s="227">
        <v>20</v>
      </c>
      <c r="BA88" s="218"/>
      <c r="BB88" s="235">
        <v>60.4</v>
      </c>
      <c r="BC88" s="231">
        <v>59.866556223736602</v>
      </c>
      <c r="BD88" s="232" t="s">
        <v>55</v>
      </c>
      <c r="BE88" s="229">
        <v>1.8708298819917699</v>
      </c>
      <c r="BF88" s="230">
        <v>25.144629837866699</v>
      </c>
      <c r="BG88" s="219">
        <v>0.02</v>
      </c>
      <c r="BH88" s="219">
        <v>0.02</v>
      </c>
      <c r="BI88" s="227">
        <v>0</v>
      </c>
      <c r="BJ88" s="227">
        <v>0</v>
      </c>
      <c r="BK88" s="220"/>
      <c r="BL88" s="236">
        <v>0.8</v>
      </c>
      <c r="BM88" s="224"/>
      <c r="BN88" s="237"/>
      <c r="BO88" s="238">
        <v>0.95</v>
      </c>
      <c r="BP88" s="229">
        <v>1</v>
      </c>
      <c r="BQ88" s="237">
        <v>2.5000000000000001E-3</v>
      </c>
    </row>
    <row r="89" spans="1:69" s="207" customFormat="1" ht="22.35" customHeight="1" x14ac:dyDescent="0.2">
      <c r="A89" s="216" t="s">
        <v>139</v>
      </c>
      <c r="B89" s="216" t="s">
        <v>140</v>
      </c>
      <c r="C89" s="216" t="s">
        <v>146</v>
      </c>
      <c r="D89" s="217">
        <v>1.63022700111111</v>
      </c>
      <c r="E89" s="218"/>
      <c r="F89" s="219"/>
      <c r="G89" s="219"/>
      <c r="H89" s="220"/>
      <c r="I89" s="221">
        <v>2</v>
      </c>
      <c r="J89" s="221">
        <v>2</v>
      </c>
      <c r="K89" s="218"/>
      <c r="L89" s="222">
        <v>-7930.2476800000004</v>
      </c>
      <c r="M89" s="222">
        <v>-1204.0251499999999</v>
      </c>
      <c r="N89" s="222">
        <v>-9134.2728299999999</v>
      </c>
      <c r="O89" s="217">
        <v>-5603.0680535743604</v>
      </c>
      <c r="P89" s="223">
        <v>264.70999999999998</v>
      </c>
      <c r="Q89" s="224">
        <v>-21.166816718576399</v>
      </c>
      <c r="R89" s="225">
        <v>-9605.5116592948198</v>
      </c>
      <c r="S89" s="219"/>
      <c r="T89" s="219"/>
      <c r="U89" s="226">
        <v>9566</v>
      </c>
      <c r="V89" s="227">
        <v>9653</v>
      </c>
      <c r="W89" s="218"/>
      <c r="X89" s="226">
        <v>368.50261</v>
      </c>
      <c r="Y89" s="217">
        <v>226.04374099364099</v>
      </c>
      <c r="Z89" s="228">
        <v>573</v>
      </c>
      <c r="AA89" s="224">
        <v>0.39449169457877997</v>
      </c>
      <c r="AB89" s="225">
        <v>-651.55650822723896</v>
      </c>
      <c r="AC89" s="219"/>
      <c r="AD89" s="219"/>
      <c r="AE89" s="227">
        <v>566</v>
      </c>
      <c r="AF89" s="227">
        <v>753</v>
      </c>
      <c r="AG89" s="218"/>
      <c r="AH89" s="231">
        <v>65.2</v>
      </c>
      <c r="AI89" s="217">
        <v>39.994430196262101</v>
      </c>
      <c r="AJ89" s="232" t="s">
        <v>53</v>
      </c>
      <c r="AK89" s="224">
        <v>0.63483222533749295</v>
      </c>
      <c r="AL89" s="225">
        <v>-46.953096768439899</v>
      </c>
      <c r="AM89" s="219"/>
      <c r="AN89" s="219"/>
      <c r="AO89" s="227">
        <v>38</v>
      </c>
      <c r="AP89" s="227">
        <v>59</v>
      </c>
      <c r="AQ89" s="218"/>
      <c r="AR89" s="231">
        <v>1.8</v>
      </c>
      <c r="AS89" s="217">
        <v>1.1041407109397501</v>
      </c>
      <c r="AT89" s="232" t="s">
        <v>54</v>
      </c>
      <c r="AU89" s="224">
        <v>6.9008794433734394E-2</v>
      </c>
      <c r="AV89" s="225">
        <v>-26.683326163413302</v>
      </c>
      <c r="AW89" s="219"/>
      <c r="AX89" s="219"/>
      <c r="AY89" s="227">
        <v>25</v>
      </c>
      <c r="AZ89" s="227">
        <v>30</v>
      </c>
      <c r="BA89" s="218"/>
      <c r="BB89" s="235">
        <v>26</v>
      </c>
      <c r="BC89" s="231">
        <v>15.9486991580186</v>
      </c>
      <c r="BD89" s="232" t="s">
        <v>55</v>
      </c>
      <c r="BE89" s="224">
        <v>0.49839684868808198</v>
      </c>
      <c r="BF89" s="225">
        <v>-30.966652326826601</v>
      </c>
      <c r="BG89" s="219"/>
      <c r="BH89" s="219"/>
      <c r="BI89" s="227">
        <v>27</v>
      </c>
      <c r="BJ89" s="227">
        <v>37</v>
      </c>
      <c r="BK89" s="220"/>
      <c r="BL89" s="236">
        <v>0.8</v>
      </c>
      <c r="BM89" s="229">
        <v>1</v>
      </c>
      <c r="BN89" s="237">
        <v>7.4999999999999997E-3</v>
      </c>
      <c r="BO89" s="238">
        <v>0.95</v>
      </c>
      <c r="BP89" s="229">
        <v>1</v>
      </c>
      <c r="BQ89" s="237">
        <v>2.5000000000000001E-3</v>
      </c>
    </row>
    <row r="90" spans="1:69" s="207" customFormat="1" ht="22.35" customHeight="1" x14ac:dyDescent="0.2">
      <c r="A90" s="216" t="s">
        <v>139</v>
      </c>
      <c r="B90" s="216" t="s">
        <v>140</v>
      </c>
      <c r="C90" s="216" t="s">
        <v>147</v>
      </c>
      <c r="D90" s="217">
        <v>4.5991464215555604</v>
      </c>
      <c r="E90" s="218"/>
      <c r="F90" s="219">
        <v>3.1E-2</v>
      </c>
      <c r="G90" s="219">
        <v>2.4E-2</v>
      </c>
      <c r="H90" s="220"/>
      <c r="I90" s="221">
        <v>4</v>
      </c>
      <c r="J90" s="221">
        <v>3</v>
      </c>
      <c r="K90" s="218"/>
      <c r="L90" s="222">
        <v>1382.64159</v>
      </c>
      <c r="M90" s="222">
        <v>3871.95037</v>
      </c>
      <c r="N90" s="222">
        <v>5254.5919599999997</v>
      </c>
      <c r="O90" s="217">
        <v>1142.5146056173501</v>
      </c>
      <c r="P90" s="223">
        <v>265.83499999999998</v>
      </c>
      <c r="Q90" s="229">
        <v>4.29783363972897</v>
      </c>
      <c r="R90" s="230">
        <v>3919.4973748401499</v>
      </c>
      <c r="S90" s="219">
        <v>0.01</v>
      </c>
      <c r="T90" s="219">
        <v>0.01</v>
      </c>
      <c r="U90" s="226">
        <v>0</v>
      </c>
      <c r="V90" s="227">
        <v>0</v>
      </c>
      <c r="W90" s="218"/>
      <c r="X90" s="226">
        <v>2314.3428950000002</v>
      </c>
      <c r="Y90" s="217">
        <v>503.21139682637602</v>
      </c>
      <c r="Z90" s="228">
        <v>573</v>
      </c>
      <c r="AA90" s="239">
        <v>0.87820488102334404</v>
      </c>
      <c r="AB90" s="222">
        <v>-563.416607310058</v>
      </c>
      <c r="AC90" s="219"/>
      <c r="AD90" s="219"/>
      <c r="AE90" s="227">
        <v>321</v>
      </c>
      <c r="AF90" s="227">
        <v>849</v>
      </c>
      <c r="AG90" s="218"/>
      <c r="AH90" s="231">
        <v>264.39999999999998</v>
      </c>
      <c r="AI90" s="217">
        <v>57.488928545695799</v>
      </c>
      <c r="AJ90" s="232" t="s">
        <v>53</v>
      </c>
      <c r="AK90" s="233">
        <v>0.91252267532850495</v>
      </c>
      <c r="AL90" s="234">
        <v>-52.002877217336298</v>
      </c>
      <c r="AM90" s="219">
        <v>1E-3</v>
      </c>
      <c r="AN90" s="219"/>
      <c r="AO90" s="227">
        <v>26</v>
      </c>
      <c r="AP90" s="227">
        <v>84</v>
      </c>
      <c r="AQ90" s="218"/>
      <c r="AR90" s="231">
        <v>57</v>
      </c>
      <c r="AS90" s="217">
        <v>12.393604111590999</v>
      </c>
      <c r="AT90" s="232" t="s">
        <v>54</v>
      </c>
      <c r="AU90" s="239">
        <v>0.77460025697443702</v>
      </c>
      <c r="AV90" s="222">
        <v>-23.3562862774187</v>
      </c>
      <c r="AW90" s="219"/>
      <c r="AX90" s="219"/>
      <c r="AY90" s="227">
        <v>17</v>
      </c>
      <c r="AZ90" s="227">
        <v>32</v>
      </c>
      <c r="BA90" s="218"/>
      <c r="BB90" s="235">
        <v>168.4</v>
      </c>
      <c r="BC90" s="231">
        <v>36.615490041963596</v>
      </c>
      <c r="BD90" s="232" t="s">
        <v>55</v>
      </c>
      <c r="BE90" s="229">
        <v>1.1442340638113599</v>
      </c>
      <c r="BF90" s="230">
        <v>7.68742744516251</v>
      </c>
      <c r="BG90" s="219">
        <v>0.02</v>
      </c>
      <c r="BH90" s="219">
        <v>1.4E-2</v>
      </c>
      <c r="BI90" s="227">
        <v>0</v>
      </c>
      <c r="BJ90" s="227">
        <v>9</v>
      </c>
      <c r="BK90" s="220"/>
      <c r="BL90" s="236">
        <v>0.8</v>
      </c>
      <c r="BM90" s="239">
        <v>0.74</v>
      </c>
      <c r="BN90" s="237"/>
      <c r="BO90" s="238">
        <v>0.95</v>
      </c>
      <c r="BP90" s="229">
        <v>1</v>
      </c>
      <c r="BQ90" s="237">
        <v>2.5000000000000001E-3</v>
      </c>
    </row>
    <row r="91" spans="1:69" s="207" customFormat="1" ht="22.35" customHeight="1" x14ac:dyDescent="0.2">
      <c r="A91" s="216" t="s">
        <v>139</v>
      </c>
      <c r="B91" s="216" t="s">
        <v>140</v>
      </c>
      <c r="C91" s="216" t="s">
        <v>148</v>
      </c>
      <c r="D91" s="217">
        <v>5.8587699798888897</v>
      </c>
      <c r="E91" s="218"/>
      <c r="F91" s="219">
        <v>0.02</v>
      </c>
      <c r="G91" s="219">
        <v>0.02</v>
      </c>
      <c r="H91" s="220"/>
      <c r="I91" s="221">
        <v>2</v>
      </c>
      <c r="J91" s="221">
        <v>2</v>
      </c>
      <c r="K91" s="218"/>
      <c r="L91" s="222">
        <v>-3443.7293399999999</v>
      </c>
      <c r="M91" s="222">
        <v>3350.1190299999998</v>
      </c>
      <c r="N91" s="222">
        <v>-93.610309999999998</v>
      </c>
      <c r="O91" s="217">
        <v>-15.9778093902528</v>
      </c>
      <c r="P91" s="223">
        <v>266.37799999999999</v>
      </c>
      <c r="Q91" s="224">
        <v>-5.9981715420390602E-2</v>
      </c>
      <c r="R91" s="225">
        <v>-1797.8373032355</v>
      </c>
      <c r="S91" s="219"/>
      <c r="T91" s="219"/>
      <c r="U91" s="226">
        <v>1655</v>
      </c>
      <c r="V91" s="227">
        <v>1967</v>
      </c>
      <c r="W91" s="218"/>
      <c r="X91" s="226">
        <v>2473.6033050000001</v>
      </c>
      <c r="Y91" s="217">
        <v>422.20522626609602</v>
      </c>
      <c r="Z91" s="228">
        <v>573</v>
      </c>
      <c r="AA91" s="239">
        <v>0.73683285561273304</v>
      </c>
      <c r="AB91" s="222">
        <v>-1192.32281173616</v>
      </c>
      <c r="AC91" s="219"/>
      <c r="AD91" s="219"/>
      <c r="AE91" s="227">
        <v>884</v>
      </c>
      <c r="AF91" s="227">
        <v>1555</v>
      </c>
      <c r="AG91" s="218"/>
      <c r="AH91" s="231">
        <v>290.7</v>
      </c>
      <c r="AI91" s="217">
        <v>49.617923386286101</v>
      </c>
      <c r="AJ91" s="232" t="s">
        <v>53</v>
      </c>
      <c r="AK91" s="239">
        <v>0.78758608549660503</v>
      </c>
      <c r="AL91" s="222">
        <v>-112.359939536436</v>
      </c>
      <c r="AM91" s="219"/>
      <c r="AN91" s="219"/>
      <c r="AO91" s="227">
        <v>79</v>
      </c>
      <c r="AP91" s="227">
        <v>153</v>
      </c>
      <c r="AQ91" s="218"/>
      <c r="AR91" s="231">
        <v>22.4</v>
      </c>
      <c r="AS91" s="217">
        <v>3.8233281178287202</v>
      </c>
      <c r="AT91" s="232" t="s">
        <v>54</v>
      </c>
      <c r="AU91" s="224">
        <v>0.23895800736429501</v>
      </c>
      <c r="AV91" s="225">
        <v>-79.964429088618701</v>
      </c>
      <c r="AW91" s="219"/>
      <c r="AX91" s="219"/>
      <c r="AY91" s="227">
        <v>72</v>
      </c>
      <c r="AZ91" s="227">
        <v>91</v>
      </c>
      <c r="BA91" s="218"/>
      <c r="BB91" s="235">
        <v>229</v>
      </c>
      <c r="BC91" s="231">
        <v>39.086702633159703</v>
      </c>
      <c r="BD91" s="232" t="s">
        <v>55</v>
      </c>
      <c r="BE91" s="229">
        <v>1.2214594572862401</v>
      </c>
      <c r="BF91" s="230">
        <v>24.271141822762601</v>
      </c>
      <c r="BG91" s="219">
        <v>0.02</v>
      </c>
      <c r="BH91" s="219">
        <v>0.02</v>
      </c>
      <c r="BI91" s="227">
        <v>0</v>
      </c>
      <c r="BJ91" s="227">
        <v>0</v>
      </c>
      <c r="BK91" s="220"/>
      <c r="BL91" s="236">
        <v>0.8</v>
      </c>
      <c r="BM91" s="239">
        <v>0.72</v>
      </c>
      <c r="BN91" s="237"/>
      <c r="BO91" s="238">
        <v>0.95</v>
      </c>
      <c r="BP91" s="229">
        <v>1</v>
      </c>
      <c r="BQ91" s="237">
        <v>2.5000000000000001E-3</v>
      </c>
    </row>
    <row r="92" spans="1:69" s="207" customFormat="1" ht="22.35" customHeight="1" x14ac:dyDescent="0.2">
      <c r="A92" s="216" t="s">
        <v>139</v>
      </c>
      <c r="B92" s="216" t="s">
        <v>140</v>
      </c>
      <c r="C92" s="216" t="s">
        <v>149</v>
      </c>
      <c r="D92" s="217">
        <v>3.2458373859999998</v>
      </c>
      <c r="E92" s="218"/>
      <c r="F92" s="219">
        <v>0.04</v>
      </c>
      <c r="G92" s="219">
        <v>0.03</v>
      </c>
      <c r="H92" s="220"/>
      <c r="I92" s="221">
        <v>5</v>
      </c>
      <c r="J92" s="221">
        <v>3</v>
      </c>
      <c r="K92" s="218"/>
      <c r="L92" s="222">
        <v>1648.2810899999999</v>
      </c>
      <c r="M92" s="222">
        <v>2332.2622299999998</v>
      </c>
      <c r="N92" s="222">
        <v>3980.5433200000002</v>
      </c>
      <c r="O92" s="217">
        <v>1226.35327856193</v>
      </c>
      <c r="P92" s="223">
        <v>247.02500000000001</v>
      </c>
      <c r="Q92" s="229">
        <v>4.9644905518143103</v>
      </c>
      <c r="R92" s="230">
        <v>3104.9744655379</v>
      </c>
      <c r="S92" s="219">
        <v>0.01</v>
      </c>
      <c r="T92" s="219">
        <v>0.01</v>
      </c>
      <c r="U92" s="226">
        <v>0</v>
      </c>
      <c r="V92" s="227">
        <v>0</v>
      </c>
      <c r="W92" s="218"/>
      <c r="X92" s="226">
        <v>1780.5033900000001</v>
      </c>
      <c r="Y92" s="217">
        <v>548.54978184665003</v>
      </c>
      <c r="Z92" s="228">
        <v>573</v>
      </c>
      <c r="AA92" s="233">
        <v>0.95732946221055804</v>
      </c>
      <c r="AB92" s="234">
        <v>-250.46899581837599</v>
      </c>
      <c r="AC92" s="219">
        <v>5.0000000000000001E-3</v>
      </c>
      <c r="AD92" s="219"/>
      <c r="AE92" s="227">
        <v>80</v>
      </c>
      <c r="AF92" s="227">
        <v>452</v>
      </c>
      <c r="AG92" s="218"/>
      <c r="AH92" s="231">
        <v>195.8</v>
      </c>
      <c r="AI92" s="217">
        <v>60.323416337653804</v>
      </c>
      <c r="AJ92" s="232" t="s">
        <v>53</v>
      </c>
      <c r="AK92" s="233">
        <v>0.95751454504212397</v>
      </c>
      <c r="AL92" s="234">
        <v>-27.500628807256</v>
      </c>
      <c r="AM92" s="219">
        <v>5.0000000000000001E-3</v>
      </c>
      <c r="AN92" s="219"/>
      <c r="AO92" s="227">
        <v>9</v>
      </c>
      <c r="AP92" s="227">
        <v>50</v>
      </c>
      <c r="AQ92" s="218"/>
      <c r="AR92" s="231">
        <v>26.6</v>
      </c>
      <c r="AS92" s="217">
        <v>8.1951117190071106</v>
      </c>
      <c r="AT92" s="232" t="s">
        <v>54</v>
      </c>
      <c r="AU92" s="224">
        <v>0.51219448243794397</v>
      </c>
      <c r="AV92" s="225">
        <v>-30.111270808192</v>
      </c>
      <c r="AW92" s="219"/>
      <c r="AX92" s="219"/>
      <c r="AY92" s="227">
        <v>26</v>
      </c>
      <c r="AZ92" s="227">
        <v>36</v>
      </c>
      <c r="BA92" s="218"/>
      <c r="BB92" s="235">
        <v>142.6</v>
      </c>
      <c r="BC92" s="231">
        <v>43.9331928996396</v>
      </c>
      <c r="BD92" s="232" t="s">
        <v>55</v>
      </c>
      <c r="BE92" s="229">
        <v>1.3729122781137399</v>
      </c>
      <c r="BF92" s="230">
        <v>29.177458383615999</v>
      </c>
      <c r="BG92" s="219">
        <v>0.02</v>
      </c>
      <c r="BH92" s="219">
        <v>0.02</v>
      </c>
      <c r="BI92" s="227">
        <v>0</v>
      </c>
      <c r="BJ92" s="227">
        <v>0</v>
      </c>
      <c r="BK92" s="220"/>
      <c r="BL92" s="236">
        <v>0.8</v>
      </c>
      <c r="BM92" s="239">
        <v>0.72</v>
      </c>
      <c r="BN92" s="237"/>
      <c r="BO92" s="238">
        <v>0.95</v>
      </c>
      <c r="BP92" s="229">
        <v>1</v>
      </c>
      <c r="BQ92" s="237">
        <v>2.5000000000000001E-3</v>
      </c>
    </row>
    <row r="93" spans="1:69" s="207" customFormat="1" ht="22.35" customHeight="1" x14ac:dyDescent="0.2">
      <c r="A93" s="216" t="s">
        <v>139</v>
      </c>
      <c r="B93" s="216" t="s">
        <v>140</v>
      </c>
      <c r="C93" s="216" t="s">
        <v>150</v>
      </c>
      <c r="D93" s="217">
        <v>5.9735728475555598</v>
      </c>
      <c r="E93" s="218"/>
      <c r="F93" s="219">
        <v>0.01</v>
      </c>
      <c r="G93" s="219">
        <v>0.01</v>
      </c>
      <c r="H93" s="220"/>
      <c r="I93" s="221">
        <v>2</v>
      </c>
      <c r="J93" s="221">
        <v>2</v>
      </c>
      <c r="K93" s="218"/>
      <c r="L93" s="222">
        <v>3828.3200099999999</v>
      </c>
      <c r="M93" s="222">
        <v>3035.2281499999999</v>
      </c>
      <c r="N93" s="222">
        <v>6863.5481600000003</v>
      </c>
      <c r="O93" s="217">
        <v>1148.9854288474301</v>
      </c>
      <c r="P93" s="223">
        <v>287.5</v>
      </c>
      <c r="Q93" s="229">
        <v>3.9964710568606301</v>
      </c>
      <c r="R93" s="230">
        <v>4988.1449645099301</v>
      </c>
      <c r="S93" s="219">
        <v>0.01</v>
      </c>
      <c r="T93" s="219">
        <v>0.01</v>
      </c>
      <c r="U93" s="226">
        <v>0</v>
      </c>
      <c r="V93" s="227">
        <v>0</v>
      </c>
      <c r="W93" s="218"/>
      <c r="X93" s="226">
        <v>2211.465655</v>
      </c>
      <c r="Y93" s="217">
        <v>370.20820059220603</v>
      </c>
      <c r="Z93" s="228">
        <v>573</v>
      </c>
      <c r="AA93" s="224">
        <v>0.64608761010856097</v>
      </c>
      <c r="AB93" s="225">
        <v>-1526.2944528810699</v>
      </c>
      <c r="AC93" s="219"/>
      <c r="AD93" s="219"/>
      <c r="AE93" s="227">
        <v>1212</v>
      </c>
      <c r="AF93" s="227">
        <v>1896</v>
      </c>
      <c r="AG93" s="218"/>
      <c r="AH93" s="231">
        <v>320.60000000000002</v>
      </c>
      <c r="AI93" s="217">
        <v>53.669722991859501</v>
      </c>
      <c r="AJ93" s="232" t="s">
        <v>53</v>
      </c>
      <c r="AK93" s="239">
        <v>0.85190036495014998</v>
      </c>
      <c r="AL93" s="222">
        <v>-90.357917620432303</v>
      </c>
      <c r="AM93" s="219"/>
      <c r="AN93" s="219"/>
      <c r="AO93" s="227">
        <v>56</v>
      </c>
      <c r="AP93" s="227">
        <v>132</v>
      </c>
      <c r="AQ93" s="218"/>
      <c r="AR93" s="231">
        <v>32.4</v>
      </c>
      <c r="AS93" s="217">
        <v>5.4238896598136197</v>
      </c>
      <c r="AT93" s="232" t="s">
        <v>54</v>
      </c>
      <c r="AU93" s="224">
        <v>0.33899310373835101</v>
      </c>
      <c r="AV93" s="225">
        <v>-71.970264792490795</v>
      </c>
      <c r="AW93" s="219"/>
      <c r="AX93" s="219"/>
      <c r="AY93" s="227">
        <v>64</v>
      </c>
      <c r="AZ93" s="227">
        <v>83</v>
      </c>
      <c r="BA93" s="218"/>
      <c r="BB93" s="235">
        <v>143.19999999999999</v>
      </c>
      <c r="BC93" s="231">
        <v>23.9722530643614</v>
      </c>
      <c r="BD93" s="232" t="s">
        <v>55</v>
      </c>
      <c r="BE93" s="239">
        <v>0.74913290826129497</v>
      </c>
      <c r="BF93" s="222">
        <v>-65.540529584981499</v>
      </c>
      <c r="BG93" s="219"/>
      <c r="BH93" s="219"/>
      <c r="BI93" s="227">
        <v>48</v>
      </c>
      <c r="BJ93" s="227">
        <v>87</v>
      </c>
      <c r="BK93" s="220"/>
      <c r="BL93" s="236">
        <v>0.8</v>
      </c>
      <c r="BM93" s="239">
        <v>0.76</v>
      </c>
      <c r="BN93" s="237"/>
      <c r="BO93" s="238">
        <v>0.95</v>
      </c>
      <c r="BP93" s="229">
        <v>1</v>
      </c>
      <c r="BQ93" s="237">
        <v>2.5000000000000001E-3</v>
      </c>
    </row>
    <row r="94" spans="1:69" s="207" customFormat="1" ht="22.35" customHeight="1" x14ac:dyDescent="0.2">
      <c r="A94" s="216" t="s">
        <v>139</v>
      </c>
      <c r="B94" s="216" t="s">
        <v>140</v>
      </c>
      <c r="C94" s="216" t="s">
        <v>151</v>
      </c>
      <c r="D94" s="217">
        <v>5.3472902687777797</v>
      </c>
      <c r="E94" s="218"/>
      <c r="F94" s="219">
        <v>0.01</v>
      </c>
      <c r="G94" s="219">
        <v>6.0000000000000001E-3</v>
      </c>
      <c r="H94" s="220"/>
      <c r="I94" s="221">
        <v>2</v>
      </c>
      <c r="J94" s="221">
        <v>2</v>
      </c>
      <c r="K94" s="218"/>
      <c r="L94" s="222">
        <v>2720.60277</v>
      </c>
      <c r="M94" s="222">
        <v>-1001.14422</v>
      </c>
      <c r="N94" s="222">
        <v>1719.4585500000001</v>
      </c>
      <c r="O94" s="217">
        <v>321.55698747826</v>
      </c>
      <c r="P94" s="223">
        <v>287.5</v>
      </c>
      <c r="Q94" s="229">
        <v>1.1184590868809099</v>
      </c>
      <c r="R94" s="230">
        <v>40.676770117216201</v>
      </c>
      <c r="S94" s="219">
        <v>0.01</v>
      </c>
      <c r="T94" s="219">
        <v>6.0000000000000001E-3</v>
      </c>
      <c r="U94" s="226">
        <v>0</v>
      </c>
      <c r="V94" s="227">
        <v>126</v>
      </c>
      <c r="W94" s="218"/>
      <c r="X94" s="226">
        <v>2406.7459749999998</v>
      </c>
      <c r="Y94" s="217">
        <v>450.08702614344998</v>
      </c>
      <c r="Z94" s="228">
        <v>573</v>
      </c>
      <c r="AA94" s="239">
        <v>0.78549219222242594</v>
      </c>
      <c r="AB94" s="222">
        <v>-939.13910281855703</v>
      </c>
      <c r="AC94" s="219"/>
      <c r="AD94" s="219"/>
      <c r="AE94" s="227">
        <v>658</v>
      </c>
      <c r="AF94" s="227">
        <v>1271</v>
      </c>
      <c r="AG94" s="218"/>
      <c r="AH94" s="231">
        <v>302.45</v>
      </c>
      <c r="AI94" s="217">
        <v>56.561358145446398</v>
      </c>
      <c r="AJ94" s="232" t="s">
        <v>53</v>
      </c>
      <c r="AK94" s="239">
        <v>0.89779933564200598</v>
      </c>
      <c r="AL94" s="222">
        <v>-65.422181330836196</v>
      </c>
      <c r="AM94" s="219"/>
      <c r="AN94" s="219"/>
      <c r="AO94" s="227">
        <v>35</v>
      </c>
      <c r="AP94" s="227">
        <v>102</v>
      </c>
      <c r="AQ94" s="218"/>
      <c r="AR94" s="231">
        <v>18.100000000000001</v>
      </c>
      <c r="AS94" s="217">
        <v>3.38489199018872</v>
      </c>
      <c r="AT94" s="232" t="s">
        <v>54</v>
      </c>
      <c r="AU94" s="224">
        <v>0.211555749386795</v>
      </c>
      <c r="AV94" s="225">
        <v>-75.327855576085398</v>
      </c>
      <c r="AW94" s="219"/>
      <c r="AX94" s="219"/>
      <c r="AY94" s="227">
        <v>68</v>
      </c>
      <c r="AZ94" s="227">
        <v>85</v>
      </c>
      <c r="BA94" s="218"/>
      <c r="BB94" s="235">
        <v>142</v>
      </c>
      <c r="BC94" s="231">
        <v>26.555506221370099</v>
      </c>
      <c r="BD94" s="232" t="s">
        <v>55</v>
      </c>
      <c r="BE94" s="239">
        <v>0.82985956941781502</v>
      </c>
      <c r="BF94" s="222">
        <v>-44.855711152170798</v>
      </c>
      <c r="BG94" s="219"/>
      <c r="BH94" s="219"/>
      <c r="BI94" s="227">
        <v>30</v>
      </c>
      <c r="BJ94" s="227">
        <v>64</v>
      </c>
      <c r="BK94" s="220"/>
      <c r="BL94" s="236">
        <v>0.8</v>
      </c>
      <c r="BM94" s="239">
        <v>0.7</v>
      </c>
      <c r="BN94" s="237"/>
      <c r="BO94" s="238">
        <v>0.95</v>
      </c>
      <c r="BP94" s="229">
        <v>1</v>
      </c>
      <c r="BQ94" s="237">
        <v>2.5000000000000001E-3</v>
      </c>
    </row>
    <row r="95" spans="1:69" s="207" customFormat="1" ht="22.35" customHeight="1" x14ac:dyDescent="0.2">
      <c r="A95" s="216" t="s">
        <v>139</v>
      </c>
      <c r="B95" s="216" t="s">
        <v>140</v>
      </c>
      <c r="C95" s="216" t="s">
        <v>152</v>
      </c>
      <c r="D95" s="217">
        <v>1.85767322355556</v>
      </c>
      <c r="E95" s="218"/>
      <c r="F95" s="219">
        <v>4.1000000000000002E-2</v>
      </c>
      <c r="G95" s="219">
        <v>3.1E-2</v>
      </c>
      <c r="H95" s="220"/>
      <c r="I95" s="221">
        <v>4</v>
      </c>
      <c r="J95" s="221">
        <v>4</v>
      </c>
      <c r="K95" s="218"/>
      <c r="L95" s="222">
        <v>1523.68885</v>
      </c>
      <c r="M95" s="222">
        <v>740.89972</v>
      </c>
      <c r="N95" s="222">
        <v>2264.5885699999999</v>
      </c>
      <c r="O95" s="217">
        <v>1219.0457079774301</v>
      </c>
      <c r="P95" s="223">
        <v>247.02500000000001</v>
      </c>
      <c r="Q95" s="229">
        <v>4.9349082399653099</v>
      </c>
      <c r="R95" s="230">
        <v>1763.4788029706999</v>
      </c>
      <c r="S95" s="219">
        <v>0.01</v>
      </c>
      <c r="T95" s="219">
        <v>0.01</v>
      </c>
      <c r="U95" s="226">
        <v>0</v>
      </c>
      <c r="V95" s="227">
        <v>0</v>
      </c>
      <c r="W95" s="218"/>
      <c r="X95" s="226">
        <v>1074.056</v>
      </c>
      <c r="Y95" s="217">
        <v>578.17273047854701</v>
      </c>
      <c r="Z95" s="228">
        <v>573</v>
      </c>
      <c r="AA95" s="233">
        <v>1.0090274528421399</v>
      </c>
      <c r="AB95" s="234">
        <v>-88.319858750290706</v>
      </c>
      <c r="AC95" s="219">
        <v>1.0999999999999999E-2</v>
      </c>
      <c r="AD95" s="219">
        <v>1E-3</v>
      </c>
      <c r="AE95" s="227">
        <v>0</v>
      </c>
      <c r="AF95" s="227">
        <v>204</v>
      </c>
      <c r="AG95" s="218"/>
      <c r="AH95" s="231">
        <v>100.7</v>
      </c>
      <c r="AI95" s="217">
        <v>54.207596213968102</v>
      </c>
      <c r="AJ95" s="232" t="s">
        <v>53</v>
      </c>
      <c r="AK95" s="239">
        <v>0.86043803514234996</v>
      </c>
      <c r="AL95" s="222">
        <v>-27.1004870877283</v>
      </c>
      <c r="AM95" s="219"/>
      <c r="AN95" s="219"/>
      <c r="AO95" s="227">
        <v>17</v>
      </c>
      <c r="AP95" s="227">
        <v>40</v>
      </c>
      <c r="AQ95" s="218"/>
      <c r="AR95" s="231">
        <v>25.9</v>
      </c>
      <c r="AS95" s="217">
        <v>13.942172213920299</v>
      </c>
      <c r="AT95" s="232" t="s">
        <v>54</v>
      </c>
      <c r="AU95" s="239">
        <v>0.87138576337001705</v>
      </c>
      <c r="AV95" s="222">
        <v>-6.5572665619627504</v>
      </c>
      <c r="AW95" s="219"/>
      <c r="AX95" s="219"/>
      <c r="AY95" s="227">
        <v>4</v>
      </c>
      <c r="AZ95" s="227">
        <v>10</v>
      </c>
      <c r="BA95" s="218"/>
      <c r="BB95" s="235">
        <v>93</v>
      </c>
      <c r="BC95" s="231">
        <v>50.062626096316102</v>
      </c>
      <c r="BD95" s="232" t="s">
        <v>55</v>
      </c>
      <c r="BE95" s="229">
        <v>1.56445706550988</v>
      </c>
      <c r="BF95" s="230">
        <v>28.085466876074499</v>
      </c>
      <c r="BG95" s="219">
        <v>0.02</v>
      </c>
      <c r="BH95" s="219">
        <v>0.02</v>
      </c>
      <c r="BI95" s="227">
        <v>0</v>
      </c>
      <c r="BJ95" s="227">
        <v>0</v>
      </c>
      <c r="BK95" s="220"/>
      <c r="BL95" s="236">
        <v>0.8</v>
      </c>
      <c r="BM95" s="239">
        <v>0.77</v>
      </c>
      <c r="BN95" s="237"/>
      <c r="BO95" s="238">
        <v>0.95</v>
      </c>
      <c r="BP95" s="229">
        <v>1</v>
      </c>
      <c r="BQ95" s="237">
        <v>2.5000000000000001E-3</v>
      </c>
    </row>
    <row r="96" spans="1:69" s="207" customFormat="1" ht="22.35" customHeight="1" x14ac:dyDescent="0.2">
      <c r="A96" s="216" t="s">
        <v>139</v>
      </c>
      <c r="B96" s="216" t="s">
        <v>140</v>
      </c>
      <c r="C96" s="216" t="s">
        <v>153</v>
      </c>
      <c r="D96" s="217">
        <v>3.3075077187777802</v>
      </c>
      <c r="E96" s="218"/>
      <c r="F96" s="219">
        <v>5.8999999999999997E-2</v>
      </c>
      <c r="G96" s="219">
        <v>3.9E-2</v>
      </c>
      <c r="H96" s="220"/>
      <c r="I96" s="221">
        <v>5</v>
      </c>
      <c r="J96" s="221">
        <v>5</v>
      </c>
      <c r="K96" s="218"/>
      <c r="L96" s="222">
        <v>1446.9458999999999</v>
      </c>
      <c r="M96" s="222">
        <v>1103.84086</v>
      </c>
      <c r="N96" s="222">
        <v>2550.78676</v>
      </c>
      <c r="O96" s="217">
        <v>771.21112840292699</v>
      </c>
      <c r="P96" s="223">
        <v>248.167</v>
      </c>
      <c r="Q96" s="229">
        <v>3.10762965423657</v>
      </c>
      <c r="R96" s="230">
        <v>1654.4575792938499</v>
      </c>
      <c r="S96" s="219">
        <v>0.01</v>
      </c>
      <c r="T96" s="219">
        <v>0.01</v>
      </c>
      <c r="U96" s="226">
        <v>0</v>
      </c>
      <c r="V96" s="227">
        <v>0</v>
      </c>
      <c r="W96" s="218"/>
      <c r="X96" s="226">
        <v>2022.3403000000001</v>
      </c>
      <c r="Y96" s="217">
        <v>611.43932892991495</v>
      </c>
      <c r="Z96" s="228">
        <v>573</v>
      </c>
      <c r="AA96" s="233">
        <v>1.0670843436822299</v>
      </c>
      <c r="AB96" s="234">
        <v>-47.220199762757403</v>
      </c>
      <c r="AC96" s="219">
        <v>1.7000000000000001E-2</v>
      </c>
      <c r="AD96" s="219">
        <v>7.0000000000000001E-3</v>
      </c>
      <c r="AE96" s="227">
        <v>0</v>
      </c>
      <c r="AF96" s="227">
        <v>252</v>
      </c>
      <c r="AG96" s="218"/>
      <c r="AH96" s="231">
        <v>212.75</v>
      </c>
      <c r="AI96" s="217">
        <v>64.323357067966995</v>
      </c>
      <c r="AJ96" s="232" t="s">
        <v>53</v>
      </c>
      <c r="AK96" s="233">
        <v>1.0210056677455099</v>
      </c>
      <c r="AL96" s="234">
        <v>-14.7933010210362</v>
      </c>
      <c r="AM96" s="219">
        <v>1.2E-2</v>
      </c>
      <c r="AN96" s="219">
        <v>2E-3</v>
      </c>
      <c r="AO96" s="227">
        <v>0</v>
      </c>
      <c r="AP96" s="227">
        <v>38</v>
      </c>
      <c r="AQ96" s="218"/>
      <c r="AR96" s="231">
        <v>14.6</v>
      </c>
      <c r="AS96" s="217">
        <v>4.4141998269909202</v>
      </c>
      <c r="AT96" s="232" t="s">
        <v>54</v>
      </c>
      <c r="AU96" s="224">
        <v>0.27588748918693301</v>
      </c>
      <c r="AV96" s="225">
        <v>-43.188774862485403</v>
      </c>
      <c r="AW96" s="219"/>
      <c r="AX96" s="219"/>
      <c r="AY96" s="227">
        <v>39</v>
      </c>
      <c r="AZ96" s="227">
        <v>49</v>
      </c>
      <c r="BA96" s="218"/>
      <c r="BB96" s="235">
        <v>129.6</v>
      </c>
      <c r="BC96" s="231">
        <v>39.183582025892001</v>
      </c>
      <c r="BD96" s="232" t="s">
        <v>55</v>
      </c>
      <c r="BE96" s="229">
        <v>1.2244869383091299</v>
      </c>
      <c r="BF96" s="230">
        <v>14.0224502750292</v>
      </c>
      <c r="BG96" s="219">
        <v>0.02</v>
      </c>
      <c r="BH96" s="219">
        <v>0.02</v>
      </c>
      <c r="BI96" s="227">
        <v>0</v>
      </c>
      <c r="BJ96" s="227">
        <v>0</v>
      </c>
      <c r="BK96" s="220"/>
      <c r="BL96" s="236">
        <v>0.8</v>
      </c>
      <c r="BM96" s="239">
        <v>0.71</v>
      </c>
      <c r="BN96" s="237"/>
      <c r="BO96" s="238">
        <v>0.95</v>
      </c>
      <c r="BP96" s="229">
        <v>1</v>
      </c>
      <c r="BQ96" s="237">
        <v>2.5000000000000001E-3</v>
      </c>
    </row>
    <row r="97" spans="1:69" s="207" customFormat="1" ht="22.35" customHeight="1" x14ac:dyDescent="0.2">
      <c r="A97" s="216" t="s">
        <v>139</v>
      </c>
      <c r="B97" s="216" t="s">
        <v>140</v>
      </c>
      <c r="C97" s="216" t="s">
        <v>154</v>
      </c>
      <c r="D97" s="217">
        <v>3.0547893162222199</v>
      </c>
      <c r="E97" s="218"/>
      <c r="F97" s="219">
        <v>1.2999999999999999E-2</v>
      </c>
      <c r="G97" s="219">
        <v>0.01</v>
      </c>
      <c r="H97" s="220"/>
      <c r="I97" s="221">
        <v>3</v>
      </c>
      <c r="J97" s="221">
        <v>2</v>
      </c>
      <c r="K97" s="218"/>
      <c r="L97" s="222">
        <v>1886.5208700000001</v>
      </c>
      <c r="M97" s="222">
        <v>1447.41742</v>
      </c>
      <c r="N97" s="222">
        <v>3333.9382900000001</v>
      </c>
      <c r="O97" s="217">
        <v>1091.3807614473999</v>
      </c>
      <c r="P97" s="223">
        <v>285.53899999999999</v>
      </c>
      <c r="Q97" s="229">
        <v>3.8221775710057102</v>
      </c>
      <c r="R97" s="230">
        <v>2381.4287466712599</v>
      </c>
      <c r="S97" s="219">
        <v>0.01</v>
      </c>
      <c r="T97" s="219">
        <v>0.01</v>
      </c>
      <c r="U97" s="226">
        <v>0</v>
      </c>
      <c r="V97" s="227">
        <v>0</v>
      </c>
      <c r="W97" s="218"/>
      <c r="X97" s="226">
        <v>1066.3833299999999</v>
      </c>
      <c r="Y97" s="217">
        <v>349.08572068687499</v>
      </c>
      <c r="Z97" s="228">
        <v>573</v>
      </c>
      <c r="AA97" s="224">
        <v>0.60922464343259097</v>
      </c>
      <c r="AB97" s="225">
        <v>-845.04722178930194</v>
      </c>
      <c r="AC97" s="219"/>
      <c r="AD97" s="219"/>
      <c r="AE97" s="227">
        <v>685</v>
      </c>
      <c r="AF97" s="227">
        <v>1035</v>
      </c>
      <c r="AG97" s="218"/>
      <c r="AH97" s="231">
        <v>141.5</v>
      </c>
      <c r="AI97" s="217">
        <v>46.320706717342198</v>
      </c>
      <c r="AJ97" s="232" t="s">
        <v>53</v>
      </c>
      <c r="AK97" s="239">
        <v>0.73524931297368601</v>
      </c>
      <c r="AL97" s="222">
        <v>-68.657285798823906</v>
      </c>
      <c r="AM97" s="219"/>
      <c r="AN97" s="219"/>
      <c r="AO97" s="227">
        <v>51</v>
      </c>
      <c r="AP97" s="227">
        <v>90</v>
      </c>
      <c r="AQ97" s="218"/>
      <c r="AR97" s="231">
        <v>17.399999999999999</v>
      </c>
      <c r="AS97" s="217">
        <v>5.69597382955304</v>
      </c>
      <c r="AT97" s="232" t="s">
        <v>54</v>
      </c>
      <c r="AU97" s="224">
        <v>0.355998364347065</v>
      </c>
      <c r="AV97" s="225">
        <v>-35.973278933034599</v>
      </c>
      <c r="AW97" s="219"/>
      <c r="AX97" s="219"/>
      <c r="AY97" s="227">
        <v>32</v>
      </c>
      <c r="AZ97" s="227">
        <v>42</v>
      </c>
      <c r="BA97" s="218"/>
      <c r="BB97" s="235">
        <v>91.6</v>
      </c>
      <c r="BC97" s="231">
        <v>29.985701309601001</v>
      </c>
      <c r="BD97" s="232" t="s">
        <v>55</v>
      </c>
      <c r="BE97" s="233">
        <v>0.93705316592503296</v>
      </c>
      <c r="BF97" s="234">
        <v>-15.146557866069299</v>
      </c>
      <c r="BG97" s="219">
        <v>3.0000000000000001E-3</v>
      </c>
      <c r="BH97" s="219"/>
      <c r="BI97" s="227">
        <v>7</v>
      </c>
      <c r="BJ97" s="227">
        <v>26</v>
      </c>
      <c r="BK97" s="220"/>
      <c r="BL97" s="236">
        <v>0.8</v>
      </c>
      <c r="BM97" s="239">
        <v>0.78</v>
      </c>
      <c r="BN97" s="237"/>
      <c r="BO97" s="238">
        <v>0.95</v>
      </c>
      <c r="BP97" s="229">
        <v>1</v>
      </c>
      <c r="BQ97" s="237">
        <v>2.5000000000000001E-3</v>
      </c>
    </row>
    <row r="98" spans="1:69" s="207" customFormat="1" ht="22.35" customHeight="1" x14ac:dyDescent="0.2">
      <c r="A98" s="216" t="s">
        <v>139</v>
      </c>
      <c r="B98" s="216" t="s">
        <v>140</v>
      </c>
      <c r="C98" s="216" t="s">
        <v>155</v>
      </c>
      <c r="D98" s="217">
        <v>2.7451908808888899</v>
      </c>
      <c r="E98" s="218"/>
      <c r="F98" s="219">
        <v>3.7999999999999999E-2</v>
      </c>
      <c r="G98" s="219">
        <v>2.9000000000000001E-2</v>
      </c>
      <c r="H98" s="220"/>
      <c r="I98" s="221">
        <v>4</v>
      </c>
      <c r="J98" s="221">
        <v>3</v>
      </c>
      <c r="K98" s="218"/>
      <c r="L98" s="222">
        <v>413.00596999999999</v>
      </c>
      <c r="M98" s="222">
        <v>619.86054000000001</v>
      </c>
      <c r="N98" s="222">
        <v>1032.8665100000001</v>
      </c>
      <c r="O98" s="217">
        <v>376.245789387716</v>
      </c>
      <c r="P98" s="223">
        <v>287.5</v>
      </c>
      <c r="Q98" s="229">
        <v>1.30868100656597</v>
      </c>
      <c r="R98" s="230">
        <v>171.013832944933</v>
      </c>
      <c r="S98" s="219">
        <v>0.01</v>
      </c>
      <c r="T98" s="219">
        <v>0.01</v>
      </c>
      <c r="U98" s="226">
        <v>0</v>
      </c>
      <c r="V98" s="227">
        <v>0</v>
      </c>
      <c r="W98" s="218"/>
      <c r="X98" s="226">
        <v>699.65944000000002</v>
      </c>
      <c r="Y98" s="217">
        <v>254.867319016247</v>
      </c>
      <c r="Z98" s="228">
        <v>573</v>
      </c>
      <c r="AA98" s="224">
        <v>0.444794623065003</v>
      </c>
      <c r="AB98" s="225">
        <v>-1018.05041722627</v>
      </c>
      <c r="AC98" s="219"/>
      <c r="AD98" s="219"/>
      <c r="AE98" s="227">
        <v>874</v>
      </c>
      <c r="AF98" s="227">
        <v>1188</v>
      </c>
      <c r="AG98" s="218"/>
      <c r="AH98" s="231">
        <v>169.4</v>
      </c>
      <c r="AI98" s="217">
        <v>61.7079129831396</v>
      </c>
      <c r="AJ98" s="232" t="s">
        <v>53</v>
      </c>
      <c r="AK98" s="233">
        <v>0.97949068227205804</v>
      </c>
      <c r="AL98" s="234">
        <v>-19.458151841632102</v>
      </c>
      <c r="AM98" s="219">
        <v>8.0000000000000002E-3</v>
      </c>
      <c r="AN98" s="219"/>
      <c r="AO98" s="227">
        <v>4</v>
      </c>
      <c r="AP98" s="227">
        <v>39</v>
      </c>
      <c r="AQ98" s="218"/>
      <c r="AR98" s="231">
        <v>23.6</v>
      </c>
      <c r="AS98" s="217">
        <v>8.5968521039084695</v>
      </c>
      <c r="AT98" s="232" t="s">
        <v>54</v>
      </c>
      <c r="AU98" s="224">
        <v>0.53730325649427901</v>
      </c>
      <c r="AV98" s="225">
        <v>-24.363975070890699</v>
      </c>
      <c r="AW98" s="219"/>
      <c r="AX98" s="219"/>
      <c r="AY98" s="227">
        <v>21</v>
      </c>
      <c r="AZ98" s="227">
        <v>30</v>
      </c>
      <c r="BA98" s="218"/>
      <c r="BB98" s="235">
        <v>104.4</v>
      </c>
      <c r="BC98" s="231">
        <v>38.030142357968003</v>
      </c>
      <c r="BD98" s="232" t="s">
        <v>55</v>
      </c>
      <c r="BE98" s="229">
        <v>1.1884419486865001</v>
      </c>
      <c r="BF98" s="230">
        <v>8.4720498582186092</v>
      </c>
      <c r="BG98" s="219">
        <v>0.02</v>
      </c>
      <c r="BH98" s="219">
        <v>1.9E-2</v>
      </c>
      <c r="BI98" s="227">
        <v>0</v>
      </c>
      <c r="BJ98" s="227">
        <v>2</v>
      </c>
      <c r="BK98" s="220"/>
      <c r="BL98" s="236">
        <v>0.8</v>
      </c>
      <c r="BM98" s="239">
        <v>0.7</v>
      </c>
      <c r="BN98" s="237"/>
      <c r="BO98" s="238">
        <v>0.95</v>
      </c>
      <c r="BP98" s="229">
        <v>1</v>
      </c>
      <c r="BQ98" s="237">
        <v>2.5000000000000001E-3</v>
      </c>
    </row>
    <row r="99" spans="1:69" s="207" customFormat="1" ht="22.35" customHeight="1" x14ac:dyDescent="0.2">
      <c r="A99" s="216" t="s">
        <v>139</v>
      </c>
      <c r="B99" s="216" t="s">
        <v>140</v>
      </c>
      <c r="C99" s="216" t="s">
        <v>156</v>
      </c>
      <c r="D99" s="217">
        <v>3.756503602</v>
      </c>
      <c r="E99" s="218"/>
      <c r="F99" s="219">
        <v>4.2999999999999997E-2</v>
      </c>
      <c r="G99" s="219">
        <v>3.2000000000000001E-2</v>
      </c>
      <c r="H99" s="220"/>
      <c r="I99" s="221">
        <v>5</v>
      </c>
      <c r="J99" s="221">
        <v>4</v>
      </c>
      <c r="K99" s="218"/>
      <c r="L99" s="222">
        <v>1727.7213099999999</v>
      </c>
      <c r="M99" s="222">
        <v>29.659949999999998</v>
      </c>
      <c r="N99" s="222">
        <v>1757.3812600000001</v>
      </c>
      <c r="O99" s="217">
        <v>467.82365896424301</v>
      </c>
      <c r="P99" s="223">
        <v>261.89100000000002</v>
      </c>
      <c r="Q99" s="229">
        <v>1.7863296522761101</v>
      </c>
      <c r="R99" s="230">
        <v>683.07768256413101</v>
      </c>
      <c r="S99" s="219">
        <v>0.01</v>
      </c>
      <c r="T99" s="219">
        <v>0.01</v>
      </c>
      <c r="U99" s="226">
        <v>0</v>
      </c>
      <c r="V99" s="227">
        <v>0</v>
      </c>
      <c r="W99" s="218"/>
      <c r="X99" s="226">
        <v>2194.4523450000002</v>
      </c>
      <c r="Y99" s="217">
        <v>584.1741623332</v>
      </c>
      <c r="Z99" s="228">
        <v>573</v>
      </c>
      <c r="AA99" s="233">
        <v>1.0195011559043601</v>
      </c>
      <c r="AB99" s="234">
        <v>-156.052062829032</v>
      </c>
      <c r="AC99" s="219">
        <v>1.2E-2</v>
      </c>
      <c r="AD99" s="219">
        <v>2E-3</v>
      </c>
      <c r="AE99" s="227">
        <v>0</v>
      </c>
      <c r="AF99" s="227">
        <v>389</v>
      </c>
      <c r="AG99" s="218"/>
      <c r="AH99" s="231">
        <v>217.85</v>
      </c>
      <c r="AI99" s="217">
        <v>57.992756850815901</v>
      </c>
      <c r="AJ99" s="232" t="s">
        <v>53</v>
      </c>
      <c r="AK99" s="233">
        <v>0.92051995001294995</v>
      </c>
      <c r="AL99" s="234">
        <v>-40.582421803191998</v>
      </c>
      <c r="AM99" s="219">
        <v>1E-3</v>
      </c>
      <c r="AN99" s="219"/>
      <c r="AO99" s="227">
        <v>19</v>
      </c>
      <c r="AP99" s="227">
        <v>67</v>
      </c>
      <c r="AQ99" s="218"/>
      <c r="AR99" s="231">
        <v>24</v>
      </c>
      <c r="AS99" s="217">
        <v>6.3889197356877698</v>
      </c>
      <c r="AT99" s="232" t="s">
        <v>54</v>
      </c>
      <c r="AU99" s="224">
        <v>0.399307483480486</v>
      </c>
      <c r="AV99" s="225">
        <v>-41.633630934144001</v>
      </c>
      <c r="AW99" s="219"/>
      <c r="AX99" s="219"/>
      <c r="AY99" s="227">
        <v>37</v>
      </c>
      <c r="AZ99" s="227">
        <v>49</v>
      </c>
      <c r="BA99" s="218"/>
      <c r="BB99" s="235">
        <v>154</v>
      </c>
      <c r="BC99" s="231">
        <v>40.9955683039965</v>
      </c>
      <c r="BD99" s="232" t="s">
        <v>55</v>
      </c>
      <c r="BE99" s="229">
        <v>1.2811115094998899</v>
      </c>
      <c r="BF99" s="230">
        <v>22.732738131712001</v>
      </c>
      <c r="BG99" s="219">
        <v>0.02</v>
      </c>
      <c r="BH99" s="219">
        <v>0.02</v>
      </c>
      <c r="BI99" s="227">
        <v>0</v>
      </c>
      <c r="BJ99" s="227">
        <v>0</v>
      </c>
      <c r="BK99" s="220"/>
      <c r="BL99" s="236">
        <v>0.8</v>
      </c>
      <c r="BM99" s="239">
        <v>0.71</v>
      </c>
      <c r="BN99" s="237"/>
      <c r="BO99" s="238">
        <v>0.95</v>
      </c>
      <c r="BP99" s="229">
        <v>1</v>
      </c>
      <c r="BQ99" s="237">
        <v>2.5000000000000001E-3</v>
      </c>
    </row>
    <row r="100" spans="1:69" s="207" customFormat="1" ht="22.35" customHeight="1" x14ac:dyDescent="0.2">
      <c r="A100" s="216" t="s">
        <v>139</v>
      </c>
      <c r="B100" s="216" t="s">
        <v>140</v>
      </c>
      <c r="C100" s="216" t="s">
        <v>157</v>
      </c>
      <c r="D100" s="217">
        <v>2.8448773448888902</v>
      </c>
      <c r="E100" s="218"/>
      <c r="F100" s="219">
        <v>0.01</v>
      </c>
      <c r="G100" s="219">
        <v>0.01</v>
      </c>
      <c r="H100" s="220"/>
      <c r="I100" s="221">
        <v>2</v>
      </c>
      <c r="J100" s="221">
        <v>2</v>
      </c>
      <c r="K100" s="218"/>
      <c r="L100" s="222">
        <v>1494.0301099999999</v>
      </c>
      <c r="M100" s="222">
        <v>-154.24280999999999</v>
      </c>
      <c r="N100" s="222">
        <v>1339.7873</v>
      </c>
      <c r="O100" s="217">
        <v>470.94729845104399</v>
      </c>
      <c r="P100" s="223">
        <v>228.56200000000001</v>
      </c>
      <c r="Q100" s="229">
        <v>2.0604794254996199</v>
      </c>
      <c r="R100" s="230">
        <v>629.735205572876</v>
      </c>
      <c r="S100" s="219">
        <v>0.01</v>
      </c>
      <c r="T100" s="219">
        <v>0.01</v>
      </c>
      <c r="U100" s="226">
        <v>0</v>
      </c>
      <c r="V100" s="227">
        <v>0</v>
      </c>
      <c r="W100" s="218"/>
      <c r="X100" s="226">
        <v>952.90559499999995</v>
      </c>
      <c r="Y100" s="217">
        <v>334.95489593320798</v>
      </c>
      <c r="Z100" s="228">
        <v>573</v>
      </c>
      <c r="AA100" s="224">
        <v>0.58456351820804298</v>
      </c>
      <c r="AB100" s="225">
        <v>-827.17967773449698</v>
      </c>
      <c r="AC100" s="219"/>
      <c r="AD100" s="219"/>
      <c r="AE100" s="227">
        <v>678</v>
      </c>
      <c r="AF100" s="227">
        <v>1004</v>
      </c>
      <c r="AG100" s="218"/>
      <c r="AH100" s="231">
        <v>106.3</v>
      </c>
      <c r="AI100" s="217">
        <v>37.3654070503176</v>
      </c>
      <c r="AJ100" s="232" t="s">
        <v>53</v>
      </c>
      <c r="AK100" s="224">
        <v>0.59310169921139</v>
      </c>
      <c r="AL100" s="225">
        <v>-89.416181818976099</v>
      </c>
      <c r="AM100" s="219"/>
      <c r="AN100" s="219"/>
      <c r="AO100" s="227">
        <v>73</v>
      </c>
      <c r="AP100" s="227">
        <v>109</v>
      </c>
      <c r="AQ100" s="218"/>
      <c r="AR100" s="231">
        <v>1</v>
      </c>
      <c r="AS100" s="217">
        <v>0.35150900329555601</v>
      </c>
      <c r="AT100" s="232" t="s">
        <v>54</v>
      </c>
      <c r="AU100" s="224">
        <v>2.1969312705972199E-2</v>
      </c>
      <c r="AV100" s="225">
        <v>-48.705696969898703</v>
      </c>
      <c r="AW100" s="219"/>
      <c r="AX100" s="219"/>
      <c r="AY100" s="227">
        <v>45</v>
      </c>
      <c r="AZ100" s="227">
        <v>54</v>
      </c>
      <c r="BA100" s="218"/>
      <c r="BB100" s="235">
        <v>49.4</v>
      </c>
      <c r="BC100" s="231">
        <v>17.364544762800399</v>
      </c>
      <c r="BD100" s="232" t="s">
        <v>55</v>
      </c>
      <c r="BE100" s="224">
        <v>0.54264202383751403</v>
      </c>
      <c r="BF100" s="225">
        <v>-50.011393939797401</v>
      </c>
      <c r="BG100" s="219"/>
      <c r="BH100" s="219"/>
      <c r="BI100" s="227">
        <v>42</v>
      </c>
      <c r="BJ100" s="227">
        <v>60</v>
      </c>
      <c r="BK100" s="220"/>
      <c r="BL100" s="236">
        <v>0.8</v>
      </c>
      <c r="BM100" s="239">
        <v>0.75</v>
      </c>
      <c r="BN100" s="237"/>
      <c r="BO100" s="238">
        <v>0.95</v>
      </c>
      <c r="BP100" s="229">
        <v>1</v>
      </c>
      <c r="BQ100" s="237">
        <v>2.5000000000000001E-3</v>
      </c>
    </row>
    <row r="101" spans="1:69" s="207" customFormat="1" ht="22.35" customHeight="1" x14ac:dyDescent="0.2">
      <c r="A101" s="216" t="s">
        <v>139</v>
      </c>
      <c r="B101" s="216" t="s">
        <v>140</v>
      </c>
      <c r="C101" s="216" t="s">
        <v>158</v>
      </c>
      <c r="D101" s="217">
        <v>2.4566604814444402</v>
      </c>
      <c r="E101" s="218"/>
      <c r="F101" s="219">
        <v>0.01</v>
      </c>
      <c r="G101" s="219">
        <v>0.01</v>
      </c>
      <c r="H101" s="220"/>
      <c r="I101" s="221">
        <v>2</v>
      </c>
      <c r="J101" s="221">
        <v>2</v>
      </c>
      <c r="K101" s="218"/>
      <c r="L101" s="222">
        <v>1398.3889799999999</v>
      </c>
      <c r="M101" s="222">
        <v>353.37722000000002</v>
      </c>
      <c r="N101" s="222">
        <v>1751.7662</v>
      </c>
      <c r="O101" s="217">
        <v>713.06809110635095</v>
      </c>
      <c r="P101" s="223">
        <v>287.5</v>
      </c>
      <c r="Q101" s="229">
        <v>2.4802368386307898</v>
      </c>
      <c r="R101" s="230">
        <v>980.49764185051799</v>
      </c>
      <c r="S101" s="219">
        <v>0.01</v>
      </c>
      <c r="T101" s="219">
        <v>0.01</v>
      </c>
      <c r="U101" s="226">
        <v>0</v>
      </c>
      <c r="V101" s="227">
        <v>0</v>
      </c>
      <c r="W101" s="218"/>
      <c r="X101" s="226">
        <v>740.01513499999999</v>
      </c>
      <c r="Y101" s="217">
        <v>301.22808609063202</v>
      </c>
      <c r="Z101" s="228">
        <v>573</v>
      </c>
      <c r="AA101" s="224">
        <v>0.525703466126757</v>
      </c>
      <c r="AB101" s="225">
        <v>-797.15663480748901</v>
      </c>
      <c r="AC101" s="219"/>
      <c r="AD101" s="219"/>
      <c r="AE101" s="227">
        <v>668</v>
      </c>
      <c r="AF101" s="227">
        <v>950</v>
      </c>
      <c r="AG101" s="218"/>
      <c r="AH101" s="231">
        <v>87.3</v>
      </c>
      <c r="AI101" s="217">
        <v>35.536046050885403</v>
      </c>
      <c r="AJ101" s="232" t="s">
        <v>53</v>
      </c>
      <c r="AK101" s="224">
        <v>0.56406422302992598</v>
      </c>
      <c r="AL101" s="225">
        <v>-81.708414481451697</v>
      </c>
      <c r="AM101" s="219"/>
      <c r="AN101" s="219"/>
      <c r="AO101" s="227">
        <v>68</v>
      </c>
      <c r="AP101" s="227">
        <v>99</v>
      </c>
      <c r="AQ101" s="218"/>
      <c r="AR101" s="231">
        <v>1.5</v>
      </c>
      <c r="AS101" s="217">
        <v>0.61058498369218805</v>
      </c>
      <c r="AT101" s="232" t="s">
        <v>54</v>
      </c>
      <c r="AU101" s="224">
        <v>3.8161561480761802E-2</v>
      </c>
      <c r="AV101" s="225">
        <v>-41.4227719317973</v>
      </c>
      <c r="AW101" s="219"/>
      <c r="AX101" s="219"/>
      <c r="AY101" s="227">
        <v>38</v>
      </c>
      <c r="AZ101" s="227">
        <v>46</v>
      </c>
      <c r="BA101" s="218"/>
      <c r="BB101" s="235">
        <v>68.400000000000006</v>
      </c>
      <c r="BC101" s="231">
        <v>27.842675256363801</v>
      </c>
      <c r="BD101" s="232" t="s">
        <v>55</v>
      </c>
      <c r="BE101" s="239">
        <v>0.87008360176136901</v>
      </c>
      <c r="BF101" s="222">
        <v>-17.445543863594501</v>
      </c>
      <c r="BG101" s="219"/>
      <c r="BH101" s="219"/>
      <c r="BI101" s="227">
        <v>11</v>
      </c>
      <c r="BJ101" s="227">
        <v>26</v>
      </c>
      <c r="BK101" s="220"/>
      <c r="BL101" s="236">
        <v>0.8</v>
      </c>
      <c r="BM101" s="239">
        <v>0.77</v>
      </c>
      <c r="BN101" s="237"/>
      <c r="BO101" s="238">
        <v>0.95</v>
      </c>
      <c r="BP101" s="229">
        <v>1</v>
      </c>
      <c r="BQ101" s="237">
        <v>2.5000000000000001E-3</v>
      </c>
    </row>
    <row r="102" spans="1:69" s="207" customFormat="1" ht="22.35" customHeight="1" x14ac:dyDescent="0.2">
      <c r="A102" s="216" t="s">
        <v>139</v>
      </c>
      <c r="B102" s="216" t="s">
        <v>159</v>
      </c>
      <c r="C102" s="216" t="s">
        <v>160</v>
      </c>
      <c r="D102" s="217">
        <v>3.9968760643333301</v>
      </c>
      <c r="E102" s="218"/>
      <c r="F102" s="219">
        <v>0.01</v>
      </c>
      <c r="G102" s="219">
        <v>0.01</v>
      </c>
      <c r="H102" s="220"/>
      <c r="I102" s="221">
        <v>2</v>
      </c>
      <c r="J102" s="221">
        <v>2</v>
      </c>
      <c r="K102" s="218"/>
      <c r="L102" s="222">
        <v>6038.06945</v>
      </c>
      <c r="M102" s="222">
        <v>-242.11984000000001</v>
      </c>
      <c r="N102" s="222">
        <v>5795.9496099999997</v>
      </c>
      <c r="O102" s="217">
        <v>1450.1199228369701</v>
      </c>
      <c r="P102" s="223">
        <v>274.60399999999998</v>
      </c>
      <c r="Q102" s="229">
        <v>5.2807676612029297</v>
      </c>
      <c r="R102" s="230">
        <v>4597.4161049909499</v>
      </c>
      <c r="S102" s="219">
        <v>0.01</v>
      </c>
      <c r="T102" s="219">
        <v>0.01</v>
      </c>
      <c r="U102" s="226">
        <v>0</v>
      </c>
      <c r="V102" s="227">
        <v>0</v>
      </c>
      <c r="W102" s="218"/>
      <c r="X102" s="226">
        <v>1696.637375</v>
      </c>
      <c r="Y102" s="217">
        <v>424.49086428778099</v>
      </c>
      <c r="Z102" s="228">
        <v>573</v>
      </c>
      <c r="AA102" s="239">
        <v>0.74082175268373596</v>
      </c>
      <c r="AB102" s="222">
        <v>-804.27192847039396</v>
      </c>
      <c r="AC102" s="219"/>
      <c r="AD102" s="219"/>
      <c r="AE102" s="227">
        <v>594</v>
      </c>
      <c r="AF102" s="227">
        <v>1052</v>
      </c>
      <c r="AG102" s="218"/>
      <c r="AH102" s="231">
        <v>128.30000000000001</v>
      </c>
      <c r="AI102" s="217">
        <v>32.100069638111201</v>
      </c>
      <c r="AJ102" s="232" t="s">
        <v>53</v>
      </c>
      <c r="AK102" s="224">
        <v>0.50952491489065499</v>
      </c>
      <c r="AL102" s="225">
        <v>-146.669085721876</v>
      </c>
      <c r="AM102" s="219"/>
      <c r="AN102" s="219"/>
      <c r="AO102" s="227">
        <v>124</v>
      </c>
      <c r="AP102" s="227">
        <v>174</v>
      </c>
      <c r="AQ102" s="218"/>
      <c r="AR102" s="231">
        <v>8</v>
      </c>
      <c r="AS102" s="217">
        <v>2.0015631886585301</v>
      </c>
      <c r="AT102" s="232" t="s">
        <v>54</v>
      </c>
      <c r="AU102" s="224">
        <v>0.12509769929115799</v>
      </c>
      <c r="AV102" s="225">
        <v>-61.833418596031997</v>
      </c>
      <c r="AW102" s="219"/>
      <c r="AX102" s="219"/>
      <c r="AY102" s="227">
        <v>56</v>
      </c>
      <c r="AZ102" s="227">
        <v>69</v>
      </c>
      <c r="BA102" s="218"/>
      <c r="BB102" s="235">
        <v>97.2</v>
      </c>
      <c r="BC102" s="231">
        <v>24.3189927422012</v>
      </c>
      <c r="BD102" s="232" t="s">
        <v>55</v>
      </c>
      <c r="BE102" s="239">
        <v>0.75996852319378705</v>
      </c>
      <c r="BF102" s="222">
        <v>-42.466837192063899</v>
      </c>
      <c r="BG102" s="219"/>
      <c r="BH102" s="219"/>
      <c r="BI102" s="227">
        <v>31</v>
      </c>
      <c r="BJ102" s="227">
        <v>57</v>
      </c>
      <c r="BK102" s="220"/>
      <c r="BL102" s="236">
        <v>0.8</v>
      </c>
      <c r="BM102" s="239">
        <v>0.71</v>
      </c>
      <c r="BN102" s="237"/>
      <c r="BO102" s="238">
        <v>0.95</v>
      </c>
      <c r="BP102" s="229">
        <v>1</v>
      </c>
      <c r="BQ102" s="237">
        <v>2.5000000000000001E-3</v>
      </c>
    </row>
    <row r="103" spans="1:69" s="207" customFormat="1" ht="22.35" customHeight="1" x14ac:dyDescent="0.2">
      <c r="A103" s="216" t="s">
        <v>139</v>
      </c>
      <c r="B103" s="216" t="s">
        <v>159</v>
      </c>
      <c r="C103" s="216" t="s">
        <v>161</v>
      </c>
      <c r="D103" s="217">
        <v>3.1170158208888901</v>
      </c>
      <c r="E103" s="218"/>
      <c r="F103" s="219">
        <v>2.1000000000000001E-2</v>
      </c>
      <c r="G103" s="219">
        <v>1.0999999999999999E-2</v>
      </c>
      <c r="H103" s="220"/>
      <c r="I103" s="221">
        <v>3</v>
      </c>
      <c r="J103" s="221">
        <v>3</v>
      </c>
      <c r="K103" s="218"/>
      <c r="L103" s="222">
        <v>3009.7157299999999</v>
      </c>
      <c r="M103" s="222">
        <v>1623.58644</v>
      </c>
      <c r="N103" s="222">
        <v>4633.3021699999999</v>
      </c>
      <c r="O103" s="217">
        <v>1486.4544924506399</v>
      </c>
      <c r="P103" s="223">
        <v>254.25200000000001</v>
      </c>
      <c r="Q103" s="229">
        <v>5.8463826929606801</v>
      </c>
      <c r="R103" s="230">
        <v>3767.88397291003</v>
      </c>
      <c r="S103" s="219">
        <v>0.01</v>
      </c>
      <c r="T103" s="219">
        <v>0.01</v>
      </c>
      <c r="U103" s="226">
        <v>0</v>
      </c>
      <c r="V103" s="227">
        <v>0</v>
      </c>
      <c r="W103" s="218"/>
      <c r="X103" s="226">
        <v>1388.4493050000001</v>
      </c>
      <c r="Y103" s="217">
        <v>445.44185361370802</v>
      </c>
      <c r="Z103" s="228">
        <v>573</v>
      </c>
      <c r="AA103" s="239">
        <v>0.77738543388081704</v>
      </c>
      <c r="AB103" s="222">
        <v>-561.91736638331304</v>
      </c>
      <c r="AC103" s="219"/>
      <c r="AD103" s="219"/>
      <c r="AE103" s="227">
        <v>398</v>
      </c>
      <c r="AF103" s="227">
        <v>755</v>
      </c>
      <c r="AG103" s="218"/>
      <c r="AH103" s="231">
        <v>99.8</v>
      </c>
      <c r="AI103" s="217">
        <v>32.017803480875401</v>
      </c>
      <c r="AJ103" s="232" t="s">
        <v>53</v>
      </c>
      <c r="AK103" s="224">
        <v>0.508219102871038</v>
      </c>
      <c r="AL103" s="225">
        <v>-114.63822041387201</v>
      </c>
      <c r="AM103" s="219"/>
      <c r="AN103" s="219"/>
      <c r="AO103" s="227">
        <v>97</v>
      </c>
      <c r="AP103" s="227">
        <v>136</v>
      </c>
      <c r="AQ103" s="218"/>
      <c r="AR103" s="231">
        <v>32.4</v>
      </c>
      <c r="AS103" s="217">
        <v>10.394557442689001</v>
      </c>
      <c r="AT103" s="232" t="s">
        <v>54</v>
      </c>
      <c r="AU103" s="224">
        <v>0.649659840168063</v>
      </c>
      <c r="AV103" s="225">
        <v>-22.060500422570701</v>
      </c>
      <c r="AW103" s="219"/>
      <c r="AX103" s="219"/>
      <c r="AY103" s="227">
        <v>18</v>
      </c>
      <c r="AZ103" s="227">
        <v>28</v>
      </c>
      <c r="BA103" s="218"/>
      <c r="BB103" s="235">
        <v>100.8</v>
      </c>
      <c r="BC103" s="231">
        <v>32.338623155032501</v>
      </c>
      <c r="BD103" s="232" t="s">
        <v>55</v>
      </c>
      <c r="BE103" s="233">
        <v>1.0105819735947701</v>
      </c>
      <c r="BF103" s="234">
        <v>-8.1210008451413795</v>
      </c>
      <c r="BG103" s="219">
        <v>1.0999999999999999E-2</v>
      </c>
      <c r="BH103" s="219">
        <v>1E-3</v>
      </c>
      <c r="BI103" s="227">
        <v>0</v>
      </c>
      <c r="BJ103" s="227">
        <v>19</v>
      </c>
      <c r="BK103" s="220"/>
      <c r="BL103" s="236">
        <v>0.8</v>
      </c>
      <c r="BM103" s="239">
        <v>0.74</v>
      </c>
      <c r="BN103" s="237"/>
      <c r="BO103" s="238">
        <v>0.95</v>
      </c>
      <c r="BP103" s="229">
        <v>1</v>
      </c>
      <c r="BQ103" s="237">
        <v>2.5000000000000001E-3</v>
      </c>
    </row>
    <row r="104" spans="1:69" s="207" customFormat="1" ht="22.35" customHeight="1" x14ac:dyDescent="0.2">
      <c r="A104" s="216" t="s">
        <v>139</v>
      </c>
      <c r="B104" s="216" t="s">
        <v>159</v>
      </c>
      <c r="C104" s="216" t="s">
        <v>162</v>
      </c>
      <c r="D104" s="217">
        <v>3.5189073529999999</v>
      </c>
      <c r="E104" s="218"/>
      <c r="F104" s="219">
        <v>0.05</v>
      </c>
      <c r="G104" s="219">
        <v>3.4000000000000002E-2</v>
      </c>
      <c r="H104" s="220"/>
      <c r="I104" s="221">
        <v>5</v>
      </c>
      <c r="J104" s="221">
        <v>4</v>
      </c>
      <c r="K104" s="218"/>
      <c r="L104" s="222">
        <v>1311.7811899999999</v>
      </c>
      <c r="M104" s="222">
        <v>1365.7141999999999</v>
      </c>
      <c r="N104" s="222">
        <v>2677.49539</v>
      </c>
      <c r="O104" s="217">
        <v>760.88828758658099</v>
      </c>
      <c r="P104" s="223">
        <v>274.60399999999998</v>
      </c>
      <c r="Q104" s="229">
        <v>2.7708565337233999</v>
      </c>
      <c r="R104" s="230">
        <v>1622.28920003857</v>
      </c>
      <c r="S104" s="219">
        <v>0.01</v>
      </c>
      <c r="T104" s="219">
        <v>0.01</v>
      </c>
      <c r="U104" s="226">
        <v>0</v>
      </c>
      <c r="V104" s="227">
        <v>0</v>
      </c>
      <c r="W104" s="218"/>
      <c r="X104" s="226">
        <v>2348.4531550000002</v>
      </c>
      <c r="Y104" s="217">
        <v>667.38135432802903</v>
      </c>
      <c r="Z104" s="228">
        <v>573</v>
      </c>
      <c r="AA104" s="229">
        <v>1.1647144054590399</v>
      </c>
      <c r="AB104" s="230">
        <v>146.61652171025199</v>
      </c>
      <c r="AC104" s="219">
        <v>0.02</v>
      </c>
      <c r="AD104" s="219">
        <v>1.6E-2</v>
      </c>
      <c r="AE104" s="227">
        <v>0</v>
      </c>
      <c r="AF104" s="227">
        <v>72</v>
      </c>
      <c r="AG104" s="218"/>
      <c r="AH104" s="231">
        <v>205.4</v>
      </c>
      <c r="AI104" s="217">
        <v>58.370391543525201</v>
      </c>
      <c r="AJ104" s="232" t="s">
        <v>53</v>
      </c>
      <c r="AK104" s="233">
        <v>0.92651415148452698</v>
      </c>
      <c r="AL104" s="234">
        <v>-36.686750256987999</v>
      </c>
      <c r="AM104" s="219">
        <v>2E-3</v>
      </c>
      <c r="AN104" s="219"/>
      <c r="AO104" s="227">
        <v>17</v>
      </c>
      <c r="AP104" s="227">
        <v>61</v>
      </c>
      <c r="AQ104" s="218"/>
      <c r="AR104" s="231">
        <v>23.5</v>
      </c>
      <c r="AS104" s="217">
        <v>6.6782093538113099</v>
      </c>
      <c r="AT104" s="232" t="s">
        <v>54</v>
      </c>
      <c r="AU104" s="224">
        <v>0.41738808461320698</v>
      </c>
      <c r="AV104" s="225">
        <v>-37.982349271616002</v>
      </c>
      <c r="AW104" s="219"/>
      <c r="AX104" s="219"/>
      <c r="AY104" s="227">
        <v>33</v>
      </c>
      <c r="AZ104" s="227">
        <v>45</v>
      </c>
      <c r="BA104" s="218"/>
      <c r="BB104" s="235">
        <v>121.4</v>
      </c>
      <c r="BC104" s="231">
        <v>34.499345342667802</v>
      </c>
      <c r="BD104" s="232" t="s">
        <v>55</v>
      </c>
      <c r="BE104" s="233">
        <v>1.0781045419583699</v>
      </c>
      <c r="BF104" s="234">
        <v>-1.56469854323201</v>
      </c>
      <c r="BG104" s="219">
        <v>1.7999999999999999E-2</v>
      </c>
      <c r="BH104" s="219">
        <v>8.0000000000000002E-3</v>
      </c>
      <c r="BI104" s="227">
        <v>0</v>
      </c>
      <c r="BJ104" s="227">
        <v>14</v>
      </c>
      <c r="BK104" s="220"/>
      <c r="BL104" s="236">
        <v>0.8</v>
      </c>
      <c r="BM104" s="224">
        <v>0.68</v>
      </c>
      <c r="BN104" s="237"/>
      <c r="BO104" s="238">
        <v>0.95</v>
      </c>
      <c r="BP104" s="229">
        <v>1</v>
      </c>
      <c r="BQ104" s="237">
        <v>2.5000000000000001E-3</v>
      </c>
    </row>
    <row r="105" spans="1:69" s="207" customFormat="1" ht="22.35" customHeight="1" x14ac:dyDescent="0.2">
      <c r="A105" s="216" t="s">
        <v>139</v>
      </c>
      <c r="B105" s="216" t="s">
        <v>159</v>
      </c>
      <c r="C105" s="216" t="s">
        <v>163</v>
      </c>
      <c r="D105" s="217">
        <v>3.27682426844444</v>
      </c>
      <c r="E105" s="218"/>
      <c r="F105" s="219">
        <v>3.3000000000000002E-2</v>
      </c>
      <c r="G105" s="219">
        <v>1.4999999999999999E-2</v>
      </c>
      <c r="H105" s="220"/>
      <c r="I105" s="221">
        <v>4</v>
      </c>
      <c r="J105" s="221">
        <v>3</v>
      </c>
      <c r="K105" s="218"/>
      <c r="L105" s="222">
        <v>2728.6725000000001</v>
      </c>
      <c r="M105" s="222">
        <v>2489.6818199999998</v>
      </c>
      <c r="N105" s="222">
        <v>5218.3543200000004</v>
      </c>
      <c r="O105" s="217">
        <v>1592.5035621386</v>
      </c>
      <c r="P105" s="223">
        <v>246.58500000000001</v>
      </c>
      <c r="Q105" s="229">
        <v>6.4582337211857999</v>
      </c>
      <c r="R105" s="230">
        <v>4336.0011622400698</v>
      </c>
      <c r="S105" s="219">
        <v>0.01</v>
      </c>
      <c r="T105" s="219">
        <v>0.01</v>
      </c>
      <c r="U105" s="226">
        <v>0</v>
      </c>
      <c r="V105" s="227">
        <v>0</v>
      </c>
      <c r="W105" s="218"/>
      <c r="X105" s="226">
        <v>1847.4322500000001</v>
      </c>
      <c r="Y105" s="217">
        <v>563.78740471090396</v>
      </c>
      <c r="Z105" s="228">
        <v>573</v>
      </c>
      <c r="AA105" s="233">
        <v>0.98392217227033896</v>
      </c>
      <c r="AB105" s="234">
        <v>-202.92912395398099</v>
      </c>
      <c r="AC105" s="219">
        <v>8.0000000000000002E-3</v>
      </c>
      <c r="AD105" s="219"/>
      <c r="AE105" s="227">
        <v>31</v>
      </c>
      <c r="AF105" s="227">
        <v>406</v>
      </c>
      <c r="AG105" s="218"/>
      <c r="AH105" s="231">
        <v>126.8</v>
      </c>
      <c r="AI105" s="217">
        <v>38.6960024744305</v>
      </c>
      <c r="AJ105" s="232" t="s">
        <v>53</v>
      </c>
      <c r="AK105" s="224">
        <v>0.61422226149889603</v>
      </c>
      <c r="AL105" s="225">
        <v>-98.632402371903694</v>
      </c>
      <c r="AM105" s="219"/>
      <c r="AN105" s="219"/>
      <c r="AO105" s="227">
        <v>80</v>
      </c>
      <c r="AP105" s="227">
        <v>121</v>
      </c>
      <c r="AQ105" s="218"/>
      <c r="AR105" s="231">
        <v>12.8</v>
      </c>
      <c r="AS105" s="217">
        <v>3.9062210699740501</v>
      </c>
      <c r="AT105" s="232" t="s">
        <v>54</v>
      </c>
      <c r="AU105" s="224">
        <v>0.24413881687337799</v>
      </c>
      <c r="AV105" s="225">
        <v>-44.452673618261301</v>
      </c>
      <c r="AW105" s="219"/>
      <c r="AX105" s="219"/>
      <c r="AY105" s="227">
        <v>40</v>
      </c>
      <c r="AZ105" s="227">
        <v>51</v>
      </c>
      <c r="BA105" s="218"/>
      <c r="BB105" s="235">
        <v>110</v>
      </c>
      <c r="BC105" s="231">
        <v>33.569087320089501</v>
      </c>
      <c r="BD105" s="232" t="s">
        <v>55</v>
      </c>
      <c r="BE105" s="233">
        <v>1.0490339787528</v>
      </c>
      <c r="BF105" s="234">
        <v>-4.5053472365225202</v>
      </c>
      <c r="BG105" s="219">
        <v>1.4999999999999999E-2</v>
      </c>
      <c r="BH105" s="219">
        <v>5.0000000000000001E-3</v>
      </c>
      <c r="BI105" s="227">
        <v>0</v>
      </c>
      <c r="BJ105" s="227">
        <v>16</v>
      </c>
      <c r="BK105" s="220"/>
      <c r="BL105" s="236">
        <v>0.8</v>
      </c>
      <c r="BM105" s="239">
        <v>0.75</v>
      </c>
      <c r="BN105" s="237"/>
      <c r="BO105" s="238">
        <v>0.95</v>
      </c>
      <c r="BP105" s="229">
        <v>1</v>
      </c>
      <c r="BQ105" s="237">
        <v>2.5000000000000001E-3</v>
      </c>
    </row>
    <row r="106" spans="1:69" s="207" customFormat="1" ht="22.35" customHeight="1" x14ac:dyDescent="0.2">
      <c r="A106" s="216" t="s">
        <v>139</v>
      </c>
      <c r="B106" s="216" t="s">
        <v>159</v>
      </c>
      <c r="C106" s="216" t="s">
        <v>164</v>
      </c>
      <c r="D106" s="217">
        <v>2.5224867724444402</v>
      </c>
      <c r="E106" s="218"/>
      <c r="F106" s="219">
        <v>0.01</v>
      </c>
      <c r="G106" s="219">
        <v>0.01</v>
      </c>
      <c r="H106" s="220"/>
      <c r="I106" s="221">
        <v>2</v>
      </c>
      <c r="J106" s="221">
        <v>2</v>
      </c>
      <c r="K106" s="218"/>
      <c r="L106" s="222">
        <v>1082.65724</v>
      </c>
      <c r="M106" s="222">
        <v>351.87522000000001</v>
      </c>
      <c r="N106" s="222">
        <v>1434.5324599999999</v>
      </c>
      <c r="O106" s="217">
        <v>568.69771357010904</v>
      </c>
      <c r="P106" s="223">
        <v>260.82400000000001</v>
      </c>
      <c r="Q106" s="229">
        <v>2.1803887432525699</v>
      </c>
      <c r="R106" s="230">
        <v>716.07826178983498</v>
      </c>
      <c r="S106" s="219">
        <v>0.01</v>
      </c>
      <c r="T106" s="219">
        <v>0.01</v>
      </c>
      <c r="U106" s="226">
        <v>0</v>
      </c>
      <c r="V106" s="227">
        <v>0</v>
      </c>
      <c r="W106" s="218"/>
      <c r="X106" s="226">
        <v>1236.1225099999999</v>
      </c>
      <c r="Y106" s="217">
        <v>490.04122578693301</v>
      </c>
      <c r="Z106" s="228">
        <v>573</v>
      </c>
      <c r="AA106" s="239">
        <v>0.85522028933147098</v>
      </c>
      <c r="AB106" s="222">
        <v>-342.23782330684497</v>
      </c>
      <c r="AC106" s="219"/>
      <c r="AD106" s="219"/>
      <c r="AE106" s="227">
        <v>210</v>
      </c>
      <c r="AF106" s="227">
        <v>499</v>
      </c>
      <c r="AG106" s="218"/>
      <c r="AH106" s="231">
        <v>109.7</v>
      </c>
      <c r="AI106" s="217">
        <v>43.488830624746498</v>
      </c>
      <c r="AJ106" s="232" t="s">
        <v>53</v>
      </c>
      <c r="AK106" s="224">
        <v>0.69029889880549999</v>
      </c>
      <c r="AL106" s="225">
        <v>-63.836999997087702</v>
      </c>
      <c r="AM106" s="219"/>
      <c r="AN106" s="219"/>
      <c r="AO106" s="227">
        <v>50</v>
      </c>
      <c r="AP106" s="227">
        <v>81</v>
      </c>
      <c r="AQ106" s="218"/>
      <c r="AR106" s="231">
        <v>5</v>
      </c>
      <c r="AS106" s="217">
        <v>1.9821709491680299</v>
      </c>
      <c r="AT106" s="232" t="s">
        <v>54</v>
      </c>
      <c r="AU106" s="224">
        <v>0.123885684323002</v>
      </c>
      <c r="AV106" s="225">
        <v>-39.072888888149301</v>
      </c>
      <c r="AW106" s="219"/>
      <c r="AX106" s="219"/>
      <c r="AY106" s="227">
        <v>36</v>
      </c>
      <c r="AZ106" s="227">
        <v>44</v>
      </c>
      <c r="BA106" s="218"/>
      <c r="BB106" s="235">
        <v>36.6</v>
      </c>
      <c r="BC106" s="231">
        <v>14.50949134791</v>
      </c>
      <c r="BD106" s="232" t="s">
        <v>55</v>
      </c>
      <c r="BE106" s="224">
        <v>0.453421604622186</v>
      </c>
      <c r="BF106" s="225">
        <v>-51.5457777762985</v>
      </c>
      <c r="BG106" s="219"/>
      <c r="BH106" s="219"/>
      <c r="BI106" s="227">
        <v>45</v>
      </c>
      <c r="BJ106" s="227">
        <v>61</v>
      </c>
      <c r="BK106" s="220"/>
      <c r="BL106" s="236">
        <v>0.8</v>
      </c>
      <c r="BM106" s="239">
        <v>0.77</v>
      </c>
      <c r="BN106" s="237"/>
      <c r="BO106" s="238">
        <v>0.95</v>
      </c>
      <c r="BP106" s="229">
        <v>1</v>
      </c>
      <c r="BQ106" s="237">
        <v>2.5000000000000001E-3</v>
      </c>
    </row>
    <row r="107" spans="1:69" s="207" customFormat="1" ht="22.35" customHeight="1" x14ac:dyDescent="0.2">
      <c r="A107" s="216" t="s">
        <v>139</v>
      </c>
      <c r="B107" s="216" t="s">
        <v>159</v>
      </c>
      <c r="C107" s="216" t="s">
        <v>165</v>
      </c>
      <c r="D107" s="217">
        <v>5.5385385716666704</v>
      </c>
      <c r="E107" s="218"/>
      <c r="F107" s="219">
        <v>2.4E-2</v>
      </c>
      <c r="G107" s="219">
        <v>1.4E-2</v>
      </c>
      <c r="H107" s="220"/>
      <c r="I107" s="221">
        <v>3</v>
      </c>
      <c r="J107" s="221">
        <v>3</v>
      </c>
      <c r="K107" s="218"/>
      <c r="L107" s="222">
        <v>4064.3967200000002</v>
      </c>
      <c r="M107" s="222">
        <v>-1735.76657</v>
      </c>
      <c r="N107" s="222">
        <v>2328.63015</v>
      </c>
      <c r="O107" s="217">
        <v>420.44126259452298</v>
      </c>
      <c r="P107" s="223">
        <v>236.32499999999999</v>
      </c>
      <c r="Q107" s="229">
        <v>1.77908076841013</v>
      </c>
      <c r="R107" s="230">
        <v>899.31667027955405</v>
      </c>
      <c r="S107" s="219">
        <v>0.01</v>
      </c>
      <c r="T107" s="219">
        <v>0.01</v>
      </c>
      <c r="U107" s="226">
        <v>0</v>
      </c>
      <c r="V107" s="227">
        <v>0</v>
      </c>
      <c r="W107" s="218"/>
      <c r="X107" s="226">
        <v>2088.0927799999999</v>
      </c>
      <c r="Y107" s="217">
        <v>377.01150817690302</v>
      </c>
      <c r="Z107" s="228">
        <v>573</v>
      </c>
      <c r="AA107" s="224">
        <v>0.65796074725463005</v>
      </c>
      <c r="AB107" s="225">
        <v>-1377.4594209089801</v>
      </c>
      <c r="AC107" s="219"/>
      <c r="AD107" s="219"/>
      <c r="AE107" s="227">
        <v>1086</v>
      </c>
      <c r="AF107" s="227">
        <v>1721</v>
      </c>
      <c r="AG107" s="218"/>
      <c r="AH107" s="231">
        <v>201.5</v>
      </c>
      <c r="AI107" s="217">
        <v>36.381438423270602</v>
      </c>
      <c r="AJ107" s="232" t="s">
        <v>53</v>
      </c>
      <c r="AK107" s="224">
        <v>0.577483149575724</v>
      </c>
      <c r="AL107" s="225">
        <v>-179.52929957638</v>
      </c>
      <c r="AM107" s="219"/>
      <c r="AN107" s="219"/>
      <c r="AO107" s="227">
        <v>148</v>
      </c>
      <c r="AP107" s="227">
        <v>218</v>
      </c>
      <c r="AQ107" s="218"/>
      <c r="AR107" s="231">
        <v>37.6</v>
      </c>
      <c r="AS107" s="217">
        <v>6.7887944650867196</v>
      </c>
      <c r="AT107" s="232" t="s">
        <v>54</v>
      </c>
      <c r="AU107" s="224">
        <v>0.42429965406791997</v>
      </c>
      <c r="AV107" s="225">
        <v>-59.169345924160098</v>
      </c>
      <c r="AW107" s="219"/>
      <c r="AX107" s="219"/>
      <c r="AY107" s="227">
        <v>52</v>
      </c>
      <c r="AZ107" s="227">
        <v>69</v>
      </c>
      <c r="BA107" s="218"/>
      <c r="BB107" s="235">
        <v>184.6</v>
      </c>
      <c r="BC107" s="231">
        <v>33.330091974867301</v>
      </c>
      <c r="BD107" s="232" t="s">
        <v>55</v>
      </c>
      <c r="BE107" s="233">
        <v>1.0415653742146</v>
      </c>
      <c r="BF107" s="234">
        <v>-8.9386918483201292</v>
      </c>
      <c r="BG107" s="219">
        <v>1.4E-2</v>
      </c>
      <c r="BH107" s="219">
        <v>4.0000000000000001E-3</v>
      </c>
      <c r="BI107" s="227">
        <v>0</v>
      </c>
      <c r="BJ107" s="227">
        <v>29</v>
      </c>
      <c r="BK107" s="220"/>
      <c r="BL107" s="236">
        <v>0.8</v>
      </c>
      <c r="BM107" s="239">
        <v>0.71</v>
      </c>
      <c r="BN107" s="237"/>
      <c r="BO107" s="238">
        <v>0.95</v>
      </c>
      <c r="BP107" s="229">
        <v>1</v>
      </c>
      <c r="BQ107" s="237">
        <v>2.5000000000000001E-3</v>
      </c>
    </row>
    <row r="108" spans="1:69" s="207" customFormat="1" ht="22.35" customHeight="1" x14ac:dyDescent="0.2">
      <c r="A108" s="216" t="s">
        <v>139</v>
      </c>
      <c r="B108" s="216" t="s">
        <v>159</v>
      </c>
      <c r="C108" s="216" t="s">
        <v>166</v>
      </c>
      <c r="D108" s="217">
        <v>4.7470153233333301</v>
      </c>
      <c r="E108" s="218"/>
      <c r="F108" s="219">
        <v>0.02</v>
      </c>
      <c r="G108" s="219">
        <v>1.7000000000000001E-2</v>
      </c>
      <c r="H108" s="220"/>
      <c r="I108" s="221">
        <v>2</v>
      </c>
      <c r="J108" s="221">
        <v>2</v>
      </c>
      <c r="K108" s="218"/>
      <c r="L108" s="222">
        <v>2972.81342</v>
      </c>
      <c r="M108" s="222">
        <v>-2522.2708299999999</v>
      </c>
      <c r="N108" s="222">
        <v>450.54259000000002</v>
      </c>
      <c r="O108" s="217">
        <v>94.910709006018294</v>
      </c>
      <c r="P108" s="223">
        <v>287.5</v>
      </c>
      <c r="Q108" s="224">
        <v>0.33012420523832497</v>
      </c>
      <c r="R108" s="225">
        <v>-1039.7828707604999</v>
      </c>
      <c r="S108" s="219"/>
      <c r="T108" s="219"/>
      <c r="U108" s="226">
        <v>915</v>
      </c>
      <c r="V108" s="227">
        <v>1188</v>
      </c>
      <c r="W108" s="218"/>
      <c r="X108" s="226">
        <v>1974.17869</v>
      </c>
      <c r="Y108" s="217">
        <v>415.87788442480502</v>
      </c>
      <c r="Z108" s="228">
        <v>573</v>
      </c>
      <c r="AA108" s="239">
        <v>0.72579037421432002</v>
      </c>
      <c r="AB108" s="222">
        <v>-996.10475005483795</v>
      </c>
      <c r="AC108" s="219"/>
      <c r="AD108" s="219"/>
      <c r="AE108" s="227">
        <v>746</v>
      </c>
      <c r="AF108" s="227">
        <v>1290</v>
      </c>
      <c r="AG108" s="218"/>
      <c r="AH108" s="231">
        <v>205.3</v>
      </c>
      <c r="AI108" s="217">
        <v>43.248227784493302</v>
      </c>
      <c r="AJ108" s="232" t="s">
        <v>53</v>
      </c>
      <c r="AK108" s="224">
        <v>0.68647980610306802</v>
      </c>
      <c r="AL108" s="225">
        <v>-121.27566618404001</v>
      </c>
      <c r="AM108" s="219"/>
      <c r="AN108" s="219"/>
      <c r="AO108" s="227">
        <v>94</v>
      </c>
      <c r="AP108" s="227">
        <v>154</v>
      </c>
      <c r="AQ108" s="218"/>
      <c r="AR108" s="231">
        <v>39.700000000000003</v>
      </c>
      <c r="AS108" s="217">
        <v>8.3631497469283094</v>
      </c>
      <c r="AT108" s="232" t="s">
        <v>54</v>
      </c>
      <c r="AU108" s="224">
        <v>0.522696859183019</v>
      </c>
      <c r="AV108" s="225">
        <v>-43.239851729279998</v>
      </c>
      <c r="AW108" s="219"/>
      <c r="AX108" s="219"/>
      <c r="AY108" s="227">
        <v>37</v>
      </c>
      <c r="AZ108" s="227">
        <v>52</v>
      </c>
      <c r="BA108" s="218"/>
      <c r="BB108" s="235">
        <v>177.8</v>
      </c>
      <c r="BC108" s="231">
        <v>37.455113979945999</v>
      </c>
      <c r="BD108" s="232" t="s">
        <v>55</v>
      </c>
      <c r="BE108" s="229">
        <v>1.17047231187331</v>
      </c>
      <c r="BF108" s="230">
        <v>11.9202965414401</v>
      </c>
      <c r="BG108" s="219">
        <v>0.02</v>
      </c>
      <c r="BH108" s="219">
        <v>1.7000000000000001E-2</v>
      </c>
      <c r="BI108" s="227">
        <v>0</v>
      </c>
      <c r="BJ108" s="227">
        <v>5</v>
      </c>
      <c r="BK108" s="220"/>
      <c r="BL108" s="236">
        <v>0.8</v>
      </c>
      <c r="BM108" s="224">
        <v>0.64</v>
      </c>
      <c r="BN108" s="237"/>
      <c r="BO108" s="238">
        <v>0.95</v>
      </c>
      <c r="BP108" s="229">
        <v>1</v>
      </c>
      <c r="BQ108" s="237">
        <v>2.5000000000000001E-3</v>
      </c>
    </row>
    <row r="109" spans="1:69" s="207" customFormat="1" ht="22.35" customHeight="1" x14ac:dyDescent="0.2">
      <c r="A109" s="216" t="s">
        <v>139</v>
      </c>
      <c r="B109" s="216" t="s">
        <v>159</v>
      </c>
      <c r="C109" s="216" t="s">
        <v>167</v>
      </c>
      <c r="D109" s="217">
        <v>5.8254724778888898</v>
      </c>
      <c r="E109" s="218"/>
      <c r="F109" s="219">
        <v>1E-3</v>
      </c>
      <c r="G109" s="219"/>
      <c r="H109" s="220"/>
      <c r="I109" s="221">
        <v>2</v>
      </c>
      <c r="J109" s="221">
        <v>1</v>
      </c>
      <c r="K109" s="218"/>
      <c r="L109" s="222">
        <v>1640.1132500000001</v>
      </c>
      <c r="M109" s="222">
        <v>-687.83163000000002</v>
      </c>
      <c r="N109" s="222">
        <v>952.28161999999998</v>
      </c>
      <c r="O109" s="217">
        <v>163.468563900091</v>
      </c>
      <c r="P109" s="223">
        <v>236.41900000000001</v>
      </c>
      <c r="Q109" s="224">
        <v>0.69143581480376204</v>
      </c>
      <c r="R109" s="225">
        <v>-551.67797650301395</v>
      </c>
      <c r="S109" s="219"/>
      <c r="T109" s="219"/>
      <c r="U109" s="226">
        <v>425</v>
      </c>
      <c r="V109" s="227">
        <v>701</v>
      </c>
      <c r="W109" s="218"/>
      <c r="X109" s="226">
        <v>2752.7860599999999</v>
      </c>
      <c r="Y109" s="217">
        <v>472.54296890912298</v>
      </c>
      <c r="Z109" s="228">
        <v>573</v>
      </c>
      <c r="AA109" s="239">
        <v>0.82468231921312896</v>
      </c>
      <c r="AB109" s="222">
        <v>-892.30527697472405</v>
      </c>
      <c r="AC109" s="219"/>
      <c r="AD109" s="219"/>
      <c r="AE109" s="227">
        <v>586</v>
      </c>
      <c r="AF109" s="227">
        <v>1253</v>
      </c>
      <c r="AG109" s="218"/>
      <c r="AH109" s="231">
        <v>268</v>
      </c>
      <c r="AI109" s="217">
        <v>46.004852141558999</v>
      </c>
      <c r="AJ109" s="232" t="s">
        <v>53</v>
      </c>
      <c r="AK109" s="239">
        <v>0.73023574827871496</v>
      </c>
      <c r="AL109" s="222">
        <v>-132.76920458884399</v>
      </c>
      <c r="AM109" s="219"/>
      <c r="AN109" s="219"/>
      <c r="AO109" s="227">
        <v>100</v>
      </c>
      <c r="AP109" s="227">
        <v>173</v>
      </c>
      <c r="AQ109" s="218"/>
      <c r="AR109" s="231">
        <v>19.399999999999999</v>
      </c>
      <c r="AS109" s="217">
        <v>3.3302019833815102</v>
      </c>
      <c r="AT109" s="232" t="s">
        <v>54</v>
      </c>
      <c r="AU109" s="224">
        <v>0.208137623961344</v>
      </c>
      <c r="AV109" s="225">
        <v>-82.382655133674703</v>
      </c>
      <c r="AW109" s="219"/>
      <c r="AX109" s="219"/>
      <c r="AY109" s="227">
        <v>74</v>
      </c>
      <c r="AZ109" s="227">
        <v>93</v>
      </c>
      <c r="BA109" s="218"/>
      <c r="BB109" s="235">
        <v>171.4</v>
      </c>
      <c r="BC109" s="231">
        <v>29.4225061830717</v>
      </c>
      <c r="BD109" s="232" t="s">
        <v>55</v>
      </c>
      <c r="BE109" s="233">
        <v>0.91945331822099097</v>
      </c>
      <c r="BF109" s="234">
        <v>-32.165310267349398</v>
      </c>
      <c r="BG109" s="219">
        <v>1E-3</v>
      </c>
      <c r="BH109" s="219"/>
      <c r="BI109" s="227">
        <v>16</v>
      </c>
      <c r="BJ109" s="227">
        <v>53</v>
      </c>
      <c r="BK109" s="220"/>
      <c r="BL109" s="236">
        <v>0.8</v>
      </c>
      <c r="BM109" s="224">
        <v>0.63</v>
      </c>
      <c r="BN109" s="237"/>
      <c r="BO109" s="238">
        <v>0.95</v>
      </c>
      <c r="BP109" s="229">
        <v>1</v>
      </c>
      <c r="BQ109" s="237">
        <v>2.5000000000000001E-3</v>
      </c>
    </row>
    <row r="110" spans="1:69" s="207" customFormat="1" ht="22.35" customHeight="1" x14ac:dyDescent="0.2">
      <c r="A110" s="216" t="s">
        <v>139</v>
      </c>
      <c r="B110" s="216" t="s">
        <v>159</v>
      </c>
      <c r="C110" s="216" t="s">
        <v>168</v>
      </c>
      <c r="D110" s="217">
        <v>2.9978898042222202</v>
      </c>
      <c r="E110" s="218"/>
      <c r="F110" s="219">
        <v>4.2999999999999997E-2</v>
      </c>
      <c r="G110" s="219">
        <v>2.1000000000000001E-2</v>
      </c>
      <c r="H110" s="220"/>
      <c r="I110" s="221">
        <v>4</v>
      </c>
      <c r="J110" s="221">
        <v>4</v>
      </c>
      <c r="K110" s="218"/>
      <c r="L110" s="222">
        <v>1634.88858</v>
      </c>
      <c r="M110" s="222">
        <v>-587.90138000000002</v>
      </c>
      <c r="N110" s="222">
        <v>1046.9872</v>
      </c>
      <c r="O110" s="217">
        <v>349.24138923499601</v>
      </c>
      <c r="P110" s="223">
        <v>244.03100000000001</v>
      </c>
      <c r="Q110" s="229">
        <v>1.43113534442344</v>
      </c>
      <c r="R110" s="230">
        <v>248.103972878945</v>
      </c>
      <c r="S110" s="219">
        <v>0.01</v>
      </c>
      <c r="T110" s="219">
        <v>0.01</v>
      </c>
      <c r="U110" s="226">
        <v>0</v>
      </c>
      <c r="V110" s="227">
        <v>0</v>
      </c>
      <c r="W110" s="218"/>
      <c r="X110" s="226">
        <v>1843.8243199999999</v>
      </c>
      <c r="Y110" s="217">
        <v>615.04072544733299</v>
      </c>
      <c r="Z110" s="228">
        <v>573</v>
      </c>
      <c r="AA110" s="233">
        <v>1.07336950339849</v>
      </c>
      <c r="AB110" s="234">
        <v>-32.003296738710297</v>
      </c>
      <c r="AC110" s="219">
        <v>1.7999999999999999E-2</v>
      </c>
      <c r="AD110" s="219">
        <v>7.0000000000000001E-3</v>
      </c>
      <c r="AE110" s="227">
        <v>0</v>
      </c>
      <c r="AF110" s="227">
        <v>218</v>
      </c>
      <c r="AG110" s="218"/>
      <c r="AH110" s="231">
        <v>124.85</v>
      </c>
      <c r="AI110" s="217">
        <v>41.6459603765827</v>
      </c>
      <c r="AJ110" s="232" t="s">
        <v>53</v>
      </c>
      <c r="AK110" s="224">
        <v>0.66104699010448797</v>
      </c>
      <c r="AL110" s="225">
        <v>-81.392826971271802</v>
      </c>
      <c r="AM110" s="219"/>
      <c r="AN110" s="219"/>
      <c r="AO110" s="227">
        <v>65</v>
      </c>
      <c r="AP110" s="227">
        <v>102</v>
      </c>
      <c r="AQ110" s="218"/>
      <c r="AR110" s="231">
        <v>6.8</v>
      </c>
      <c r="AS110" s="217">
        <v>2.2682621590769898</v>
      </c>
      <c r="AT110" s="232" t="s">
        <v>54</v>
      </c>
      <c r="AU110" s="224">
        <v>0.141766384942312</v>
      </c>
      <c r="AV110" s="225">
        <v>-45.579130659370598</v>
      </c>
      <c r="AW110" s="219"/>
      <c r="AX110" s="219"/>
      <c r="AY110" s="227">
        <v>42</v>
      </c>
      <c r="AZ110" s="227">
        <v>51</v>
      </c>
      <c r="BA110" s="218"/>
      <c r="BB110" s="235">
        <v>100.2</v>
      </c>
      <c r="BC110" s="231">
        <v>33.423510049928602</v>
      </c>
      <c r="BD110" s="232" t="s">
        <v>55</v>
      </c>
      <c r="BE110" s="233">
        <v>1.0444846890602699</v>
      </c>
      <c r="BF110" s="234">
        <v>-4.5582613187412404</v>
      </c>
      <c r="BG110" s="219">
        <v>1.4999999999999999E-2</v>
      </c>
      <c r="BH110" s="219">
        <v>4.0000000000000001E-3</v>
      </c>
      <c r="BI110" s="227">
        <v>0</v>
      </c>
      <c r="BJ110" s="227">
        <v>15</v>
      </c>
      <c r="BK110" s="220"/>
      <c r="BL110" s="236">
        <v>0.8</v>
      </c>
      <c r="BM110" s="239">
        <v>0.72</v>
      </c>
      <c r="BN110" s="237"/>
      <c r="BO110" s="238">
        <v>0.95</v>
      </c>
      <c r="BP110" s="229">
        <v>1</v>
      </c>
      <c r="BQ110" s="237">
        <v>2.5000000000000001E-3</v>
      </c>
    </row>
    <row r="111" spans="1:69" s="207" customFormat="1" ht="22.35" customHeight="1" x14ac:dyDescent="0.2">
      <c r="A111" s="216" t="s">
        <v>139</v>
      </c>
      <c r="B111" s="216" t="s">
        <v>159</v>
      </c>
      <c r="C111" s="216" t="s">
        <v>169</v>
      </c>
      <c r="D111" s="217">
        <v>3.5180638414444401</v>
      </c>
      <c r="E111" s="218"/>
      <c r="F111" s="219">
        <v>2.7E-2</v>
      </c>
      <c r="G111" s="219">
        <v>1.7000000000000001E-2</v>
      </c>
      <c r="H111" s="220"/>
      <c r="I111" s="221">
        <v>3</v>
      </c>
      <c r="J111" s="221">
        <v>3</v>
      </c>
      <c r="K111" s="218"/>
      <c r="L111" s="222">
        <v>3068.3685300000002</v>
      </c>
      <c r="M111" s="222">
        <v>765.98181999999997</v>
      </c>
      <c r="N111" s="222">
        <v>3834.3503500000002</v>
      </c>
      <c r="O111" s="217">
        <v>1089.90357276339</v>
      </c>
      <c r="P111" s="223">
        <v>287.5</v>
      </c>
      <c r="Q111" s="229">
        <v>3.79096894874223</v>
      </c>
      <c r="R111" s="230">
        <v>2729.8542069785199</v>
      </c>
      <c r="S111" s="219">
        <v>0.01</v>
      </c>
      <c r="T111" s="219">
        <v>0.01</v>
      </c>
      <c r="U111" s="226">
        <v>0</v>
      </c>
      <c r="V111" s="227">
        <v>0</v>
      </c>
      <c r="W111" s="218"/>
      <c r="X111" s="226">
        <v>1643.4824900000001</v>
      </c>
      <c r="Y111" s="217">
        <v>467.15539116687</v>
      </c>
      <c r="Z111" s="228">
        <v>573</v>
      </c>
      <c r="AA111" s="239">
        <v>0.81527991477638695</v>
      </c>
      <c r="AB111" s="222">
        <v>-557.82634461324903</v>
      </c>
      <c r="AC111" s="219"/>
      <c r="AD111" s="219"/>
      <c r="AE111" s="227">
        <v>373</v>
      </c>
      <c r="AF111" s="227">
        <v>776</v>
      </c>
      <c r="AG111" s="218"/>
      <c r="AH111" s="231">
        <v>162</v>
      </c>
      <c r="AI111" s="217">
        <v>46.0480557776024</v>
      </c>
      <c r="AJ111" s="232" t="s">
        <v>53</v>
      </c>
      <c r="AK111" s="239">
        <v>0.73092152027940305</v>
      </c>
      <c r="AL111" s="222">
        <v>-80.028720036011705</v>
      </c>
      <c r="AM111" s="219"/>
      <c r="AN111" s="219"/>
      <c r="AO111" s="227">
        <v>60</v>
      </c>
      <c r="AP111" s="227">
        <v>104</v>
      </c>
      <c r="AQ111" s="218"/>
      <c r="AR111" s="231">
        <v>39.700000000000003</v>
      </c>
      <c r="AS111" s="217">
        <v>11.284616138091399</v>
      </c>
      <c r="AT111" s="232" t="s">
        <v>54</v>
      </c>
      <c r="AU111" s="224">
        <v>0.70528850863071602</v>
      </c>
      <c r="AV111" s="225">
        <v>-21.7676114377172</v>
      </c>
      <c r="AW111" s="219"/>
      <c r="AX111" s="219"/>
      <c r="AY111" s="227">
        <v>17</v>
      </c>
      <c r="AZ111" s="227">
        <v>28</v>
      </c>
      <c r="BA111" s="218"/>
      <c r="BB111" s="235">
        <v>120</v>
      </c>
      <c r="BC111" s="231">
        <v>34.109670946372198</v>
      </c>
      <c r="BD111" s="232" t="s">
        <v>55</v>
      </c>
      <c r="BE111" s="233">
        <v>1.0659272170741301</v>
      </c>
      <c r="BF111" s="234">
        <v>-2.9352228754345</v>
      </c>
      <c r="BG111" s="219">
        <v>1.7000000000000001E-2</v>
      </c>
      <c r="BH111" s="219">
        <v>7.0000000000000001E-3</v>
      </c>
      <c r="BI111" s="227">
        <v>0</v>
      </c>
      <c r="BJ111" s="227">
        <v>16</v>
      </c>
      <c r="BK111" s="220"/>
      <c r="BL111" s="236">
        <v>0.8</v>
      </c>
      <c r="BM111" s="239">
        <v>0.76</v>
      </c>
      <c r="BN111" s="237"/>
      <c r="BO111" s="238">
        <v>0.95</v>
      </c>
      <c r="BP111" s="229">
        <v>1</v>
      </c>
      <c r="BQ111" s="237">
        <v>2.5000000000000001E-3</v>
      </c>
    </row>
    <row r="112" spans="1:69" s="207" customFormat="1" ht="22.35" customHeight="1" x14ac:dyDescent="0.2">
      <c r="A112" s="216" t="s">
        <v>139</v>
      </c>
      <c r="B112" s="216" t="s">
        <v>159</v>
      </c>
      <c r="C112" s="216" t="s">
        <v>170</v>
      </c>
      <c r="D112" s="217">
        <v>3.33057645111111</v>
      </c>
      <c r="E112" s="218"/>
      <c r="F112" s="219">
        <v>1.2999999999999999E-2</v>
      </c>
      <c r="G112" s="219">
        <v>0.01</v>
      </c>
      <c r="H112" s="220"/>
      <c r="I112" s="221">
        <v>3</v>
      </c>
      <c r="J112" s="221">
        <v>2</v>
      </c>
      <c r="K112" s="218"/>
      <c r="L112" s="222">
        <v>1574.85041</v>
      </c>
      <c r="M112" s="222">
        <v>1246.9985300000001</v>
      </c>
      <c r="N112" s="222">
        <v>2821.8489399999999</v>
      </c>
      <c r="O112" s="217">
        <v>847.25541701905797</v>
      </c>
      <c r="P112" s="223">
        <v>287.5</v>
      </c>
      <c r="Q112" s="229">
        <v>2.9469753635445501</v>
      </c>
      <c r="R112" s="230">
        <v>1776.2144631736701</v>
      </c>
      <c r="S112" s="219">
        <v>0.01</v>
      </c>
      <c r="T112" s="219">
        <v>0.01</v>
      </c>
      <c r="U112" s="226">
        <v>0</v>
      </c>
      <c r="V112" s="227">
        <v>0</v>
      </c>
      <c r="W112" s="218"/>
      <c r="X112" s="226">
        <v>1670.8596250000001</v>
      </c>
      <c r="Y112" s="217">
        <v>501.672803349878</v>
      </c>
      <c r="Z112" s="228">
        <v>573</v>
      </c>
      <c r="AA112" s="239">
        <v>0.87551972661409805</v>
      </c>
      <c r="AB112" s="222">
        <v>-413.13534968343902</v>
      </c>
      <c r="AC112" s="219"/>
      <c r="AD112" s="219"/>
      <c r="AE112" s="227">
        <v>238</v>
      </c>
      <c r="AF112" s="227">
        <v>620</v>
      </c>
      <c r="AG112" s="218"/>
      <c r="AH112" s="231">
        <v>85.5</v>
      </c>
      <c r="AI112" s="217">
        <v>25.671231768745699</v>
      </c>
      <c r="AJ112" s="232" t="s">
        <v>53</v>
      </c>
      <c r="AK112" s="224">
        <v>0.40747986934517</v>
      </c>
      <c r="AL112" s="225">
        <v>-143.63033753063999</v>
      </c>
      <c r="AM112" s="219"/>
      <c r="AN112" s="219"/>
      <c r="AO112" s="227">
        <v>125</v>
      </c>
      <c r="AP112" s="227">
        <v>167</v>
      </c>
      <c r="AQ112" s="218"/>
      <c r="AR112" s="231">
        <v>14.6</v>
      </c>
      <c r="AS112" s="217">
        <v>4.3836255417975201</v>
      </c>
      <c r="AT112" s="232" t="s">
        <v>54</v>
      </c>
      <c r="AU112" s="224">
        <v>0.273976596362345</v>
      </c>
      <c r="AV112" s="225">
        <v>-43.591831753813302</v>
      </c>
      <c r="AW112" s="219"/>
      <c r="AX112" s="219"/>
      <c r="AY112" s="227">
        <v>39</v>
      </c>
      <c r="AZ112" s="227">
        <v>50</v>
      </c>
      <c r="BA112" s="218"/>
      <c r="BB112" s="235">
        <v>99.8</v>
      </c>
      <c r="BC112" s="231">
        <v>29.9647828131091</v>
      </c>
      <c r="BD112" s="232" t="s">
        <v>55</v>
      </c>
      <c r="BE112" s="233">
        <v>0.93639946290965803</v>
      </c>
      <c r="BF112" s="234">
        <v>-16.5836635076266</v>
      </c>
      <c r="BG112" s="219">
        <v>3.0000000000000001E-3</v>
      </c>
      <c r="BH112" s="219"/>
      <c r="BI112" s="227">
        <v>7</v>
      </c>
      <c r="BJ112" s="227">
        <v>29</v>
      </c>
      <c r="BK112" s="220"/>
      <c r="BL112" s="236">
        <v>0.8</v>
      </c>
      <c r="BM112" s="239">
        <v>0.74</v>
      </c>
      <c r="BN112" s="237"/>
      <c r="BO112" s="238">
        <v>0.95</v>
      </c>
      <c r="BP112" s="229">
        <v>1</v>
      </c>
      <c r="BQ112" s="237">
        <v>2.5000000000000001E-3</v>
      </c>
    </row>
    <row r="113" spans="1:69" s="207" customFormat="1" ht="22.35" customHeight="1" x14ac:dyDescent="0.2">
      <c r="A113" s="216" t="s">
        <v>139</v>
      </c>
      <c r="B113" s="216" t="s">
        <v>159</v>
      </c>
      <c r="C113" s="216" t="s">
        <v>171</v>
      </c>
      <c r="D113" s="217">
        <v>7.6444229506666703</v>
      </c>
      <c r="E113" s="218"/>
      <c r="F113" s="219">
        <v>0.01</v>
      </c>
      <c r="G113" s="219">
        <v>0.01</v>
      </c>
      <c r="H113" s="220"/>
      <c r="I113" s="221">
        <v>2</v>
      </c>
      <c r="J113" s="221">
        <v>2</v>
      </c>
      <c r="K113" s="218"/>
      <c r="L113" s="222">
        <v>5615.4095900000002</v>
      </c>
      <c r="M113" s="222">
        <v>84.16704</v>
      </c>
      <c r="N113" s="222">
        <v>5699.5766299999996</v>
      </c>
      <c r="O113" s="217">
        <v>745.58624853468405</v>
      </c>
      <c r="P113" s="223">
        <v>287.5</v>
      </c>
      <c r="Q113" s="229">
        <v>2.5933434731641198</v>
      </c>
      <c r="R113" s="230">
        <v>3299.6100446382002</v>
      </c>
      <c r="S113" s="219">
        <v>0.01</v>
      </c>
      <c r="T113" s="219">
        <v>0.01</v>
      </c>
      <c r="U113" s="226">
        <v>0</v>
      </c>
      <c r="V113" s="227">
        <v>0</v>
      </c>
      <c r="W113" s="218"/>
      <c r="X113" s="226">
        <v>3969.4122000000002</v>
      </c>
      <c r="Y113" s="217">
        <v>519.25596289172199</v>
      </c>
      <c r="Z113" s="228">
        <v>573</v>
      </c>
      <c r="AA113" s="239">
        <v>0.90620586892098098</v>
      </c>
      <c r="AB113" s="222">
        <v>-813.82555099934598</v>
      </c>
      <c r="AC113" s="219">
        <v>0</v>
      </c>
      <c r="AD113" s="219"/>
      <c r="AE113" s="227">
        <v>411</v>
      </c>
      <c r="AF113" s="227">
        <v>1287</v>
      </c>
      <c r="AG113" s="218"/>
      <c r="AH113" s="231">
        <v>341.05</v>
      </c>
      <c r="AI113" s="217">
        <v>44.614224278401203</v>
      </c>
      <c r="AJ113" s="232" t="s">
        <v>53</v>
      </c>
      <c r="AK113" s="224">
        <v>0.70816229013335197</v>
      </c>
      <c r="AL113" s="225">
        <v>-184.855721314064</v>
      </c>
      <c r="AM113" s="219"/>
      <c r="AN113" s="219"/>
      <c r="AO113" s="227">
        <v>141</v>
      </c>
      <c r="AP113" s="227">
        <v>237</v>
      </c>
      <c r="AQ113" s="218"/>
      <c r="AR113" s="231">
        <v>30.8</v>
      </c>
      <c r="AS113" s="217">
        <v>4.0290810959529599</v>
      </c>
      <c r="AT113" s="232" t="s">
        <v>54</v>
      </c>
      <c r="AU113" s="224">
        <v>0.25181756849706</v>
      </c>
      <c r="AV113" s="225">
        <v>-102.76335779404801</v>
      </c>
      <c r="AW113" s="219"/>
      <c r="AX113" s="219"/>
      <c r="AY113" s="227">
        <v>92</v>
      </c>
      <c r="AZ113" s="227">
        <v>116</v>
      </c>
      <c r="BA113" s="218"/>
      <c r="BB113" s="235">
        <v>205.4</v>
      </c>
      <c r="BC113" s="231">
        <v>26.8692615944395</v>
      </c>
      <c r="BD113" s="232" t="s">
        <v>55</v>
      </c>
      <c r="BE113" s="239">
        <v>0.83966442482623505</v>
      </c>
      <c r="BF113" s="222">
        <v>-61.726715588096098</v>
      </c>
      <c r="BG113" s="219"/>
      <c r="BH113" s="219"/>
      <c r="BI113" s="227">
        <v>40</v>
      </c>
      <c r="BJ113" s="227">
        <v>89</v>
      </c>
      <c r="BK113" s="220"/>
      <c r="BL113" s="236">
        <v>0.8</v>
      </c>
      <c r="BM113" s="239">
        <v>0.7</v>
      </c>
      <c r="BN113" s="237"/>
      <c r="BO113" s="238">
        <v>0.95</v>
      </c>
      <c r="BP113" s="229">
        <v>1</v>
      </c>
      <c r="BQ113" s="237">
        <v>2.5000000000000001E-3</v>
      </c>
    </row>
    <row r="114" spans="1:69" s="207" customFormat="1" ht="22.35" customHeight="1" x14ac:dyDescent="0.2">
      <c r="A114" s="216" t="s">
        <v>139</v>
      </c>
      <c r="B114" s="216" t="s">
        <v>159</v>
      </c>
      <c r="C114" s="216" t="s">
        <v>172</v>
      </c>
      <c r="D114" s="217">
        <v>6.0447914316666704</v>
      </c>
      <c r="E114" s="218"/>
      <c r="F114" s="219">
        <v>0.04</v>
      </c>
      <c r="G114" s="219">
        <v>2.4E-2</v>
      </c>
      <c r="H114" s="220"/>
      <c r="I114" s="221">
        <v>4</v>
      </c>
      <c r="J114" s="221">
        <v>4</v>
      </c>
      <c r="K114" s="218"/>
      <c r="L114" s="222">
        <v>4315.5343599999997</v>
      </c>
      <c r="M114" s="222">
        <v>-448.75927000000001</v>
      </c>
      <c r="N114" s="222">
        <v>3866.7750900000001</v>
      </c>
      <c r="O114" s="217">
        <v>639.68709817566901</v>
      </c>
      <c r="P114" s="223">
        <v>260.82400000000001</v>
      </c>
      <c r="Q114" s="229">
        <v>2.4525622572143302</v>
      </c>
      <c r="R114" s="230">
        <v>2145.0987550326499</v>
      </c>
      <c r="S114" s="219">
        <v>0.01</v>
      </c>
      <c r="T114" s="219">
        <v>0.01</v>
      </c>
      <c r="U114" s="226">
        <v>0</v>
      </c>
      <c r="V114" s="227">
        <v>0</v>
      </c>
      <c r="W114" s="218"/>
      <c r="X114" s="226">
        <v>3925.9583050000001</v>
      </c>
      <c r="Y114" s="217">
        <v>649.47787684339301</v>
      </c>
      <c r="Z114" s="228">
        <v>573</v>
      </c>
      <c r="AA114" s="229">
        <v>1.13346924405479</v>
      </c>
      <c r="AB114" s="230">
        <v>143.63558954325799</v>
      </c>
      <c r="AC114" s="219">
        <v>0.02</v>
      </c>
      <c r="AD114" s="219">
        <v>1.2999999999999999E-2</v>
      </c>
      <c r="AE114" s="227">
        <v>0</v>
      </c>
      <c r="AF114" s="227">
        <v>231</v>
      </c>
      <c r="AG114" s="218"/>
      <c r="AH114" s="231">
        <v>229.6</v>
      </c>
      <c r="AI114" s="217">
        <v>37.983113660001798</v>
      </c>
      <c r="AJ114" s="232" t="s">
        <v>53</v>
      </c>
      <c r="AK114" s="224">
        <v>0.60290656603177395</v>
      </c>
      <c r="AL114" s="225">
        <v>-186.25747133294001</v>
      </c>
      <c r="AM114" s="219"/>
      <c r="AN114" s="219"/>
      <c r="AO114" s="227">
        <v>152</v>
      </c>
      <c r="AP114" s="227">
        <v>228</v>
      </c>
      <c r="AQ114" s="218"/>
      <c r="AR114" s="231">
        <v>35.799999999999997</v>
      </c>
      <c r="AS114" s="217">
        <v>5.9224541333974896</v>
      </c>
      <c r="AT114" s="232" t="s">
        <v>54</v>
      </c>
      <c r="AU114" s="224">
        <v>0.37015338333734299</v>
      </c>
      <c r="AV114" s="225">
        <v>-69.81459589408</v>
      </c>
      <c r="AW114" s="219"/>
      <c r="AX114" s="219"/>
      <c r="AY114" s="227">
        <v>61</v>
      </c>
      <c r="AZ114" s="227">
        <v>81</v>
      </c>
      <c r="BA114" s="218"/>
      <c r="BB114" s="235">
        <v>194.2</v>
      </c>
      <c r="BC114" s="231">
        <v>32.126832198485801</v>
      </c>
      <c r="BD114" s="232" t="s">
        <v>55</v>
      </c>
      <c r="BE114" s="233">
        <v>1.0039635062026799</v>
      </c>
      <c r="BF114" s="234">
        <v>-17.029191788160102</v>
      </c>
      <c r="BG114" s="219">
        <v>0.01</v>
      </c>
      <c r="BH114" s="219">
        <v>1E-3</v>
      </c>
      <c r="BI114" s="227">
        <v>0</v>
      </c>
      <c r="BJ114" s="227">
        <v>38</v>
      </c>
      <c r="BK114" s="220"/>
      <c r="BL114" s="236">
        <v>0.8</v>
      </c>
      <c r="BM114" s="239">
        <v>0.72</v>
      </c>
      <c r="BN114" s="237"/>
      <c r="BO114" s="238">
        <v>0.95</v>
      </c>
      <c r="BP114" s="229">
        <v>1</v>
      </c>
      <c r="BQ114" s="237">
        <v>2.5000000000000001E-3</v>
      </c>
    </row>
    <row r="115" spans="1:69" s="207" customFormat="1" ht="22.35" customHeight="1" x14ac:dyDescent="0.2">
      <c r="A115" s="216" t="s">
        <v>139</v>
      </c>
      <c r="B115" s="216" t="s">
        <v>159</v>
      </c>
      <c r="C115" s="216" t="s">
        <v>173</v>
      </c>
      <c r="D115" s="217">
        <v>4.01034421888889</v>
      </c>
      <c r="E115" s="218"/>
      <c r="F115" s="219">
        <v>4.8000000000000001E-2</v>
      </c>
      <c r="G115" s="219">
        <v>0.03</v>
      </c>
      <c r="H115" s="220"/>
      <c r="I115" s="221">
        <v>5</v>
      </c>
      <c r="J115" s="221">
        <v>3</v>
      </c>
      <c r="K115" s="218"/>
      <c r="L115" s="222">
        <v>2431.8145300000001</v>
      </c>
      <c r="M115" s="222">
        <v>380.24502999999999</v>
      </c>
      <c r="N115" s="222">
        <v>2812.0595600000001</v>
      </c>
      <c r="O115" s="217">
        <v>701.20154443478498</v>
      </c>
      <c r="P115" s="223">
        <v>234.23500000000001</v>
      </c>
      <c r="Q115" s="229">
        <v>2.99358142222462</v>
      </c>
      <c r="R115" s="230">
        <v>1786.2751879023101</v>
      </c>
      <c r="S115" s="219">
        <v>0.01</v>
      </c>
      <c r="T115" s="219">
        <v>0.01</v>
      </c>
      <c r="U115" s="226">
        <v>0</v>
      </c>
      <c r="V115" s="227">
        <v>0</v>
      </c>
      <c r="W115" s="218"/>
      <c r="X115" s="226">
        <v>3343.492405</v>
      </c>
      <c r="Y115" s="217">
        <v>833.71706330145196</v>
      </c>
      <c r="Z115" s="228">
        <v>573</v>
      </c>
      <c r="AA115" s="229">
        <v>1.4550036008751299</v>
      </c>
      <c r="AB115" s="230">
        <v>834.15586173371901</v>
      </c>
      <c r="AC115" s="219">
        <v>0.02</v>
      </c>
      <c r="AD115" s="219">
        <v>0.02</v>
      </c>
      <c r="AE115" s="227">
        <v>0</v>
      </c>
      <c r="AF115" s="227">
        <v>0</v>
      </c>
      <c r="AG115" s="218"/>
      <c r="AH115" s="231">
        <v>251.55</v>
      </c>
      <c r="AI115" s="217">
        <v>62.725288970255697</v>
      </c>
      <c r="AJ115" s="232" t="s">
        <v>53</v>
      </c>
      <c r="AK115" s="233">
        <v>0.99563950746437602</v>
      </c>
      <c r="AL115" s="234">
        <v>-24.345640882680101</v>
      </c>
      <c r="AM115" s="219">
        <v>8.9999999999999993E-3</v>
      </c>
      <c r="AN115" s="219">
        <v>0</v>
      </c>
      <c r="AO115" s="227">
        <v>2</v>
      </c>
      <c r="AP115" s="227">
        <v>52</v>
      </c>
      <c r="AQ115" s="218"/>
      <c r="AR115" s="231">
        <v>28.8</v>
      </c>
      <c r="AS115" s="217">
        <v>7.1814284330883096</v>
      </c>
      <c r="AT115" s="232" t="s">
        <v>54</v>
      </c>
      <c r="AU115" s="224">
        <v>0.44883927706801902</v>
      </c>
      <c r="AV115" s="225">
        <v>-41.268734192426699</v>
      </c>
      <c r="AW115" s="219"/>
      <c r="AX115" s="219"/>
      <c r="AY115" s="227">
        <v>36</v>
      </c>
      <c r="AZ115" s="227">
        <v>49</v>
      </c>
      <c r="BA115" s="218"/>
      <c r="BB115" s="235">
        <v>127.4</v>
      </c>
      <c r="BC115" s="231">
        <v>31.767846610258701</v>
      </c>
      <c r="BD115" s="232" t="s">
        <v>55</v>
      </c>
      <c r="BE115" s="233">
        <v>0.99274520657058396</v>
      </c>
      <c r="BF115" s="234">
        <v>-12.7374683848534</v>
      </c>
      <c r="BG115" s="219">
        <v>8.9999999999999993E-3</v>
      </c>
      <c r="BH115" s="219"/>
      <c r="BI115" s="227">
        <v>1</v>
      </c>
      <c r="BJ115" s="227">
        <v>27</v>
      </c>
      <c r="BK115" s="220"/>
      <c r="BL115" s="236">
        <v>0.8</v>
      </c>
      <c r="BM115" s="239">
        <v>0.74</v>
      </c>
      <c r="BN115" s="237"/>
      <c r="BO115" s="238">
        <v>0.95</v>
      </c>
      <c r="BP115" s="229">
        <v>1</v>
      </c>
      <c r="BQ115" s="237">
        <v>2.5000000000000001E-3</v>
      </c>
    </row>
    <row r="116" spans="1:69" s="207" customFormat="1" ht="22.35" customHeight="1" x14ac:dyDescent="0.2">
      <c r="A116" s="216" t="s">
        <v>139</v>
      </c>
      <c r="B116" s="216" t="s">
        <v>159</v>
      </c>
      <c r="C116" s="216" t="s">
        <v>174</v>
      </c>
      <c r="D116" s="217">
        <v>2.3561526822222199</v>
      </c>
      <c r="E116" s="218"/>
      <c r="F116" s="219">
        <v>2.5000000000000001E-2</v>
      </c>
      <c r="G116" s="219">
        <v>1.4999999999999999E-2</v>
      </c>
      <c r="H116" s="220"/>
      <c r="I116" s="221">
        <v>3</v>
      </c>
      <c r="J116" s="221">
        <v>3</v>
      </c>
      <c r="K116" s="218"/>
      <c r="L116" s="222">
        <v>1914.6487999999999</v>
      </c>
      <c r="M116" s="222">
        <v>970.41903000000002</v>
      </c>
      <c r="N116" s="222">
        <v>2885.06783</v>
      </c>
      <c r="O116" s="217">
        <v>1224.48254383877</v>
      </c>
      <c r="P116" s="223">
        <v>258.77999999999997</v>
      </c>
      <c r="Q116" s="229">
        <v>4.73175107751283</v>
      </c>
      <c r="R116" s="230">
        <v>2219.2479213128299</v>
      </c>
      <c r="S116" s="219">
        <v>0.01</v>
      </c>
      <c r="T116" s="219">
        <v>0.01</v>
      </c>
      <c r="U116" s="226">
        <v>0</v>
      </c>
      <c r="V116" s="227">
        <v>0</v>
      </c>
      <c r="W116" s="218"/>
      <c r="X116" s="226">
        <v>1413.122245</v>
      </c>
      <c r="Y116" s="217">
        <v>599.75834998401001</v>
      </c>
      <c r="Z116" s="228">
        <v>573</v>
      </c>
      <c r="AA116" s="233">
        <v>1.0466986910715701</v>
      </c>
      <c r="AB116" s="234">
        <v>-61.160186709358399</v>
      </c>
      <c r="AC116" s="219">
        <v>1.4999999999999999E-2</v>
      </c>
      <c r="AD116" s="219">
        <v>5.0000000000000001E-3</v>
      </c>
      <c r="AE116" s="227">
        <v>0</v>
      </c>
      <c r="AF116" s="227">
        <v>207</v>
      </c>
      <c r="AG116" s="218"/>
      <c r="AH116" s="231">
        <v>130</v>
      </c>
      <c r="AI116" s="217">
        <v>55.174692616859403</v>
      </c>
      <c r="AJ116" s="232" t="s">
        <v>53</v>
      </c>
      <c r="AK116" s="239">
        <v>0.87578877169618097</v>
      </c>
      <c r="AL116" s="222">
        <v>-32.093879926159801</v>
      </c>
      <c r="AM116" s="219"/>
      <c r="AN116" s="219"/>
      <c r="AO116" s="227">
        <v>19</v>
      </c>
      <c r="AP116" s="227">
        <v>49</v>
      </c>
      <c r="AQ116" s="218"/>
      <c r="AR116" s="231">
        <v>8</v>
      </c>
      <c r="AS116" s="217">
        <v>3.39536569949904</v>
      </c>
      <c r="AT116" s="232" t="s">
        <v>54</v>
      </c>
      <c r="AU116" s="224">
        <v>0.21221035621869</v>
      </c>
      <c r="AV116" s="225">
        <v>-33.166699663786602</v>
      </c>
      <c r="AW116" s="219"/>
      <c r="AX116" s="219"/>
      <c r="AY116" s="227">
        <v>30</v>
      </c>
      <c r="AZ116" s="227">
        <v>38</v>
      </c>
      <c r="BA116" s="218"/>
      <c r="BB116" s="235">
        <v>62.2</v>
      </c>
      <c r="BC116" s="231">
        <v>26.398968313605</v>
      </c>
      <c r="BD116" s="232" t="s">
        <v>55</v>
      </c>
      <c r="BE116" s="239">
        <v>0.82496775980015802</v>
      </c>
      <c r="BF116" s="222">
        <v>-20.133399327573301</v>
      </c>
      <c r="BG116" s="219"/>
      <c r="BH116" s="219"/>
      <c r="BI116" s="227">
        <v>14</v>
      </c>
      <c r="BJ116" s="227">
        <v>29</v>
      </c>
      <c r="BK116" s="220"/>
      <c r="BL116" s="236">
        <v>0.8</v>
      </c>
      <c r="BM116" s="239">
        <v>0.72</v>
      </c>
      <c r="BN116" s="237"/>
      <c r="BO116" s="238">
        <v>0.95</v>
      </c>
      <c r="BP116" s="229">
        <v>1</v>
      </c>
      <c r="BQ116" s="237">
        <v>2.5000000000000001E-3</v>
      </c>
    </row>
    <row r="117" spans="1:69" s="207" customFormat="1" ht="22.35" customHeight="1" x14ac:dyDescent="0.2">
      <c r="A117" s="216" t="s">
        <v>175</v>
      </c>
      <c r="B117" s="216" t="s">
        <v>176</v>
      </c>
      <c r="C117" s="216" t="s">
        <v>177</v>
      </c>
      <c r="D117" s="217">
        <v>5.36114939544444</v>
      </c>
      <c r="E117" s="218"/>
      <c r="F117" s="219">
        <v>3.9E-2</v>
      </c>
      <c r="G117" s="219">
        <v>0.03</v>
      </c>
      <c r="H117" s="220"/>
      <c r="I117" s="221">
        <v>5</v>
      </c>
      <c r="J117" s="221">
        <v>4</v>
      </c>
      <c r="K117" s="218"/>
      <c r="L117" s="222">
        <v>2577.70093</v>
      </c>
      <c r="M117" s="222">
        <v>2905.7128299999999</v>
      </c>
      <c r="N117" s="222">
        <v>5483.4137600000004</v>
      </c>
      <c r="O117" s="217">
        <v>1022.8056253495701</v>
      </c>
      <c r="P117" s="223">
        <v>227.6</v>
      </c>
      <c r="Q117" s="229">
        <v>4.4938735735921398</v>
      </c>
      <c r="R117" s="230">
        <v>4150.9579781757602</v>
      </c>
      <c r="S117" s="219">
        <v>0.01</v>
      </c>
      <c r="T117" s="219">
        <v>0.01</v>
      </c>
      <c r="U117" s="226">
        <v>0</v>
      </c>
      <c r="V117" s="227">
        <v>0</v>
      </c>
      <c r="W117" s="218"/>
      <c r="X117" s="226">
        <v>2763.1614100000002</v>
      </c>
      <c r="Y117" s="217">
        <v>515.40466534059897</v>
      </c>
      <c r="Z117" s="228">
        <v>573</v>
      </c>
      <c r="AA117" s="239">
        <v>0.89948458174624701</v>
      </c>
      <c r="AB117" s="222">
        <v>-591.39554511991298</v>
      </c>
      <c r="AC117" s="219"/>
      <c r="AD117" s="219"/>
      <c r="AE117" s="227">
        <v>309</v>
      </c>
      <c r="AF117" s="227">
        <v>924</v>
      </c>
      <c r="AG117" s="218"/>
      <c r="AH117" s="231">
        <v>335.85</v>
      </c>
      <c r="AI117" s="217">
        <v>62.645148498451398</v>
      </c>
      <c r="AJ117" s="232" t="s">
        <v>53</v>
      </c>
      <c r="AK117" s="233">
        <v>0.99436743648335502</v>
      </c>
      <c r="AL117" s="234">
        <v>-32.975633808995703</v>
      </c>
      <c r="AM117" s="219">
        <v>8.9999999999999993E-3</v>
      </c>
      <c r="AN117" s="219"/>
      <c r="AO117" s="227">
        <v>2</v>
      </c>
      <c r="AP117" s="227">
        <v>70</v>
      </c>
      <c r="AQ117" s="218"/>
      <c r="AR117" s="231">
        <v>48.6</v>
      </c>
      <c r="AS117" s="217">
        <v>9.0652202382752307</v>
      </c>
      <c r="AT117" s="232" t="s">
        <v>54</v>
      </c>
      <c r="AU117" s="224">
        <v>0.56657626489220203</v>
      </c>
      <c r="AV117" s="225">
        <v>-45.070002237205301</v>
      </c>
      <c r="AW117" s="219"/>
      <c r="AX117" s="219"/>
      <c r="AY117" s="227">
        <v>38</v>
      </c>
      <c r="AZ117" s="227">
        <v>55</v>
      </c>
      <c r="BA117" s="218"/>
      <c r="BB117" s="235">
        <v>211.4</v>
      </c>
      <c r="BC117" s="231">
        <v>39.431842764843303</v>
      </c>
      <c r="BD117" s="232" t="s">
        <v>55</v>
      </c>
      <c r="BE117" s="229">
        <v>1.2322450864013501</v>
      </c>
      <c r="BF117" s="230">
        <v>24.0599955255895</v>
      </c>
      <c r="BG117" s="219">
        <v>0.02</v>
      </c>
      <c r="BH117" s="219">
        <v>0.02</v>
      </c>
      <c r="BI117" s="227">
        <v>0</v>
      </c>
      <c r="BJ117" s="227">
        <v>0</v>
      </c>
      <c r="BK117" s="220"/>
      <c r="BL117" s="236">
        <v>0.8</v>
      </c>
      <c r="BM117" s="233">
        <v>0.83</v>
      </c>
      <c r="BN117" s="237">
        <v>1.1249999999999999E-3</v>
      </c>
      <c r="BO117" s="238">
        <v>0.95</v>
      </c>
      <c r="BP117" s="229">
        <v>1</v>
      </c>
      <c r="BQ117" s="237">
        <v>2.5000000000000001E-3</v>
      </c>
    </row>
    <row r="118" spans="1:69" s="207" customFormat="1" ht="22.35" customHeight="1" x14ac:dyDescent="0.2">
      <c r="A118" s="216" t="s">
        <v>175</v>
      </c>
      <c r="B118" s="216" t="s">
        <v>176</v>
      </c>
      <c r="C118" s="216" t="s">
        <v>178</v>
      </c>
      <c r="D118" s="217">
        <v>9.7145609433333302</v>
      </c>
      <c r="E118" s="218"/>
      <c r="F118" s="219">
        <v>7.9000000000000001E-2</v>
      </c>
      <c r="G118" s="219">
        <v>7.2999999999999995E-2</v>
      </c>
      <c r="H118" s="220"/>
      <c r="I118" s="221">
        <v>6</v>
      </c>
      <c r="J118" s="221">
        <v>6</v>
      </c>
      <c r="K118" s="218"/>
      <c r="L118" s="222">
        <v>5903.4721</v>
      </c>
      <c r="M118" s="222">
        <v>2353.8956199999998</v>
      </c>
      <c r="N118" s="222">
        <v>8257.3677200000002</v>
      </c>
      <c r="O118" s="217">
        <v>849.99906513187898</v>
      </c>
      <c r="P118" s="223">
        <v>242.374</v>
      </c>
      <c r="Q118" s="229">
        <v>3.5069729638157501</v>
      </c>
      <c r="R118" s="230">
        <v>5686.1914824652204</v>
      </c>
      <c r="S118" s="219">
        <v>0.01</v>
      </c>
      <c r="T118" s="219">
        <v>0.01</v>
      </c>
      <c r="U118" s="226">
        <v>0</v>
      </c>
      <c r="V118" s="227">
        <v>0</v>
      </c>
      <c r="W118" s="218"/>
      <c r="X118" s="226">
        <v>6627.3678849999997</v>
      </c>
      <c r="Y118" s="217">
        <v>682.20971834533202</v>
      </c>
      <c r="Z118" s="228">
        <v>573</v>
      </c>
      <c r="AA118" s="229">
        <v>1.19059287669342</v>
      </c>
      <c r="AB118" s="230">
        <v>548.81166978124304</v>
      </c>
      <c r="AC118" s="219">
        <v>0.02</v>
      </c>
      <c r="AD118" s="219">
        <v>1.9E-2</v>
      </c>
      <c r="AE118" s="227">
        <v>0</v>
      </c>
      <c r="AF118" s="227">
        <v>53</v>
      </c>
      <c r="AG118" s="218"/>
      <c r="AH118" s="231">
        <v>760</v>
      </c>
      <c r="AI118" s="217">
        <v>78.233077586646203</v>
      </c>
      <c r="AJ118" s="232" t="s">
        <v>53</v>
      </c>
      <c r="AK118" s="229">
        <v>1.2417948823277201</v>
      </c>
      <c r="AL118" s="230">
        <v>91.677065342440301</v>
      </c>
      <c r="AM118" s="219">
        <v>0.02</v>
      </c>
      <c r="AN118" s="219">
        <v>0.02</v>
      </c>
      <c r="AO118" s="227">
        <v>0</v>
      </c>
      <c r="AP118" s="227">
        <v>0</v>
      </c>
      <c r="AQ118" s="218"/>
      <c r="AR118" s="231">
        <v>167.1</v>
      </c>
      <c r="AS118" s="217">
        <v>17.200983243063899</v>
      </c>
      <c r="AT118" s="232" t="s">
        <v>54</v>
      </c>
      <c r="AU118" s="233">
        <v>1.0750614526915001</v>
      </c>
      <c r="AV118" s="234">
        <v>-2.63280880191994</v>
      </c>
      <c r="AW118" s="219">
        <v>8.9999999999999993E-3</v>
      </c>
      <c r="AX118" s="219">
        <v>4.0000000000000001E-3</v>
      </c>
      <c r="AY118" s="227">
        <v>0</v>
      </c>
      <c r="AZ118" s="227">
        <v>20</v>
      </c>
      <c r="BA118" s="218"/>
      <c r="BB118" s="235">
        <v>475.2</v>
      </c>
      <c r="BC118" s="231">
        <v>48.916261143650402</v>
      </c>
      <c r="BD118" s="232" t="s">
        <v>55</v>
      </c>
      <c r="BE118" s="229">
        <v>1.52863316073907</v>
      </c>
      <c r="BF118" s="230">
        <v>135.73438239615999</v>
      </c>
      <c r="BG118" s="219">
        <v>0.02</v>
      </c>
      <c r="BH118" s="219">
        <v>0.02</v>
      </c>
      <c r="BI118" s="227">
        <v>0</v>
      </c>
      <c r="BJ118" s="227">
        <v>0</v>
      </c>
      <c r="BK118" s="220"/>
      <c r="BL118" s="236">
        <v>0.8</v>
      </c>
      <c r="BM118" s="239">
        <v>0.76</v>
      </c>
      <c r="BN118" s="237"/>
      <c r="BO118" s="238">
        <v>0.95</v>
      </c>
      <c r="BP118" s="229">
        <v>1</v>
      </c>
      <c r="BQ118" s="237">
        <v>2.5000000000000001E-3</v>
      </c>
    </row>
    <row r="119" spans="1:69" s="207" customFormat="1" ht="22.35" customHeight="1" x14ac:dyDescent="0.2">
      <c r="A119" s="216" t="s">
        <v>175</v>
      </c>
      <c r="B119" s="216" t="s">
        <v>176</v>
      </c>
      <c r="C119" s="216" t="s">
        <v>179</v>
      </c>
      <c r="D119" s="217">
        <v>2.7303992304444402</v>
      </c>
      <c r="E119" s="218"/>
      <c r="F119" s="219">
        <v>0.08</v>
      </c>
      <c r="G119" s="219">
        <v>0.08</v>
      </c>
      <c r="H119" s="220"/>
      <c r="I119" s="221">
        <v>7</v>
      </c>
      <c r="J119" s="221">
        <v>7</v>
      </c>
      <c r="K119" s="218"/>
      <c r="L119" s="222">
        <v>579.12189999999998</v>
      </c>
      <c r="M119" s="222">
        <v>3064.8989200000001</v>
      </c>
      <c r="N119" s="222">
        <v>3644.0208200000002</v>
      </c>
      <c r="O119" s="217">
        <v>1334.61098998583</v>
      </c>
      <c r="P119" s="223">
        <v>212.5</v>
      </c>
      <c r="Q119" s="229">
        <v>6.2805223058156701</v>
      </c>
      <c r="R119" s="230">
        <v>3010.4316785753699</v>
      </c>
      <c r="S119" s="219">
        <v>0.01</v>
      </c>
      <c r="T119" s="219">
        <v>0.01</v>
      </c>
      <c r="U119" s="226">
        <v>0</v>
      </c>
      <c r="V119" s="227">
        <v>0</v>
      </c>
      <c r="W119" s="218"/>
      <c r="X119" s="226">
        <v>1931.3181300000001</v>
      </c>
      <c r="Y119" s="217">
        <v>707.339098423942</v>
      </c>
      <c r="Z119" s="228">
        <v>573</v>
      </c>
      <c r="AA119" s="229">
        <v>1.2344486883489401</v>
      </c>
      <c r="AB119" s="230">
        <v>222.863645123227</v>
      </c>
      <c r="AC119" s="219">
        <v>0.02</v>
      </c>
      <c r="AD119" s="219">
        <v>0.02</v>
      </c>
      <c r="AE119" s="227">
        <v>0</v>
      </c>
      <c r="AF119" s="227">
        <v>0</v>
      </c>
      <c r="AG119" s="218"/>
      <c r="AH119" s="231">
        <v>220.05</v>
      </c>
      <c r="AI119" s="217">
        <v>80.592609881515799</v>
      </c>
      <c r="AJ119" s="232" t="s">
        <v>53</v>
      </c>
      <c r="AK119" s="229">
        <v>1.2792477758970799</v>
      </c>
      <c r="AL119" s="230">
        <v>32.209454542344297</v>
      </c>
      <c r="AM119" s="219">
        <v>0.02</v>
      </c>
      <c r="AN119" s="219">
        <v>0.02</v>
      </c>
      <c r="AO119" s="227">
        <v>0</v>
      </c>
      <c r="AP119" s="227">
        <v>0</v>
      </c>
      <c r="AQ119" s="218"/>
      <c r="AR119" s="231">
        <v>59.6</v>
      </c>
      <c r="AS119" s="217">
        <v>21.828309697515699</v>
      </c>
      <c r="AT119" s="232" t="s">
        <v>54</v>
      </c>
      <c r="AU119" s="229">
        <v>1.3642693560947301</v>
      </c>
      <c r="AV119" s="230">
        <v>11.894464645674701</v>
      </c>
      <c r="AW119" s="219">
        <v>0.01</v>
      </c>
      <c r="AX119" s="219">
        <v>0.01</v>
      </c>
      <c r="AY119" s="227">
        <v>0</v>
      </c>
      <c r="AZ119" s="227">
        <v>0</v>
      </c>
      <c r="BA119" s="218"/>
      <c r="BB119" s="235">
        <v>156</v>
      </c>
      <c r="BC119" s="231">
        <v>57.1345018928264</v>
      </c>
      <c r="BD119" s="232" t="s">
        <v>55</v>
      </c>
      <c r="BE119" s="229">
        <v>1.7854531841508301</v>
      </c>
      <c r="BF119" s="230">
        <v>60.588929291349501</v>
      </c>
      <c r="BG119" s="219">
        <v>0.02</v>
      </c>
      <c r="BH119" s="219">
        <v>0.02</v>
      </c>
      <c r="BI119" s="227">
        <v>0</v>
      </c>
      <c r="BJ119" s="227">
        <v>0</v>
      </c>
      <c r="BK119" s="220"/>
      <c r="BL119" s="236">
        <v>0.8</v>
      </c>
      <c r="BM119" s="233">
        <v>0.87</v>
      </c>
      <c r="BN119" s="237">
        <v>2.6250000000000002E-3</v>
      </c>
      <c r="BO119" s="238">
        <v>0.95</v>
      </c>
      <c r="BP119" s="229">
        <v>1</v>
      </c>
      <c r="BQ119" s="237">
        <v>2.5000000000000001E-3</v>
      </c>
    </row>
    <row r="120" spans="1:69" s="207" customFormat="1" ht="22.35" customHeight="1" x14ac:dyDescent="0.2">
      <c r="A120" s="216" t="s">
        <v>175</v>
      </c>
      <c r="B120" s="216" t="s">
        <v>176</v>
      </c>
      <c r="C120" s="216" t="s">
        <v>180</v>
      </c>
      <c r="D120" s="217">
        <v>3.1380264342222199</v>
      </c>
      <c r="E120" s="218"/>
      <c r="F120" s="219">
        <v>0.03</v>
      </c>
      <c r="G120" s="219">
        <v>1.4999999999999999E-2</v>
      </c>
      <c r="H120" s="220"/>
      <c r="I120" s="221">
        <v>5</v>
      </c>
      <c r="J120" s="221">
        <v>5</v>
      </c>
      <c r="K120" s="218"/>
      <c r="L120" s="222">
        <v>1320.2013999999999</v>
      </c>
      <c r="M120" s="222">
        <v>1251.0593200000001</v>
      </c>
      <c r="N120" s="222">
        <v>2571.2607200000002</v>
      </c>
      <c r="O120" s="217">
        <v>819.38784579974401</v>
      </c>
      <c r="P120" s="223">
        <v>212.5</v>
      </c>
      <c r="Q120" s="229">
        <v>3.8559428037635</v>
      </c>
      <c r="R120" s="230">
        <v>1843.0816859387301</v>
      </c>
      <c r="S120" s="219">
        <v>0.01</v>
      </c>
      <c r="T120" s="219">
        <v>0.01</v>
      </c>
      <c r="U120" s="226">
        <v>0</v>
      </c>
      <c r="V120" s="227">
        <v>0</v>
      </c>
      <c r="W120" s="218"/>
      <c r="X120" s="226">
        <v>1593.3157650000001</v>
      </c>
      <c r="Y120" s="217">
        <v>507.74453255837898</v>
      </c>
      <c r="Z120" s="228">
        <v>573</v>
      </c>
      <c r="AA120" s="239">
        <v>0.88611611266732904</v>
      </c>
      <c r="AB120" s="222">
        <v>-370.19758331579101</v>
      </c>
      <c r="AC120" s="219"/>
      <c r="AD120" s="219"/>
      <c r="AE120" s="227">
        <v>205</v>
      </c>
      <c r="AF120" s="227">
        <v>565</v>
      </c>
      <c r="AG120" s="218"/>
      <c r="AH120" s="231">
        <v>175.2</v>
      </c>
      <c r="AI120" s="217">
        <v>55.831269644299297</v>
      </c>
      <c r="AJ120" s="232" t="s">
        <v>53</v>
      </c>
      <c r="AK120" s="239">
        <v>0.88621062927459204</v>
      </c>
      <c r="AL120" s="222">
        <v>-40.683666568751804</v>
      </c>
      <c r="AM120" s="219"/>
      <c r="AN120" s="219"/>
      <c r="AO120" s="227">
        <v>23</v>
      </c>
      <c r="AP120" s="227">
        <v>63</v>
      </c>
      <c r="AQ120" s="218"/>
      <c r="AR120" s="231">
        <v>53.1</v>
      </c>
      <c r="AS120" s="217">
        <v>16.921463573700301</v>
      </c>
      <c r="AT120" s="232" t="s">
        <v>54</v>
      </c>
      <c r="AU120" s="233">
        <v>1.0575914733562699</v>
      </c>
      <c r="AV120" s="234">
        <v>-1.72759785873063</v>
      </c>
      <c r="AW120" s="219">
        <v>8.0000000000000002E-3</v>
      </c>
      <c r="AX120" s="219">
        <v>3.0000000000000001E-3</v>
      </c>
      <c r="AY120" s="227">
        <v>0</v>
      </c>
      <c r="AZ120" s="227">
        <v>8</v>
      </c>
      <c r="BA120" s="218"/>
      <c r="BB120" s="235">
        <v>102.2</v>
      </c>
      <c r="BC120" s="231">
        <v>32.568240625841298</v>
      </c>
      <c r="BD120" s="232" t="s">
        <v>55</v>
      </c>
      <c r="BE120" s="233">
        <v>1.0177575195575399</v>
      </c>
      <c r="BF120" s="234">
        <v>-7.45519571746126</v>
      </c>
      <c r="BG120" s="219">
        <v>1.2E-2</v>
      </c>
      <c r="BH120" s="219">
        <v>2E-3</v>
      </c>
      <c r="BI120" s="227">
        <v>0</v>
      </c>
      <c r="BJ120" s="227">
        <v>19</v>
      </c>
      <c r="BK120" s="220"/>
      <c r="BL120" s="236">
        <v>0.8</v>
      </c>
      <c r="BM120" s="233">
        <v>0.86</v>
      </c>
      <c r="BN120" s="237">
        <v>2.2499999999999998E-3</v>
      </c>
      <c r="BO120" s="238">
        <v>0.95</v>
      </c>
      <c r="BP120" s="229">
        <v>1</v>
      </c>
      <c r="BQ120" s="237">
        <v>2.5000000000000001E-3</v>
      </c>
    </row>
    <row r="121" spans="1:69" s="207" customFormat="1" ht="22.35" customHeight="1" x14ac:dyDescent="0.2">
      <c r="A121" s="216" t="s">
        <v>175</v>
      </c>
      <c r="B121" s="216" t="s">
        <v>176</v>
      </c>
      <c r="C121" s="216" t="s">
        <v>181</v>
      </c>
      <c r="D121" s="217">
        <v>2.9645688838888899</v>
      </c>
      <c r="E121" s="218"/>
      <c r="F121" s="219">
        <v>0.08</v>
      </c>
      <c r="G121" s="219">
        <v>0.08</v>
      </c>
      <c r="H121" s="220"/>
      <c r="I121" s="221">
        <v>7</v>
      </c>
      <c r="J121" s="221">
        <v>7</v>
      </c>
      <c r="K121" s="218"/>
      <c r="L121" s="222">
        <v>789.22523000000001</v>
      </c>
      <c r="M121" s="222">
        <v>-2.3836400000000002</v>
      </c>
      <c r="N121" s="222">
        <v>786.84159</v>
      </c>
      <c r="O121" s="217">
        <v>265.41518204421999</v>
      </c>
      <c r="P121" s="223">
        <v>221.85</v>
      </c>
      <c r="Q121" s="229">
        <v>1.1963722427055199</v>
      </c>
      <c r="R121" s="230">
        <v>68.644539275300801</v>
      </c>
      <c r="S121" s="219">
        <v>0.01</v>
      </c>
      <c r="T121" s="219">
        <v>0.01</v>
      </c>
      <c r="U121" s="226">
        <v>0</v>
      </c>
      <c r="V121" s="227">
        <v>3</v>
      </c>
      <c r="W121" s="218"/>
      <c r="X121" s="226">
        <v>2267.54358</v>
      </c>
      <c r="Y121" s="217">
        <v>764.88139382528402</v>
      </c>
      <c r="Z121" s="228">
        <v>573</v>
      </c>
      <c r="AA121" s="229">
        <v>1.3348715424524999</v>
      </c>
      <c r="AB121" s="230">
        <v>412.56539624857902</v>
      </c>
      <c r="AC121" s="219">
        <v>0.02</v>
      </c>
      <c r="AD121" s="219">
        <v>0.02</v>
      </c>
      <c r="AE121" s="227">
        <v>0</v>
      </c>
      <c r="AF121" s="227">
        <v>0</v>
      </c>
      <c r="AG121" s="218"/>
      <c r="AH121" s="231">
        <v>264.39999999999998</v>
      </c>
      <c r="AI121" s="217">
        <v>89.186660980251204</v>
      </c>
      <c r="AJ121" s="232" t="s">
        <v>53</v>
      </c>
      <c r="AK121" s="229">
        <v>1.4156612854008099</v>
      </c>
      <c r="AL121" s="230">
        <v>60.449519063979899</v>
      </c>
      <c r="AM121" s="219">
        <v>0.02</v>
      </c>
      <c r="AN121" s="219">
        <v>0.02</v>
      </c>
      <c r="AO121" s="227">
        <v>0</v>
      </c>
      <c r="AP121" s="227">
        <v>0</v>
      </c>
      <c r="AQ121" s="218"/>
      <c r="AR121" s="231">
        <v>69.5</v>
      </c>
      <c r="AS121" s="217">
        <v>23.4435436389087</v>
      </c>
      <c r="AT121" s="232" t="s">
        <v>54</v>
      </c>
      <c r="AU121" s="229">
        <v>1.46522147743179</v>
      </c>
      <c r="AV121" s="230">
        <v>17.7030524606933</v>
      </c>
      <c r="AW121" s="219">
        <v>0.01</v>
      </c>
      <c r="AX121" s="219">
        <v>0.01</v>
      </c>
      <c r="AY121" s="227">
        <v>0</v>
      </c>
      <c r="AZ121" s="227">
        <v>0</v>
      </c>
      <c r="BA121" s="218"/>
      <c r="BB121" s="235">
        <v>189</v>
      </c>
      <c r="BC121" s="231">
        <v>63.7529460108452</v>
      </c>
      <c r="BD121" s="232" t="s">
        <v>55</v>
      </c>
      <c r="BE121" s="229">
        <v>1.9922795628389101</v>
      </c>
      <c r="BF121" s="230">
        <v>85.4061049213866</v>
      </c>
      <c r="BG121" s="219">
        <v>0.02</v>
      </c>
      <c r="BH121" s="219">
        <v>0.02</v>
      </c>
      <c r="BI121" s="227">
        <v>0</v>
      </c>
      <c r="BJ121" s="227">
        <v>0</v>
      </c>
      <c r="BK121" s="220"/>
      <c r="BL121" s="236">
        <v>0.8</v>
      </c>
      <c r="BM121" s="233">
        <v>0.86</v>
      </c>
      <c r="BN121" s="237">
        <v>2.2499999999999998E-3</v>
      </c>
      <c r="BO121" s="238">
        <v>0.95</v>
      </c>
      <c r="BP121" s="229">
        <v>1</v>
      </c>
      <c r="BQ121" s="237">
        <v>2.5000000000000001E-3</v>
      </c>
    </row>
    <row r="122" spans="1:69" s="207" customFormat="1" ht="22.35" customHeight="1" x14ac:dyDescent="0.2">
      <c r="A122" s="216" t="s">
        <v>175</v>
      </c>
      <c r="B122" s="216" t="s">
        <v>176</v>
      </c>
      <c r="C122" s="216" t="s">
        <v>182</v>
      </c>
      <c r="D122" s="217">
        <v>3.25939735288889</v>
      </c>
      <c r="E122" s="218"/>
      <c r="F122" s="219">
        <v>0.03</v>
      </c>
      <c r="G122" s="219">
        <v>2.8000000000000001E-2</v>
      </c>
      <c r="H122" s="220"/>
      <c r="I122" s="221">
        <v>3</v>
      </c>
      <c r="J122" s="221">
        <v>3</v>
      </c>
      <c r="K122" s="218"/>
      <c r="L122" s="222">
        <v>790.63486999999998</v>
      </c>
      <c r="M122" s="222">
        <v>519.15446999999995</v>
      </c>
      <c r="N122" s="222">
        <v>1309.78934</v>
      </c>
      <c r="O122" s="217">
        <v>401.850157618585</v>
      </c>
      <c r="P122" s="223">
        <v>225.95400000000001</v>
      </c>
      <c r="Q122" s="229">
        <v>1.7784600299998501</v>
      </c>
      <c r="R122" s="230">
        <v>505.55987453367499</v>
      </c>
      <c r="S122" s="219">
        <v>0.01</v>
      </c>
      <c r="T122" s="219">
        <v>0.01</v>
      </c>
      <c r="U122" s="226">
        <v>0</v>
      </c>
      <c r="V122" s="227">
        <v>0</v>
      </c>
      <c r="W122" s="218"/>
      <c r="X122" s="226">
        <v>1684.8502100000001</v>
      </c>
      <c r="Y122" s="217">
        <v>516.92077632285998</v>
      </c>
      <c r="Z122" s="228">
        <v>573</v>
      </c>
      <c r="AA122" s="239">
        <v>0.90213049969085501</v>
      </c>
      <c r="AB122" s="222">
        <v>-354.60686406022501</v>
      </c>
      <c r="AC122" s="219"/>
      <c r="AD122" s="219"/>
      <c r="AE122" s="227">
        <v>183</v>
      </c>
      <c r="AF122" s="227">
        <v>557</v>
      </c>
      <c r="AG122" s="218"/>
      <c r="AH122" s="231">
        <v>171.75</v>
      </c>
      <c r="AI122" s="217">
        <v>52.693790110547098</v>
      </c>
      <c r="AJ122" s="232" t="s">
        <v>53</v>
      </c>
      <c r="AK122" s="239">
        <v>0.83640936683408096</v>
      </c>
      <c r="AL122" s="222">
        <v>-52.4835002893441</v>
      </c>
      <c r="AM122" s="219"/>
      <c r="AN122" s="219"/>
      <c r="AO122" s="227">
        <v>34</v>
      </c>
      <c r="AP122" s="227">
        <v>75</v>
      </c>
      <c r="AQ122" s="218"/>
      <c r="AR122" s="231">
        <v>29.1</v>
      </c>
      <c r="AS122" s="217">
        <v>8.9280308134900803</v>
      </c>
      <c r="AT122" s="232" t="s">
        <v>54</v>
      </c>
      <c r="AU122" s="224">
        <v>0.55800192584313002</v>
      </c>
      <c r="AV122" s="225">
        <v>-27.848190549674701</v>
      </c>
      <c r="AW122" s="219"/>
      <c r="AX122" s="219"/>
      <c r="AY122" s="227">
        <v>24</v>
      </c>
      <c r="AZ122" s="227">
        <v>34</v>
      </c>
      <c r="BA122" s="218"/>
      <c r="BB122" s="235">
        <v>123</v>
      </c>
      <c r="BC122" s="231">
        <v>37.737037459081797</v>
      </c>
      <c r="BD122" s="232" t="s">
        <v>55</v>
      </c>
      <c r="BE122" s="229">
        <v>1.1792824205963099</v>
      </c>
      <c r="BF122" s="230">
        <v>9.1036189006506198</v>
      </c>
      <c r="BG122" s="219">
        <v>0.02</v>
      </c>
      <c r="BH122" s="219">
        <v>1.7999999999999999E-2</v>
      </c>
      <c r="BI122" s="227">
        <v>0</v>
      </c>
      <c r="BJ122" s="227">
        <v>3</v>
      </c>
      <c r="BK122" s="220"/>
      <c r="BL122" s="236">
        <v>0.8</v>
      </c>
      <c r="BM122" s="239">
        <v>0.78</v>
      </c>
      <c r="BN122" s="237"/>
      <c r="BO122" s="238">
        <v>0.95</v>
      </c>
      <c r="BP122" s="229">
        <v>1</v>
      </c>
      <c r="BQ122" s="237">
        <v>2.5000000000000001E-3</v>
      </c>
    </row>
    <row r="123" spans="1:69" s="207" customFormat="1" ht="22.35" customHeight="1" x14ac:dyDescent="0.2">
      <c r="A123" s="216" t="s">
        <v>175</v>
      </c>
      <c r="B123" s="216" t="s">
        <v>176</v>
      </c>
      <c r="C123" s="216" t="s">
        <v>183</v>
      </c>
      <c r="D123" s="217">
        <v>2.4762819977777801</v>
      </c>
      <c r="E123" s="218"/>
      <c r="F123" s="219">
        <v>0.02</v>
      </c>
      <c r="G123" s="219">
        <v>0.01</v>
      </c>
      <c r="H123" s="220"/>
      <c r="I123" s="221">
        <v>5</v>
      </c>
      <c r="J123" s="221">
        <v>3</v>
      </c>
      <c r="K123" s="218"/>
      <c r="L123" s="222">
        <v>208.34438</v>
      </c>
      <c r="M123" s="222">
        <v>1798.81573</v>
      </c>
      <c r="N123" s="222">
        <v>2007.16011</v>
      </c>
      <c r="O123" s="217">
        <v>810.553931984011</v>
      </c>
      <c r="P123" s="223">
        <v>224.404</v>
      </c>
      <c r="Q123" s="229">
        <v>3.6120297854940699</v>
      </c>
      <c r="R123" s="230">
        <v>1400.34926671118</v>
      </c>
      <c r="S123" s="219">
        <v>0.01</v>
      </c>
      <c r="T123" s="219">
        <v>0.01</v>
      </c>
      <c r="U123" s="226">
        <v>0</v>
      </c>
      <c r="V123" s="227">
        <v>0</v>
      </c>
      <c r="W123" s="218"/>
      <c r="X123" s="226">
        <v>1037.87886</v>
      </c>
      <c r="Y123" s="217">
        <v>419.12789453357698</v>
      </c>
      <c r="Z123" s="228">
        <v>573</v>
      </c>
      <c r="AA123" s="239">
        <v>0.73146229412491603</v>
      </c>
      <c r="AB123" s="222">
        <v>-511.57040652152102</v>
      </c>
      <c r="AC123" s="219"/>
      <c r="AD123" s="219"/>
      <c r="AE123" s="227">
        <v>382</v>
      </c>
      <c r="AF123" s="227">
        <v>665</v>
      </c>
      <c r="AG123" s="218"/>
      <c r="AH123" s="231">
        <v>144.25</v>
      </c>
      <c r="AI123" s="217">
        <v>58.252654636850899</v>
      </c>
      <c r="AJ123" s="232" t="s">
        <v>53</v>
      </c>
      <c r="AK123" s="233">
        <v>0.92464531169604502</v>
      </c>
      <c r="AL123" s="234">
        <v>-26.1082963191202</v>
      </c>
      <c r="AM123" s="219">
        <v>2E-3</v>
      </c>
      <c r="AN123" s="219"/>
      <c r="AO123" s="227">
        <v>12</v>
      </c>
      <c r="AP123" s="227">
        <v>43</v>
      </c>
      <c r="AQ123" s="218"/>
      <c r="AR123" s="231">
        <v>27.9</v>
      </c>
      <c r="AS123" s="217">
        <v>11.2668912607843</v>
      </c>
      <c r="AT123" s="232" t="s">
        <v>54</v>
      </c>
      <c r="AU123" s="224">
        <v>0.70418070379901998</v>
      </c>
      <c r="AV123" s="225">
        <v>-15.3655990651734</v>
      </c>
      <c r="AW123" s="219"/>
      <c r="AX123" s="219"/>
      <c r="AY123" s="227">
        <v>12</v>
      </c>
      <c r="AZ123" s="227">
        <v>20</v>
      </c>
      <c r="BA123" s="218"/>
      <c r="BB123" s="235">
        <v>78.2</v>
      </c>
      <c r="BC123" s="231">
        <v>31.579602028434898</v>
      </c>
      <c r="BD123" s="232" t="s">
        <v>55</v>
      </c>
      <c r="BE123" s="233">
        <v>0.98686256338859102</v>
      </c>
      <c r="BF123" s="234">
        <v>-8.3311981303467508</v>
      </c>
      <c r="BG123" s="219">
        <v>8.0000000000000002E-3</v>
      </c>
      <c r="BH123" s="219"/>
      <c r="BI123" s="227">
        <v>2</v>
      </c>
      <c r="BJ123" s="227">
        <v>17</v>
      </c>
      <c r="BK123" s="220"/>
      <c r="BL123" s="236">
        <v>0.8</v>
      </c>
      <c r="BM123" s="233">
        <v>0.84</v>
      </c>
      <c r="BN123" s="237">
        <v>1.5E-3</v>
      </c>
      <c r="BO123" s="238">
        <v>0.95</v>
      </c>
      <c r="BP123" s="229">
        <v>1</v>
      </c>
      <c r="BQ123" s="237">
        <v>2.5000000000000001E-3</v>
      </c>
    </row>
    <row r="124" spans="1:69" s="207" customFormat="1" ht="22.35" customHeight="1" x14ac:dyDescent="0.2">
      <c r="A124" s="216" t="s">
        <v>175</v>
      </c>
      <c r="B124" s="216" t="s">
        <v>176</v>
      </c>
      <c r="C124" s="216" t="s">
        <v>184</v>
      </c>
      <c r="D124" s="217">
        <v>6.49187964211111</v>
      </c>
      <c r="E124" s="218"/>
      <c r="F124" s="219">
        <v>1.6E-2</v>
      </c>
      <c r="G124" s="219"/>
      <c r="H124" s="220"/>
      <c r="I124" s="221">
        <v>3</v>
      </c>
      <c r="J124" s="221">
        <v>1</v>
      </c>
      <c r="K124" s="218"/>
      <c r="L124" s="222">
        <v>1658.9607800000001</v>
      </c>
      <c r="M124" s="222">
        <v>-1437.8832399999999</v>
      </c>
      <c r="N124" s="222">
        <v>221.07754</v>
      </c>
      <c r="O124" s="217">
        <v>34.054473001305901</v>
      </c>
      <c r="P124" s="223">
        <v>272.23099999999999</v>
      </c>
      <c r="Q124" s="224">
        <v>0.12509403044218301</v>
      </c>
      <c r="R124" s="225">
        <v>-1708.8041084418901</v>
      </c>
      <c r="S124" s="219"/>
      <c r="T124" s="219"/>
      <c r="U124" s="226">
        <v>1547</v>
      </c>
      <c r="V124" s="227">
        <v>1900</v>
      </c>
      <c r="W124" s="218"/>
      <c r="X124" s="226">
        <v>3625.1861549999999</v>
      </c>
      <c r="Y124" s="217">
        <v>558.41857133092401</v>
      </c>
      <c r="Z124" s="228">
        <v>573</v>
      </c>
      <c r="AA124" s="233">
        <v>0.97455248050772203</v>
      </c>
      <c r="AB124" s="234">
        <v>-436.88680714319599</v>
      </c>
      <c r="AC124" s="219">
        <v>7.0000000000000001E-3</v>
      </c>
      <c r="AD124" s="219"/>
      <c r="AE124" s="227">
        <v>95</v>
      </c>
      <c r="AF124" s="227">
        <v>839</v>
      </c>
      <c r="AG124" s="218"/>
      <c r="AH124" s="231">
        <v>224.4</v>
      </c>
      <c r="AI124" s="217">
        <v>34.5662600619359</v>
      </c>
      <c r="AJ124" s="232" t="s">
        <v>53</v>
      </c>
      <c r="AK124" s="224">
        <v>0.548670794633903</v>
      </c>
      <c r="AL124" s="225">
        <v>-222.215351858676</v>
      </c>
      <c r="AM124" s="219"/>
      <c r="AN124" s="219"/>
      <c r="AO124" s="227">
        <v>185</v>
      </c>
      <c r="AP124" s="227">
        <v>267</v>
      </c>
      <c r="AQ124" s="218"/>
      <c r="AR124" s="231">
        <v>51.8</v>
      </c>
      <c r="AS124" s="217">
        <v>7.9791990695556096</v>
      </c>
      <c r="AT124" s="232" t="s">
        <v>54</v>
      </c>
      <c r="AU124" s="224">
        <v>0.49869994184722599</v>
      </c>
      <c r="AV124" s="225">
        <v>-61.6261211069653</v>
      </c>
      <c r="AW124" s="219"/>
      <c r="AX124" s="219"/>
      <c r="AY124" s="227">
        <v>53</v>
      </c>
      <c r="AZ124" s="227">
        <v>73</v>
      </c>
      <c r="BA124" s="218"/>
      <c r="BB124" s="235">
        <v>206.6</v>
      </c>
      <c r="BC124" s="231">
        <v>31.824373122976599</v>
      </c>
      <c r="BD124" s="232" t="s">
        <v>55</v>
      </c>
      <c r="BE124" s="233">
        <v>0.99451166009301994</v>
      </c>
      <c r="BF124" s="234">
        <v>-20.2522422139307</v>
      </c>
      <c r="BG124" s="219">
        <v>8.9999999999999993E-3</v>
      </c>
      <c r="BH124" s="219"/>
      <c r="BI124" s="227">
        <v>2</v>
      </c>
      <c r="BJ124" s="227">
        <v>43</v>
      </c>
      <c r="BK124" s="220"/>
      <c r="BL124" s="236">
        <v>0.8</v>
      </c>
      <c r="BM124" s="239">
        <v>0.79</v>
      </c>
      <c r="BN124" s="237"/>
      <c r="BO124" s="238">
        <v>0.95</v>
      </c>
      <c r="BP124" s="229">
        <v>1</v>
      </c>
      <c r="BQ124" s="237">
        <v>2.5000000000000001E-3</v>
      </c>
    </row>
    <row r="125" spans="1:69" s="207" customFormat="1" ht="22.35" customHeight="1" x14ac:dyDescent="0.2">
      <c r="A125" s="216" t="s">
        <v>175</v>
      </c>
      <c r="B125" s="216" t="s">
        <v>176</v>
      </c>
      <c r="C125" s="216" t="s">
        <v>185</v>
      </c>
      <c r="D125" s="217">
        <v>2.7823128829999999</v>
      </c>
      <c r="E125" s="218"/>
      <c r="F125" s="219">
        <v>0.03</v>
      </c>
      <c r="G125" s="219">
        <v>2.3E-2</v>
      </c>
      <c r="H125" s="220"/>
      <c r="I125" s="221">
        <v>4</v>
      </c>
      <c r="J125" s="221">
        <v>4</v>
      </c>
      <c r="K125" s="218"/>
      <c r="L125" s="222">
        <v>1048.1140499999999</v>
      </c>
      <c r="M125" s="222">
        <v>769.87869999999998</v>
      </c>
      <c r="N125" s="222">
        <v>1817.9927499999999</v>
      </c>
      <c r="O125" s="217">
        <v>653.410607091668</v>
      </c>
      <c r="P125" s="223">
        <v>278.23599999999999</v>
      </c>
      <c r="Q125" s="229">
        <v>2.3484042578662301</v>
      </c>
      <c r="R125" s="230">
        <v>972.63229881268796</v>
      </c>
      <c r="S125" s="219">
        <v>0.01</v>
      </c>
      <c r="T125" s="219">
        <v>0.01</v>
      </c>
      <c r="U125" s="226">
        <v>0</v>
      </c>
      <c r="V125" s="227">
        <v>0</v>
      </c>
      <c r="W125" s="218"/>
      <c r="X125" s="226">
        <v>1257.339655</v>
      </c>
      <c r="Y125" s="217">
        <v>451.904479428743</v>
      </c>
      <c r="Z125" s="228">
        <v>573</v>
      </c>
      <c r="AA125" s="239">
        <v>0.78866401296464705</v>
      </c>
      <c r="AB125" s="222">
        <v>-483.59803289922797</v>
      </c>
      <c r="AC125" s="219"/>
      <c r="AD125" s="219"/>
      <c r="AE125" s="227">
        <v>337</v>
      </c>
      <c r="AF125" s="227">
        <v>656</v>
      </c>
      <c r="AG125" s="218"/>
      <c r="AH125" s="231">
        <v>133.85</v>
      </c>
      <c r="AI125" s="217">
        <v>48.107457941853603</v>
      </c>
      <c r="AJ125" s="232" t="s">
        <v>53</v>
      </c>
      <c r="AK125" s="239">
        <v>0.76361044352148599</v>
      </c>
      <c r="AL125" s="222">
        <v>-57.561997098867998</v>
      </c>
      <c r="AM125" s="219"/>
      <c r="AN125" s="219"/>
      <c r="AO125" s="227">
        <v>42</v>
      </c>
      <c r="AP125" s="227">
        <v>77</v>
      </c>
      <c r="AQ125" s="218"/>
      <c r="AR125" s="231">
        <v>19.100000000000001</v>
      </c>
      <c r="AS125" s="217">
        <v>6.8647922800851999</v>
      </c>
      <c r="AT125" s="232" t="s">
        <v>54</v>
      </c>
      <c r="AU125" s="224">
        <v>0.429049517505325</v>
      </c>
      <c r="AV125" s="225">
        <v>-29.512570691775998</v>
      </c>
      <c r="AW125" s="219"/>
      <c r="AX125" s="219"/>
      <c r="AY125" s="227">
        <v>26</v>
      </c>
      <c r="AZ125" s="227">
        <v>35</v>
      </c>
      <c r="BA125" s="218"/>
      <c r="BB125" s="235">
        <v>101</v>
      </c>
      <c r="BC125" s="231">
        <v>36.3007340465238</v>
      </c>
      <c r="BD125" s="232" t="s">
        <v>55</v>
      </c>
      <c r="BE125" s="229">
        <v>1.1343979389538701</v>
      </c>
      <c r="BF125" s="230">
        <v>3.77485861644799</v>
      </c>
      <c r="BG125" s="219">
        <v>0.02</v>
      </c>
      <c r="BH125" s="219">
        <v>1.2999999999999999E-2</v>
      </c>
      <c r="BI125" s="227">
        <v>0</v>
      </c>
      <c r="BJ125" s="227">
        <v>6</v>
      </c>
      <c r="BK125" s="220"/>
      <c r="BL125" s="236">
        <v>0.8</v>
      </c>
      <c r="BM125" s="233">
        <v>0.84</v>
      </c>
      <c r="BN125" s="237">
        <v>1.5E-3</v>
      </c>
      <c r="BO125" s="238">
        <v>0.95</v>
      </c>
      <c r="BP125" s="229">
        <v>1</v>
      </c>
      <c r="BQ125" s="237">
        <v>2.5000000000000001E-3</v>
      </c>
    </row>
    <row r="126" spans="1:69" s="207" customFormat="1" ht="22.35" customHeight="1" x14ac:dyDescent="0.2">
      <c r="A126" s="216" t="s">
        <v>175</v>
      </c>
      <c r="B126" s="216" t="s">
        <v>176</v>
      </c>
      <c r="C126" s="216" t="s">
        <v>186</v>
      </c>
      <c r="D126" s="217">
        <v>6.3293904736666704</v>
      </c>
      <c r="E126" s="218"/>
      <c r="F126" s="219">
        <v>2.5999999999999999E-2</v>
      </c>
      <c r="G126" s="219">
        <v>1.4999999999999999E-2</v>
      </c>
      <c r="H126" s="220"/>
      <c r="I126" s="221">
        <v>3</v>
      </c>
      <c r="J126" s="221">
        <v>3</v>
      </c>
      <c r="K126" s="218"/>
      <c r="L126" s="222">
        <v>2477.6832899999999</v>
      </c>
      <c r="M126" s="222">
        <v>1330.3958299999999</v>
      </c>
      <c r="N126" s="222">
        <v>3808.0791199999999</v>
      </c>
      <c r="O126" s="217">
        <v>601.65021195065401</v>
      </c>
      <c r="P126" s="223">
        <v>213.245</v>
      </c>
      <c r="Q126" s="229">
        <v>2.8214036059492802</v>
      </c>
      <c r="R126" s="230">
        <v>2334.1948482596999</v>
      </c>
      <c r="S126" s="219">
        <v>0.01</v>
      </c>
      <c r="T126" s="219">
        <v>0.01</v>
      </c>
      <c r="U126" s="226">
        <v>0</v>
      </c>
      <c r="V126" s="227">
        <v>0</v>
      </c>
      <c r="W126" s="218"/>
      <c r="X126" s="226">
        <v>2979.1891049999999</v>
      </c>
      <c r="Y126" s="217">
        <v>470.69131180875502</v>
      </c>
      <c r="Z126" s="228">
        <v>573</v>
      </c>
      <c r="AA126" s="239">
        <v>0.82145080594896103</v>
      </c>
      <c r="AB126" s="222">
        <v>-981.211784620814</v>
      </c>
      <c r="AC126" s="219"/>
      <c r="AD126" s="219"/>
      <c r="AE126" s="227">
        <v>648</v>
      </c>
      <c r="AF126" s="227">
        <v>1373</v>
      </c>
      <c r="AG126" s="218"/>
      <c r="AH126" s="231">
        <v>251</v>
      </c>
      <c r="AI126" s="217">
        <v>39.656267225774997</v>
      </c>
      <c r="AJ126" s="232" t="s">
        <v>53</v>
      </c>
      <c r="AK126" s="224">
        <v>0.62946455913928601</v>
      </c>
      <c r="AL126" s="225">
        <v>-184.43674702637199</v>
      </c>
      <c r="AM126" s="219"/>
      <c r="AN126" s="219"/>
      <c r="AO126" s="227">
        <v>148</v>
      </c>
      <c r="AP126" s="227">
        <v>228</v>
      </c>
      <c r="AQ126" s="218"/>
      <c r="AR126" s="231">
        <v>83.9</v>
      </c>
      <c r="AS126" s="217">
        <v>13.255620797779001</v>
      </c>
      <c r="AT126" s="232" t="s">
        <v>54</v>
      </c>
      <c r="AU126" s="239">
        <v>0.82847629986118598</v>
      </c>
      <c r="AV126" s="222">
        <v>-26.6871103559041</v>
      </c>
      <c r="AW126" s="219"/>
      <c r="AX126" s="219"/>
      <c r="AY126" s="227">
        <v>18</v>
      </c>
      <c r="AZ126" s="227">
        <v>38</v>
      </c>
      <c r="BA126" s="218"/>
      <c r="BB126" s="235">
        <v>213.6</v>
      </c>
      <c r="BC126" s="231">
        <v>33.747325416038002</v>
      </c>
      <c r="BD126" s="232" t="s">
        <v>55</v>
      </c>
      <c r="BE126" s="233">
        <v>1.05460391925119</v>
      </c>
      <c r="BF126" s="234">
        <v>-7.5742207118081204</v>
      </c>
      <c r="BG126" s="219">
        <v>1.6E-2</v>
      </c>
      <c r="BH126" s="219">
        <v>5.0000000000000001E-3</v>
      </c>
      <c r="BI126" s="227">
        <v>0</v>
      </c>
      <c r="BJ126" s="227">
        <v>30</v>
      </c>
      <c r="BK126" s="220"/>
      <c r="BL126" s="236">
        <v>0.8</v>
      </c>
      <c r="BM126" s="239">
        <v>0.74</v>
      </c>
      <c r="BN126" s="237"/>
      <c r="BO126" s="238">
        <v>0.95</v>
      </c>
      <c r="BP126" s="229">
        <v>1</v>
      </c>
      <c r="BQ126" s="237">
        <v>2.5000000000000001E-3</v>
      </c>
    </row>
    <row r="127" spans="1:69" s="207" customFormat="1" ht="22.35" customHeight="1" x14ac:dyDescent="0.2">
      <c r="A127" s="216" t="s">
        <v>175</v>
      </c>
      <c r="B127" s="216" t="s">
        <v>187</v>
      </c>
      <c r="C127" s="216" t="s">
        <v>188</v>
      </c>
      <c r="D127" s="217">
        <v>2.9213564213333298</v>
      </c>
      <c r="E127" s="218"/>
      <c r="F127" s="219">
        <v>0.06</v>
      </c>
      <c r="G127" s="219">
        <v>4.7E-2</v>
      </c>
      <c r="H127" s="220"/>
      <c r="I127" s="221">
        <v>6</v>
      </c>
      <c r="J127" s="221">
        <v>5</v>
      </c>
      <c r="K127" s="218"/>
      <c r="L127" s="222">
        <v>1205.29936</v>
      </c>
      <c r="M127" s="222">
        <v>1218.6614999999999</v>
      </c>
      <c r="N127" s="222">
        <v>2423.9608600000001</v>
      </c>
      <c r="O127" s="217">
        <v>829.73814571166997</v>
      </c>
      <c r="P127" s="223">
        <v>212.5</v>
      </c>
      <c r="Q127" s="229">
        <v>3.9046500974666798</v>
      </c>
      <c r="R127" s="230">
        <v>1746.0601024296</v>
      </c>
      <c r="S127" s="219">
        <v>0.01</v>
      </c>
      <c r="T127" s="219">
        <v>0.01</v>
      </c>
      <c r="U127" s="226">
        <v>0</v>
      </c>
      <c r="V127" s="227">
        <v>0</v>
      </c>
      <c r="W127" s="218"/>
      <c r="X127" s="226">
        <v>1965.5979</v>
      </c>
      <c r="Y127" s="217">
        <v>672.83741403347301</v>
      </c>
      <c r="Z127" s="228">
        <v>573</v>
      </c>
      <c r="AA127" s="229">
        <v>1.1742363246657499</v>
      </c>
      <c r="AB127" s="230">
        <v>137.65844546899399</v>
      </c>
      <c r="AC127" s="219">
        <v>0.02</v>
      </c>
      <c r="AD127" s="219">
        <v>1.7000000000000001E-2</v>
      </c>
      <c r="AE127" s="227">
        <v>0</v>
      </c>
      <c r="AF127" s="227">
        <v>44</v>
      </c>
      <c r="AG127" s="218"/>
      <c r="AH127" s="231">
        <v>183.5</v>
      </c>
      <c r="AI127" s="217">
        <v>62.813287231911602</v>
      </c>
      <c r="AJ127" s="232" t="s">
        <v>53</v>
      </c>
      <c r="AK127" s="233">
        <v>0.99703630526843801</v>
      </c>
      <c r="AL127" s="234">
        <v>-17.4776363620478</v>
      </c>
      <c r="AM127" s="219">
        <v>0.01</v>
      </c>
      <c r="AN127" s="219">
        <v>0</v>
      </c>
      <c r="AO127" s="227">
        <v>1</v>
      </c>
      <c r="AP127" s="227">
        <v>38</v>
      </c>
      <c r="AQ127" s="218"/>
      <c r="AR127" s="231">
        <v>17.399999999999999</v>
      </c>
      <c r="AS127" s="217">
        <v>5.9561373179033303</v>
      </c>
      <c r="AT127" s="232" t="s">
        <v>54</v>
      </c>
      <c r="AU127" s="224">
        <v>0.37225858236895798</v>
      </c>
      <c r="AV127" s="225">
        <v>-33.6419393935359</v>
      </c>
      <c r="AW127" s="219"/>
      <c r="AX127" s="219"/>
      <c r="AY127" s="227">
        <v>30</v>
      </c>
      <c r="AZ127" s="227">
        <v>39</v>
      </c>
      <c r="BA127" s="218"/>
      <c r="BB127" s="235">
        <v>125.4</v>
      </c>
      <c r="BC127" s="231">
        <v>42.925265497993003</v>
      </c>
      <c r="BD127" s="232" t="s">
        <v>55</v>
      </c>
      <c r="BE127" s="229">
        <v>1.34141454681228</v>
      </c>
      <c r="BF127" s="230">
        <v>23.316121212928099</v>
      </c>
      <c r="BG127" s="219">
        <v>0.02</v>
      </c>
      <c r="BH127" s="219">
        <v>0.02</v>
      </c>
      <c r="BI127" s="227">
        <v>0</v>
      </c>
      <c r="BJ127" s="227">
        <v>0</v>
      </c>
      <c r="BK127" s="220"/>
      <c r="BL127" s="236">
        <v>0.8</v>
      </c>
      <c r="BM127" s="233">
        <v>0.85</v>
      </c>
      <c r="BN127" s="237">
        <v>1.8749999999999999E-3</v>
      </c>
      <c r="BO127" s="238">
        <v>0.95</v>
      </c>
      <c r="BP127" s="229">
        <v>1</v>
      </c>
      <c r="BQ127" s="237">
        <v>2.5000000000000001E-3</v>
      </c>
    </row>
    <row r="128" spans="1:69" s="207" customFormat="1" ht="22.35" customHeight="1" x14ac:dyDescent="0.2">
      <c r="A128" s="216" t="s">
        <v>175</v>
      </c>
      <c r="B128" s="216" t="s">
        <v>187</v>
      </c>
      <c r="C128" s="216" t="s">
        <v>189</v>
      </c>
      <c r="D128" s="217">
        <v>8.5281722426666704</v>
      </c>
      <c r="E128" s="218"/>
      <c r="F128" s="219">
        <v>0.04</v>
      </c>
      <c r="G128" s="219">
        <v>0.04</v>
      </c>
      <c r="H128" s="220"/>
      <c r="I128" s="221">
        <v>4</v>
      </c>
      <c r="J128" s="221">
        <v>4</v>
      </c>
      <c r="K128" s="218"/>
      <c r="L128" s="222">
        <v>8846.2306599999993</v>
      </c>
      <c r="M128" s="222">
        <v>2797.3481900000002</v>
      </c>
      <c r="N128" s="222">
        <v>11643.57885</v>
      </c>
      <c r="O128" s="217">
        <v>1365.30765546067</v>
      </c>
      <c r="P128" s="223">
        <v>246.12100000000001</v>
      </c>
      <c r="Q128" s="229">
        <v>5.5473025684954598</v>
      </c>
      <c r="R128" s="230">
        <v>9351.5120396532002</v>
      </c>
      <c r="S128" s="219">
        <v>0.01</v>
      </c>
      <c r="T128" s="219">
        <v>0.01</v>
      </c>
      <c r="U128" s="226">
        <v>0</v>
      </c>
      <c r="V128" s="227">
        <v>0</v>
      </c>
      <c r="W128" s="218"/>
      <c r="X128" s="226">
        <v>4201.0185750000001</v>
      </c>
      <c r="Y128" s="217">
        <v>492.60479918337001</v>
      </c>
      <c r="Z128" s="228">
        <v>573</v>
      </c>
      <c r="AA128" s="239">
        <v>0.859694239412512</v>
      </c>
      <c r="AB128" s="222">
        <v>-1135.19524799242</v>
      </c>
      <c r="AC128" s="219"/>
      <c r="AD128" s="219"/>
      <c r="AE128" s="227">
        <v>686</v>
      </c>
      <c r="AF128" s="227">
        <v>1663</v>
      </c>
      <c r="AG128" s="218"/>
      <c r="AH128" s="231">
        <v>364.55</v>
      </c>
      <c r="AI128" s="217">
        <v>42.746556897167999</v>
      </c>
      <c r="AJ128" s="232" t="s">
        <v>53</v>
      </c>
      <c r="AK128" s="224">
        <v>0.67851677614552497</v>
      </c>
      <c r="AL128" s="225">
        <v>-222.15413760649599</v>
      </c>
      <c r="AM128" s="219"/>
      <c r="AN128" s="219"/>
      <c r="AO128" s="227">
        <v>173</v>
      </c>
      <c r="AP128" s="227">
        <v>281</v>
      </c>
      <c r="AQ128" s="218"/>
      <c r="AR128" s="231">
        <v>188.6</v>
      </c>
      <c r="AS128" s="217">
        <v>22.114937953108999</v>
      </c>
      <c r="AT128" s="232" t="s">
        <v>54</v>
      </c>
      <c r="AU128" s="229">
        <v>1.38218362206931</v>
      </c>
      <c r="AV128" s="230">
        <v>39.595774576127901</v>
      </c>
      <c r="AW128" s="219">
        <v>0.01</v>
      </c>
      <c r="AX128" s="219">
        <v>0.01</v>
      </c>
      <c r="AY128" s="227">
        <v>0</v>
      </c>
      <c r="AZ128" s="227">
        <v>0</v>
      </c>
      <c r="BA128" s="218"/>
      <c r="BB128" s="235">
        <v>405.2</v>
      </c>
      <c r="BC128" s="231">
        <v>47.513111657475001</v>
      </c>
      <c r="BD128" s="232" t="s">
        <v>55</v>
      </c>
      <c r="BE128" s="229">
        <v>1.48478473929609</v>
      </c>
      <c r="BF128" s="230">
        <v>107.191549152256</v>
      </c>
      <c r="BG128" s="219">
        <v>0.02</v>
      </c>
      <c r="BH128" s="219">
        <v>0.02</v>
      </c>
      <c r="BI128" s="227">
        <v>0</v>
      </c>
      <c r="BJ128" s="227">
        <v>0</v>
      </c>
      <c r="BK128" s="220"/>
      <c r="BL128" s="236">
        <v>0.8</v>
      </c>
      <c r="BM128" s="239">
        <v>0.79</v>
      </c>
      <c r="BN128" s="237"/>
      <c r="BO128" s="238">
        <v>0.95</v>
      </c>
      <c r="BP128" s="229">
        <v>1</v>
      </c>
      <c r="BQ128" s="237">
        <v>2.5000000000000001E-3</v>
      </c>
    </row>
    <row r="129" spans="1:69" s="207" customFormat="1" ht="22.35" customHeight="1" x14ac:dyDescent="0.2">
      <c r="A129" s="216" t="s">
        <v>175</v>
      </c>
      <c r="B129" s="216" t="s">
        <v>187</v>
      </c>
      <c r="C129" s="216" t="s">
        <v>187</v>
      </c>
      <c r="D129" s="217">
        <v>4.1541729739999997</v>
      </c>
      <c r="E129" s="218"/>
      <c r="F129" s="219">
        <v>0.08</v>
      </c>
      <c r="G129" s="219">
        <v>7.0000000000000007E-2</v>
      </c>
      <c r="H129" s="220"/>
      <c r="I129" s="221">
        <v>7</v>
      </c>
      <c r="J129" s="221">
        <v>7</v>
      </c>
      <c r="K129" s="218"/>
      <c r="L129" s="222">
        <v>2018.87652</v>
      </c>
      <c r="M129" s="222">
        <v>2670.2712900000001</v>
      </c>
      <c r="N129" s="222">
        <v>4689.1478100000004</v>
      </c>
      <c r="O129" s="217">
        <v>1128.7801060158699</v>
      </c>
      <c r="P129" s="223">
        <v>212.5</v>
      </c>
      <c r="Q129" s="229">
        <v>5.3119063812511502</v>
      </c>
      <c r="R129" s="230">
        <v>3725.1719713832999</v>
      </c>
      <c r="S129" s="219">
        <v>0.01</v>
      </c>
      <c r="T129" s="219">
        <v>0.01</v>
      </c>
      <c r="U129" s="226">
        <v>0</v>
      </c>
      <c r="V129" s="227">
        <v>0</v>
      </c>
      <c r="W129" s="218"/>
      <c r="X129" s="226">
        <v>2772.46371</v>
      </c>
      <c r="Y129" s="217">
        <v>667.39245750049497</v>
      </c>
      <c r="Z129" s="228">
        <v>573</v>
      </c>
      <c r="AA129" s="229">
        <v>1.1647337827233799</v>
      </c>
      <c r="AB129" s="230">
        <v>173.13121340061599</v>
      </c>
      <c r="AC129" s="219">
        <v>0.02</v>
      </c>
      <c r="AD129" s="219">
        <v>1.6E-2</v>
      </c>
      <c r="AE129" s="227">
        <v>0</v>
      </c>
      <c r="AF129" s="227">
        <v>84</v>
      </c>
      <c r="AG129" s="218"/>
      <c r="AH129" s="231">
        <v>299</v>
      </c>
      <c r="AI129" s="217">
        <v>71.975818501389099</v>
      </c>
      <c r="AJ129" s="232" t="s">
        <v>53</v>
      </c>
      <c r="AK129" s="229">
        <v>1.1424733095458599</v>
      </c>
      <c r="AL129" s="230">
        <v>13.2095160806959</v>
      </c>
      <c r="AM129" s="219">
        <v>0.02</v>
      </c>
      <c r="AN129" s="219">
        <v>1.4E-2</v>
      </c>
      <c r="AO129" s="227">
        <v>0</v>
      </c>
      <c r="AP129" s="227">
        <v>16</v>
      </c>
      <c r="AQ129" s="218"/>
      <c r="AR129" s="231">
        <v>101.8</v>
      </c>
      <c r="AS129" s="217">
        <v>24.505479342613398</v>
      </c>
      <c r="AT129" s="232" t="s">
        <v>54</v>
      </c>
      <c r="AU129" s="229">
        <v>1.5315924589133401</v>
      </c>
      <c r="AV129" s="230">
        <v>29.218289798272</v>
      </c>
      <c r="AW129" s="219">
        <v>0.01</v>
      </c>
      <c r="AX129" s="219">
        <v>0.01</v>
      </c>
      <c r="AY129" s="227">
        <v>0</v>
      </c>
      <c r="AZ129" s="227">
        <v>0</v>
      </c>
      <c r="BA129" s="218"/>
      <c r="BB129" s="235">
        <v>229.8</v>
      </c>
      <c r="BC129" s="231">
        <v>55.317869871636198</v>
      </c>
      <c r="BD129" s="232" t="s">
        <v>55</v>
      </c>
      <c r="BE129" s="229">
        <v>1.7286834334886301</v>
      </c>
      <c r="BF129" s="230">
        <v>84.636579596543996</v>
      </c>
      <c r="BG129" s="219">
        <v>0.02</v>
      </c>
      <c r="BH129" s="219">
        <v>0.02</v>
      </c>
      <c r="BI129" s="227">
        <v>0</v>
      </c>
      <c r="BJ129" s="227">
        <v>0</v>
      </c>
      <c r="BK129" s="220"/>
      <c r="BL129" s="236">
        <v>0.8</v>
      </c>
      <c r="BM129" s="233">
        <v>0.82</v>
      </c>
      <c r="BN129" s="237">
        <v>7.5000000000000002E-4</v>
      </c>
      <c r="BO129" s="238">
        <v>0.95</v>
      </c>
      <c r="BP129" s="229">
        <v>1</v>
      </c>
      <c r="BQ129" s="237">
        <v>2.5000000000000001E-3</v>
      </c>
    </row>
    <row r="130" spans="1:69" s="207" customFormat="1" ht="22.35" customHeight="1" x14ac:dyDescent="0.2">
      <c r="A130" s="216" t="s">
        <v>175</v>
      </c>
      <c r="B130" s="216" t="s">
        <v>187</v>
      </c>
      <c r="C130" s="216" t="s">
        <v>190</v>
      </c>
      <c r="D130" s="217">
        <v>3.1974210582222198</v>
      </c>
      <c r="E130" s="218"/>
      <c r="F130" s="219">
        <v>0.03</v>
      </c>
      <c r="G130" s="219">
        <v>2.5999999999999999E-2</v>
      </c>
      <c r="H130" s="220"/>
      <c r="I130" s="221">
        <v>4</v>
      </c>
      <c r="J130" s="221">
        <v>4</v>
      </c>
      <c r="K130" s="218"/>
      <c r="L130" s="222">
        <v>2174.2863600000001</v>
      </c>
      <c r="M130" s="222">
        <v>2783.4766199999999</v>
      </c>
      <c r="N130" s="222">
        <v>4957.7629800000004</v>
      </c>
      <c r="O130" s="217">
        <v>1550.5505498723801</v>
      </c>
      <c r="P130" s="223">
        <v>212.5</v>
      </c>
      <c r="Q130" s="229">
        <v>7.2967084699876699</v>
      </c>
      <c r="R130" s="230">
        <v>4215.8014234395296</v>
      </c>
      <c r="S130" s="219">
        <v>0.01</v>
      </c>
      <c r="T130" s="219">
        <v>0.01</v>
      </c>
      <c r="U130" s="226">
        <v>0</v>
      </c>
      <c r="V130" s="227">
        <v>0</v>
      </c>
      <c r="W130" s="218"/>
      <c r="X130" s="226">
        <v>1278.6325650000001</v>
      </c>
      <c r="Y130" s="217">
        <v>399.89495963066099</v>
      </c>
      <c r="Z130" s="228">
        <v>573</v>
      </c>
      <c r="AA130" s="224">
        <v>0.69789696270621404</v>
      </c>
      <c r="AB130" s="225">
        <v>-722.04494986657505</v>
      </c>
      <c r="AC130" s="219"/>
      <c r="AD130" s="219"/>
      <c r="AE130" s="227">
        <v>554</v>
      </c>
      <c r="AF130" s="227">
        <v>920</v>
      </c>
      <c r="AG130" s="218"/>
      <c r="AH130" s="231">
        <v>112.9</v>
      </c>
      <c r="AI130" s="217">
        <v>35.309706774363001</v>
      </c>
      <c r="AJ130" s="232" t="s">
        <v>53</v>
      </c>
      <c r="AK130" s="224">
        <v>0.56047153610099898</v>
      </c>
      <c r="AL130" s="225">
        <v>-107.06977912145599</v>
      </c>
      <c r="AM130" s="219"/>
      <c r="AN130" s="219"/>
      <c r="AO130" s="227">
        <v>89</v>
      </c>
      <c r="AP130" s="227">
        <v>129</v>
      </c>
      <c r="AQ130" s="218"/>
      <c r="AR130" s="231">
        <v>26</v>
      </c>
      <c r="AS130" s="217">
        <v>8.1315533758497498</v>
      </c>
      <c r="AT130" s="232" t="s">
        <v>54</v>
      </c>
      <c r="AU130" s="224">
        <v>0.50822208599060903</v>
      </c>
      <c r="AV130" s="225">
        <v>-29.865340729258602</v>
      </c>
      <c r="AW130" s="219"/>
      <c r="AX130" s="219"/>
      <c r="AY130" s="227">
        <v>26</v>
      </c>
      <c r="AZ130" s="227">
        <v>36</v>
      </c>
      <c r="BA130" s="218"/>
      <c r="BB130" s="235">
        <v>119</v>
      </c>
      <c r="BC130" s="231">
        <v>37.217494297158503</v>
      </c>
      <c r="BD130" s="232" t="s">
        <v>55</v>
      </c>
      <c r="BE130" s="229">
        <v>1.1630466967862001</v>
      </c>
      <c r="BF130" s="230">
        <v>7.2693185414827504</v>
      </c>
      <c r="BG130" s="219">
        <v>0.02</v>
      </c>
      <c r="BH130" s="219">
        <v>1.6E-2</v>
      </c>
      <c r="BI130" s="227">
        <v>0</v>
      </c>
      <c r="BJ130" s="227">
        <v>4</v>
      </c>
      <c r="BK130" s="220"/>
      <c r="BL130" s="236">
        <v>0.8</v>
      </c>
      <c r="BM130" s="233">
        <v>0.81</v>
      </c>
      <c r="BN130" s="237">
        <v>3.7500000000000001E-4</v>
      </c>
      <c r="BO130" s="238">
        <v>0.95</v>
      </c>
      <c r="BP130" s="229">
        <v>1</v>
      </c>
      <c r="BQ130" s="237">
        <v>2.5000000000000001E-3</v>
      </c>
    </row>
    <row r="131" spans="1:69" s="207" customFormat="1" ht="22.35" customHeight="1" x14ac:dyDescent="0.2">
      <c r="A131" s="216" t="s">
        <v>175</v>
      </c>
      <c r="B131" s="216" t="s">
        <v>187</v>
      </c>
      <c r="C131" s="216" t="s">
        <v>191</v>
      </c>
      <c r="D131" s="217">
        <v>3.6646238142222201</v>
      </c>
      <c r="E131" s="218"/>
      <c r="F131" s="219">
        <v>4.8000000000000001E-2</v>
      </c>
      <c r="G131" s="219">
        <v>2.5999999999999999E-2</v>
      </c>
      <c r="H131" s="220"/>
      <c r="I131" s="221">
        <v>6</v>
      </c>
      <c r="J131" s="221">
        <v>5</v>
      </c>
      <c r="K131" s="218"/>
      <c r="L131" s="222">
        <v>722.55963999999994</v>
      </c>
      <c r="M131" s="222">
        <v>1303.83923</v>
      </c>
      <c r="N131" s="222">
        <v>2026.39887</v>
      </c>
      <c r="O131" s="217">
        <v>552.96231556855798</v>
      </c>
      <c r="P131" s="223">
        <v>212.5</v>
      </c>
      <c r="Q131" s="229">
        <v>2.6021756026755698</v>
      </c>
      <c r="R131" s="230">
        <v>1176.0229139097301</v>
      </c>
      <c r="S131" s="219">
        <v>0.01</v>
      </c>
      <c r="T131" s="219">
        <v>0.01</v>
      </c>
      <c r="U131" s="226">
        <v>0</v>
      </c>
      <c r="V131" s="227">
        <v>0</v>
      </c>
      <c r="W131" s="218"/>
      <c r="X131" s="226">
        <v>1963.9371000000001</v>
      </c>
      <c r="Y131" s="217">
        <v>535.91779117355998</v>
      </c>
      <c r="Z131" s="228">
        <v>573</v>
      </c>
      <c r="AA131" s="233">
        <v>0.93528410326973799</v>
      </c>
      <c r="AB131" s="234">
        <v>-329.07665453986999</v>
      </c>
      <c r="AC131" s="219">
        <v>3.0000000000000001E-3</v>
      </c>
      <c r="AD131" s="219"/>
      <c r="AE131" s="227">
        <v>136</v>
      </c>
      <c r="AF131" s="227">
        <v>556</v>
      </c>
      <c r="AG131" s="218"/>
      <c r="AH131" s="231">
        <v>242.1</v>
      </c>
      <c r="AI131" s="217">
        <v>66.0640797727783</v>
      </c>
      <c r="AJ131" s="232" t="s">
        <v>53</v>
      </c>
      <c r="AK131" s="233">
        <v>1.0486361868695</v>
      </c>
      <c r="AL131" s="234">
        <v>-10.0114599232319</v>
      </c>
      <c r="AM131" s="219">
        <v>1.4999999999999999E-2</v>
      </c>
      <c r="AN131" s="219">
        <v>5.0000000000000001E-3</v>
      </c>
      <c r="AO131" s="227">
        <v>0</v>
      </c>
      <c r="AP131" s="227">
        <v>35</v>
      </c>
      <c r="AQ131" s="218"/>
      <c r="AR131" s="231">
        <v>37.9</v>
      </c>
      <c r="AS131" s="217">
        <v>10.3421256645531</v>
      </c>
      <c r="AT131" s="232" t="s">
        <v>54</v>
      </c>
      <c r="AU131" s="224">
        <v>0.64638285403456597</v>
      </c>
      <c r="AV131" s="225">
        <v>-26.128307282090599</v>
      </c>
      <c r="AW131" s="219"/>
      <c r="AX131" s="219"/>
      <c r="AY131" s="227">
        <v>21</v>
      </c>
      <c r="AZ131" s="227">
        <v>33</v>
      </c>
      <c r="BA131" s="218"/>
      <c r="BB131" s="235">
        <v>130.6</v>
      </c>
      <c r="BC131" s="231">
        <v>35.638037250412403</v>
      </c>
      <c r="BD131" s="232" t="s">
        <v>55</v>
      </c>
      <c r="BE131" s="229">
        <v>1.11368866407539</v>
      </c>
      <c r="BF131" s="230">
        <v>2.5433854358187502</v>
      </c>
      <c r="BG131" s="219">
        <v>0.02</v>
      </c>
      <c r="BH131" s="219">
        <v>1.0999999999999999E-2</v>
      </c>
      <c r="BI131" s="227">
        <v>0</v>
      </c>
      <c r="BJ131" s="227">
        <v>11</v>
      </c>
      <c r="BK131" s="220"/>
      <c r="BL131" s="236">
        <v>0.8</v>
      </c>
      <c r="BM131" s="233">
        <v>0.84</v>
      </c>
      <c r="BN131" s="237">
        <v>1.5E-3</v>
      </c>
      <c r="BO131" s="238">
        <v>0.95</v>
      </c>
      <c r="BP131" s="229">
        <v>1</v>
      </c>
      <c r="BQ131" s="237">
        <v>2.5000000000000001E-3</v>
      </c>
    </row>
    <row r="132" spans="1:69" s="207" customFormat="1" ht="22.35" customHeight="1" x14ac:dyDescent="0.2">
      <c r="A132" s="216" t="s">
        <v>175</v>
      </c>
      <c r="B132" s="216" t="s">
        <v>187</v>
      </c>
      <c r="C132" s="216" t="s">
        <v>192</v>
      </c>
      <c r="D132" s="217">
        <v>2.8205915805555599</v>
      </c>
      <c r="E132" s="218"/>
      <c r="F132" s="219">
        <v>4.3999999999999997E-2</v>
      </c>
      <c r="G132" s="219">
        <v>0.04</v>
      </c>
      <c r="H132" s="220"/>
      <c r="I132" s="221">
        <v>4</v>
      </c>
      <c r="J132" s="221">
        <v>3</v>
      </c>
      <c r="K132" s="218"/>
      <c r="L132" s="222">
        <v>-947.50597000000005</v>
      </c>
      <c r="M132" s="222">
        <v>596.93637999999999</v>
      </c>
      <c r="N132" s="222">
        <v>-350.56959000000001</v>
      </c>
      <c r="O132" s="217">
        <v>-124.289383977722</v>
      </c>
      <c r="P132" s="223">
        <v>212.5</v>
      </c>
      <c r="Q132" s="224">
        <v>-0.58489121871869298</v>
      </c>
      <c r="R132" s="225">
        <v>-1005.08786626792</v>
      </c>
      <c r="S132" s="219"/>
      <c r="T132" s="219"/>
      <c r="U132" s="226">
        <v>950</v>
      </c>
      <c r="V132" s="227">
        <v>1070</v>
      </c>
      <c r="W132" s="218"/>
      <c r="X132" s="226">
        <v>1439.0324450000001</v>
      </c>
      <c r="Y132" s="217">
        <v>510.18816581610901</v>
      </c>
      <c r="Z132" s="228">
        <v>573</v>
      </c>
      <c r="AA132" s="239">
        <v>0.89038074313457205</v>
      </c>
      <c r="AB132" s="222">
        <v>-325.85683641890301</v>
      </c>
      <c r="AC132" s="219"/>
      <c r="AD132" s="219"/>
      <c r="AE132" s="227">
        <v>178</v>
      </c>
      <c r="AF132" s="227">
        <v>501</v>
      </c>
      <c r="AG132" s="218"/>
      <c r="AH132" s="231">
        <v>220.15</v>
      </c>
      <c r="AI132" s="217">
        <v>78.051002320810397</v>
      </c>
      <c r="AJ132" s="232" t="s">
        <v>53</v>
      </c>
      <c r="AK132" s="229">
        <v>1.23890479874302</v>
      </c>
      <c r="AL132" s="230">
        <v>26.104581624099701</v>
      </c>
      <c r="AM132" s="219">
        <v>0.02</v>
      </c>
      <c r="AN132" s="219">
        <v>0.02</v>
      </c>
      <c r="AO132" s="227">
        <v>0</v>
      </c>
      <c r="AP132" s="227">
        <v>0</v>
      </c>
      <c r="AQ132" s="218"/>
      <c r="AR132" s="231">
        <v>44.2</v>
      </c>
      <c r="AS132" s="217">
        <v>15.6704715084252</v>
      </c>
      <c r="AT132" s="232" t="s">
        <v>54</v>
      </c>
      <c r="AU132" s="233">
        <v>0.97940446927657798</v>
      </c>
      <c r="AV132" s="234">
        <v>-5.08137609546674</v>
      </c>
      <c r="AW132" s="219">
        <v>4.0000000000000001E-3</v>
      </c>
      <c r="AX132" s="219"/>
      <c r="AY132" s="227">
        <v>1</v>
      </c>
      <c r="AZ132" s="227">
        <v>10</v>
      </c>
      <c r="BA132" s="218"/>
      <c r="BB132" s="235">
        <v>130</v>
      </c>
      <c r="BC132" s="231">
        <v>46.0896220836037</v>
      </c>
      <c r="BD132" s="232" t="s">
        <v>55</v>
      </c>
      <c r="BE132" s="229">
        <v>1.4403006901126201</v>
      </c>
      <c r="BF132" s="230">
        <v>31.437247809066498</v>
      </c>
      <c r="BG132" s="219">
        <v>0.02</v>
      </c>
      <c r="BH132" s="219">
        <v>0.02</v>
      </c>
      <c r="BI132" s="227">
        <v>0</v>
      </c>
      <c r="BJ132" s="227">
        <v>0</v>
      </c>
      <c r="BK132" s="220"/>
      <c r="BL132" s="236">
        <v>0.8</v>
      </c>
      <c r="BM132" s="239">
        <v>0.79</v>
      </c>
      <c r="BN132" s="237"/>
      <c r="BO132" s="238">
        <v>0.95</v>
      </c>
      <c r="BP132" s="229">
        <v>1</v>
      </c>
      <c r="BQ132" s="237">
        <v>2.5000000000000001E-3</v>
      </c>
    </row>
    <row r="133" spans="1:69" s="207" customFormat="1" ht="22.35" customHeight="1" x14ac:dyDescent="0.2">
      <c r="A133" s="216" t="s">
        <v>175</v>
      </c>
      <c r="B133" s="216" t="s">
        <v>187</v>
      </c>
      <c r="C133" s="216" t="s">
        <v>193</v>
      </c>
      <c r="D133" s="217">
        <v>1.9545245414444401</v>
      </c>
      <c r="E133" s="218"/>
      <c r="F133" s="219">
        <v>7.0000000000000007E-2</v>
      </c>
      <c r="G133" s="219">
        <v>5.8999999999999997E-2</v>
      </c>
      <c r="H133" s="220"/>
      <c r="I133" s="221">
        <v>6</v>
      </c>
      <c r="J133" s="221">
        <v>6</v>
      </c>
      <c r="K133" s="218"/>
      <c r="L133" s="222">
        <v>688.44727999999998</v>
      </c>
      <c r="M133" s="222">
        <v>686.94325000000003</v>
      </c>
      <c r="N133" s="222">
        <v>1375.3905299999999</v>
      </c>
      <c r="O133" s="217">
        <v>703.69570749086199</v>
      </c>
      <c r="P133" s="223">
        <v>212.5</v>
      </c>
      <c r="Q133" s="229">
        <v>3.3115092117217002</v>
      </c>
      <c r="R133" s="230">
        <v>921.84311015781805</v>
      </c>
      <c r="S133" s="219">
        <v>0.01</v>
      </c>
      <c r="T133" s="219">
        <v>0.01</v>
      </c>
      <c r="U133" s="226">
        <v>0</v>
      </c>
      <c r="V133" s="227">
        <v>0</v>
      </c>
      <c r="W133" s="218"/>
      <c r="X133" s="226">
        <v>1786.96288</v>
      </c>
      <c r="Y133" s="217">
        <v>914.26986057662305</v>
      </c>
      <c r="Z133" s="228">
        <v>573</v>
      </c>
      <c r="AA133" s="229">
        <v>1.5955843989120799</v>
      </c>
      <c r="AB133" s="230">
        <v>563.98560202555097</v>
      </c>
      <c r="AC133" s="219">
        <v>0.02</v>
      </c>
      <c r="AD133" s="219">
        <v>0.02</v>
      </c>
      <c r="AE133" s="227">
        <v>0</v>
      </c>
      <c r="AF133" s="227">
        <v>0</v>
      </c>
      <c r="AG133" s="218"/>
      <c r="AH133" s="231">
        <v>134.30000000000001</v>
      </c>
      <c r="AI133" s="217">
        <v>68.712363110441601</v>
      </c>
      <c r="AJ133" s="232" t="s">
        <v>53</v>
      </c>
      <c r="AK133" s="229">
        <v>1.0906724303244699</v>
      </c>
      <c r="AL133" s="230">
        <v>-0.16347035321169301</v>
      </c>
      <c r="AM133" s="219">
        <v>0.02</v>
      </c>
      <c r="AN133" s="219">
        <v>8.9999999999999993E-3</v>
      </c>
      <c r="AO133" s="227">
        <v>0</v>
      </c>
      <c r="AP133" s="227">
        <v>14</v>
      </c>
      <c r="AQ133" s="218"/>
      <c r="AR133" s="231">
        <v>23.7</v>
      </c>
      <c r="AS133" s="217">
        <v>12.125711137136699</v>
      </c>
      <c r="AT133" s="232" t="s">
        <v>54</v>
      </c>
      <c r="AU133" s="239">
        <v>0.75785694607104703</v>
      </c>
      <c r="AV133" s="222">
        <v>-10.4494527881173</v>
      </c>
      <c r="AW133" s="219"/>
      <c r="AX133" s="219"/>
      <c r="AY133" s="227">
        <v>8</v>
      </c>
      <c r="AZ133" s="227">
        <v>14</v>
      </c>
      <c r="BA133" s="218"/>
      <c r="BB133" s="235">
        <v>95.6</v>
      </c>
      <c r="BC133" s="231">
        <v>48.912151253597997</v>
      </c>
      <c r="BD133" s="232" t="s">
        <v>55</v>
      </c>
      <c r="BE133" s="229">
        <v>1.5285047266749401</v>
      </c>
      <c r="BF133" s="230">
        <v>27.301094423765502</v>
      </c>
      <c r="BG133" s="219">
        <v>0.02</v>
      </c>
      <c r="BH133" s="219">
        <v>0.02</v>
      </c>
      <c r="BI133" s="227">
        <v>0</v>
      </c>
      <c r="BJ133" s="227">
        <v>0</v>
      </c>
      <c r="BK133" s="220"/>
      <c r="BL133" s="236">
        <v>0.8</v>
      </c>
      <c r="BM133" s="233">
        <v>0.89</v>
      </c>
      <c r="BN133" s="237">
        <v>3.375E-3</v>
      </c>
      <c r="BO133" s="238">
        <v>0.95</v>
      </c>
      <c r="BP133" s="229">
        <v>1</v>
      </c>
      <c r="BQ133" s="237">
        <v>2.5000000000000001E-3</v>
      </c>
    </row>
    <row r="134" spans="1:69" s="207" customFormat="1" ht="22.35" customHeight="1" x14ac:dyDescent="0.2">
      <c r="A134" s="216" t="s">
        <v>175</v>
      </c>
      <c r="B134" s="216" t="s">
        <v>187</v>
      </c>
      <c r="C134" s="216" t="s">
        <v>194</v>
      </c>
      <c r="D134" s="217">
        <v>5.99043692788889</v>
      </c>
      <c r="E134" s="218"/>
      <c r="F134" s="219">
        <v>3.7999999999999999E-2</v>
      </c>
      <c r="G134" s="219">
        <v>2.1999999999999999E-2</v>
      </c>
      <c r="H134" s="220"/>
      <c r="I134" s="221">
        <v>5</v>
      </c>
      <c r="J134" s="221">
        <v>4</v>
      </c>
      <c r="K134" s="218"/>
      <c r="L134" s="222">
        <v>3037.2775000000001</v>
      </c>
      <c r="M134" s="222">
        <v>-447.68745000000001</v>
      </c>
      <c r="N134" s="222">
        <v>2589.5900499999998</v>
      </c>
      <c r="O134" s="217">
        <v>432.287340835522</v>
      </c>
      <c r="P134" s="223">
        <v>212.5</v>
      </c>
      <c r="Q134" s="229">
        <v>2.03429336863775</v>
      </c>
      <c r="R134" s="230">
        <v>1199.50916088338</v>
      </c>
      <c r="S134" s="219">
        <v>0.01</v>
      </c>
      <c r="T134" s="219">
        <v>0.01</v>
      </c>
      <c r="U134" s="226">
        <v>0</v>
      </c>
      <c r="V134" s="227">
        <v>0</v>
      </c>
      <c r="W134" s="218"/>
      <c r="X134" s="226">
        <v>2431.5339399999998</v>
      </c>
      <c r="Y134" s="217">
        <v>405.90260264319397</v>
      </c>
      <c r="Z134" s="228">
        <v>573</v>
      </c>
      <c r="AA134" s="224">
        <v>0.70838150548550405</v>
      </c>
      <c r="AB134" s="225">
        <v>-1316.77829277092</v>
      </c>
      <c r="AC134" s="219"/>
      <c r="AD134" s="219"/>
      <c r="AE134" s="227">
        <v>1001</v>
      </c>
      <c r="AF134" s="227">
        <v>1688</v>
      </c>
      <c r="AG134" s="218"/>
      <c r="AH134" s="231">
        <v>372.4</v>
      </c>
      <c r="AI134" s="217">
        <v>62.165749257164599</v>
      </c>
      <c r="AJ134" s="232" t="s">
        <v>53</v>
      </c>
      <c r="AK134" s="233">
        <v>0.98675792471689805</v>
      </c>
      <c r="AL134" s="234">
        <v>-39.7180988910441</v>
      </c>
      <c r="AM134" s="219">
        <v>8.0000000000000002E-3</v>
      </c>
      <c r="AN134" s="219"/>
      <c r="AO134" s="227">
        <v>5</v>
      </c>
      <c r="AP134" s="227">
        <v>81</v>
      </c>
      <c r="AQ134" s="218"/>
      <c r="AR134" s="231">
        <v>61.9</v>
      </c>
      <c r="AS134" s="217">
        <v>10.333136087589899</v>
      </c>
      <c r="AT134" s="232" t="s">
        <v>54</v>
      </c>
      <c r="AU134" s="224">
        <v>0.64582100547437005</v>
      </c>
      <c r="AV134" s="225">
        <v>-42.764914004074697</v>
      </c>
      <c r="AW134" s="219"/>
      <c r="AX134" s="219"/>
      <c r="AY134" s="227">
        <v>34</v>
      </c>
      <c r="AZ134" s="227">
        <v>54</v>
      </c>
      <c r="BA134" s="218"/>
      <c r="BB134" s="235">
        <v>215.2</v>
      </c>
      <c r="BC134" s="231">
        <v>35.923923845708401</v>
      </c>
      <c r="BD134" s="232" t="s">
        <v>55</v>
      </c>
      <c r="BE134" s="229">
        <v>1.12262262017839</v>
      </c>
      <c r="BF134" s="230">
        <v>5.8701719918506399</v>
      </c>
      <c r="BG134" s="219">
        <v>0.02</v>
      </c>
      <c r="BH134" s="219">
        <v>1.2E-2</v>
      </c>
      <c r="BI134" s="227">
        <v>0</v>
      </c>
      <c r="BJ134" s="227">
        <v>15</v>
      </c>
      <c r="BK134" s="220"/>
      <c r="BL134" s="236">
        <v>0.8</v>
      </c>
      <c r="BM134" s="233">
        <v>0.84</v>
      </c>
      <c r="BN134" s="237">
        <v>1.5E-3</v>
      </c>
      <c r="BO134" s="238">
        <v>0.95</v>
      </c>
      <c r="BP134" s="229">
        <v>1</v>
      </c>
      <c r="BQ134" s="237">
        <v>2.5000000000000001E-3</v>
      </c>
    </row>
    <row r="135" spans="1:69" s="207" customFormat="1" ht="22.35" customHeight="1" x14ac:dyDescent="0.2">
      <c r="A135" s="216" t="s">
        <v>175</v>
      </c>
      <c r="B135" s="216" t="s">
        <v>187</v>
      </c>
      <c r="C135" s="216" t="s">
        <v>195</v>
      </c>
      <c r="D135" s="217">
        <v>3.8731675344444398</v>
      </c>
      <c r="E135" s="218"/>
      <c r="F135" s="219">
        <v>7.0499999999999993E-2</v>
      </c>
      <c r="G135" s="219">
        <v>5.7000000000000002E-2</v>
      </c>
      <c r="H135" s="220"/>
      <c r="I135" s="221">
        <v>7</v>
      </c>
      <c r="J135" s="221">
        <v>6</v>
      </c>
      <c r="K135" s="218"/>
      <c r="L135" s="222">
        <v>1181.1936700000001</v>
      </c>
      <c r="M135" s="222">
        <v>-123.21432</v>
      </c>
      <c r="N135" s="222">
        <v>1057.9793500000001</v>
      </c>
      <c r="O135" s="217">
        <v>273.15610300646398</v>
      </c>
      <c r="P135" s="223">
        <v>212.5</v>
      </c>
      <c r="Q135" s="229">
        <v>1.2854404847362999</v>
      </c>
      <c r="R135" s="230">
        <v>159.210823632168</v>
      </c>
      <c r="S135" s="219">
        <v>0.01</v>
      </c>
      <c r="T135" s="219">
        <v>0.01</v>
      </c>
      <c r="U135" s="226">
        <v>0</v>
      </c>
      <c r="V135" s="227">
        <v>0</v>
      </c>
      <c r="W135" s="218"/>
      <c r="X135" s="226">
        <v>2605.9686649999999</v>
      </c>
      <c r="Y135" s="217">
        <v>672.82621828900403</v>
      </c>
      <c r="Z135" s="228">
        <v>573</v>
      </c>
      <c r="AA135" s="229">
        <v>1.1742167858446799</v>
      </c>
      <c r="AB135" s="230">
        <v>182.46576801756299</v>
      </c>
      <c r="AC135" s="219">
        <v>0.02</v>
      </c>
      <c r="AD135" s="219">
        <v>1.7000000000000001E-2</v>
      </c>
      <c r="AE135" s="227">
        <v>0</v>
      </c>
      <c r="AF135" s="227">
        <v>58</v>
      </c>
      <c r="AG135" s="218"/>
      <c r="AH135" s="231">
        <v>268.2</v>
      </c>
      <c r="AI135" s="217">
        <v>69.245649101122595</v>
      </c>
      <c r="AJ135" s="232" t="s">
        <v>53</v>
      </c>
      <c r="AK135" s="229">
        <v>1.0991372873194101</v>
      </c>
      <c r="AL135" s="230">
        <v>1.7415663003602599</v>
      </c>
      <c r="AM135" s="219">
        <v>0.02</v>
      </c>
      <c r="AN135" s="219">
        <v>0.01</v>
      </c>
      <c r="AO135" s="227">
        <v>0</v>
      </c>
      <c r="AP135" s="227">
        <v>25</v>
      </c>
      <c r="AQ135" s="218"/>
      <c r="AR135" s="231">
        <v>56.8</v>
      </c>
      <c r="AS135" s="217">
        <v>14.6649995113488</v>
      </c>
      <c r="AT135" s="232" t="s">
        <v>54</v>
      </c>
      <c r="AU135" s="233">
        <v>0.91656246945930298</v>
      </c>
      <c r="AV135" s="234">
        <v>-10.871983161813301</v>
      </c>
      <c r="AW135" s="219">
        <v>5.0000000000000001E-4</v>
      </c>
      <c r="AX135" s="219"/>
      <c r="AY135" s="227">
        <v>6</v>
      </c>
      <c r="AZ135" s="227">
        <v>18</v>
      </c>
      <c r="BA135" s="218"/>
      <c r="BB135" s="235">
        <v>212.8</v>
      </c>
      <c r="BC135" s="231">
        <v>54.942110845335101</v>
      </c>
      <c r="BD135" s="232" t="s">
        <v>55</v>
      </c>
      <c r="BE135" s="229">
        <v>1.7169409639167199</v>
      </c>
      <c r="BF135" s="230">
        <v>77.456033676373494</v>
      </c>
      <c r="BG135" s="219">
        <v>0.02</v>
      </c>
      <c r="BH135" s="219">
        <v>0.02</v>
      </c>
      <c r="BI135" s="227">
        <v>0</v>
      </c>
      <c r="BJ135" s="227">
        <v>0</v>
      </c>
      <c r="BK135" s="220"/>
      <c r="BL135" s="236">
        <v>0.8</v>
      </c>
      <c r="BM135" s="233">
        <v>0.87</v>
      </c>
      <c r="BN135" s="237">
        <v>2.6250000000000002E-3</v>
      </c>
      <c r="BO135" s="238">
        <v>0.95</v>
      </c>
      <c r="BP135" s="229">
        <v>1</v>
      </c>
      <c r="BQ135" s="237">
        <v>2.5000000000000001E-3</v>
      </c>
    </row>
    <row r="136" spans="1:69" s="207" customFormat="1" ht="22.35" customHeight="1" x14ac:dyDescent="0.2">
      <c r="A136" s="216" t="s">
        <v>175</v>
      </c>
      <c r="B136" s="216" t="s">
        <v>187</v>
      </c>
      <c r="C136" s="216" t="s">
        <v>196</v>
      </c>
      <c r="D136" s="217">
        <v>2.7806430641111102</v>
      </c>
      <c r="E136" s="218"/>
      <c r="F136" s="219">
        <v>4.2500000000000003E-2</v>
      </c>
      <c r="G136" s="219">
        <v>2.5999999999999999E-2</v>
      </c>
      <c r="H136" s="220"/>
      <c r="I136" s="221">
        <v>5</v>
      </c>
      <c r="J136" s="221">
        <v>5</v>
      </c>
      <c r="K136" s="218"/>
      <c r="L136" s="222">
        <v>1364.9541999999999</v>
      </c>
      <c r="M136" s="222">
        <v>-737.30642</v>
      </c>
      <c r="N136" s="222">
        <v>627.64778000000001</v>
      </c>
      <c r="O136" s="217">
        <v>225.720369543597</v>
      </c>
      <c r="P136" s="223">
        <v>212.5</v>
      </c>
      <c r="Q136" s="233">
        <v>1.0622135037345699</v>
      </c>
      <c r="R136" s="234">
        <v>-17.6004430269832</v>
      </c>
      <c r="S136" s="219">
        <v>8.5000000000000006E-3</v>
      </c>
      <c r="T136" s="219">
        <v>3.0000000000000001E-3</v>
      </c>
      <c r="U136" s="226">
        <v>0</v>
      </c>
      <c r="V136" s="227">
        <v>82</v>
      </c>
      <c r="W136" s="218"/>
      <c r="X136" s="226">
        <v>1659.5316399999999</v>
      </c>
      <c r="Y136" s="217">
        <v>596.81577309186298</v>
      </c>
      <c r="Z136" s="228">
        <v>573</v>
      </c>
      <c r="AA136" s="233">
        <v>1.0415633038252401</v>
      </c>
      <c r="AB136" s="234">
        <v>-80.361215503347495</v>
      </c>
      <c r="AC136" s="219">
        <v>1.4E-2</v>
      </c>
      <c r="AD136" s="219">
        <v>4.0000000000000001E-3</v>
      </c>
      <c r="AE136" s="227">
        <v>0</v>
      </c>
      <c r="AF136" s="227">
        <v>253</v>
      </c>
      <c r="AG136" s="218"/>
      <c r="AH136" s="231">
        <v>147.85</v>
      </c>
      <c r="AI136" s="217">
        <v>53.171153791097296</v>
      </c>
      <c r="AJ136" s="232" t="s">
        <v>53</v>
      </c>
      <c r="AK136" s="239">
        <v>0.84398656811265604</v>
      </c>
      <c r="AL136" s="222">
        <v>-43.447120238587999</v>
      </c>
      <c r="AM136" s="219"/>
      <c r="AN136" s="219"/>
      <c r="AO136" s="227">
        <v>28</v>
      </c>
      <c r="AP136" s="227">
        <v>63</v>
      </c>
      <c r="AQ136" s="218"/>
      <c r="AR136" s="231">
        <v>12</v>
      </c>
      <c r="AS136" s="217">
        <v>4.3155484984319799</v>
      </c>
      <c r="AT136" s="232" t="s">
        <v>54</v>
      </c>
      <c r="AU136" s="224">
        <v>0.26972178115199902</v>
      </c>
      <c r="AV136" s="225">
        <v>-36.583395616149303</v>
      </c>
      <c r="AW136" s="219"/>
      <c r="AX136" s="219"/>
      <c r="AY136" s="227">
        <v>33</v>
      </c>
      <c r="AZ136" s="227">
        <v>42</v>
      </c>
      <c r="BA136" s="218"/>
      <c r="BB136" s="235">
        <v>105.6</v>
      </c>
      <c r="BC136" s="231">
        <v>37.9768267862014</v>
      </c>
      <c r="BD136" s="232" t="s">
        <v>55</v>
      </c>
      <c r="BE136" s="229">
        <v>1.18677583706879</v>
      </c>
      <c r="BF136" s="230">
        <v>8.4332087677013696</v>
      </c>
      <c r="BG136" s="219">
        <v>0.02</v>
      </c>
      <c r="BH136" s="219">
        <v>1.9E-2</v>
      </c>
      <c r="BI136" s="227">
        <v>0</v>
      </c>
      <c r="BJ136" s="227">
        <v>2</v>
      </c>
      <c r="BK136" s="220"/>
      <c r="BL136" s="236">
        <v>0.8</v>
      </c>
      <c r="BM136" s="233">
        <v>0.81</v>
      </c>
      <c r="BN136" s="237">
        <v>3.7500000000000001E-4</v>
      </c>
      <c r="BO136" s="238">
        <v>0.95</v>
      </c>
      <c r="BP136" s="229">
        <v>1</v>
      </c>
      <c r="BQ136" s="237">
        <v>2.5000000000000001E-3</v>
      </c>
    </row>
    <row r="137" spans="1:69" s="207" customFormat="1" ht="22.35" customHeight="1" x14ac:dyDescent="0.2">
      <c r="A137" s="216" t="s">
        <v>175</v>
      </c>
      <c r="B137" s="216" t="s">
        <v>187</v>
      </c>
      <c r="C137" s="216" t="s">
        <v>197</v>
      </c>
      <c r="D137" s="217">
        <v>8.6991771745555599</v>
      </c>
      <c r="E137" s="218"/>
      <c r="F137" s="219">
        <v>2.5999999999999999E-2</v>
      </c>
      <c r="G137" s="219">
        <v>1.6E-2</v>
      </c>
      <c r="H137" s="220"/>
      <c r="I137" s="221">
        <v>4</v>
      </c>
      <c r="J137" s="221">
        <v>4</v>
      </c>
      <c r="K137" s="218"/>
      <c r="L137" s="222">
        <v>6075.4373299999997</v>
      </c>
      <c r="M137" s="222">
        <v>3320.855</v>
      </c>
      <c r="N137" s="222">
        <v>9396.2923300000002</v>
      </c>
      <c r="O137" s="217">
        <v>1080.13575783736</v>
      </c>
      <c r="P137" s="223">
        <v>226.98400000000001</v>
      </c>
      <c r="Q137" s="229">
        <v>4.7586427141884897</v>
      </c>
      <c r="R137" s="230">
        <v>7240.0574872860598</v>
      </c>
      <c r="S137" s="219">
        <v>0.01</v>
      </c>
      <c r="T137" s="219">
        <v>0.01</v>
      </c>
      <c r="U137" s="226">
        <v>0</v>
      </c>
      <c r="V137" s="227">
        <v>0</v>
      </c>
      <c r="W137" s="218"/>
      <c r="X137" s="226">
        <v>4431.7639150000005</v>
      </c>
      <c r="Y137" s="217">
        <v>509.44633337996402</v>
      </c>
      <c r="Z137" s="228">
        <v>573</v>
      </c>
      <c r="AA137" s="239">
        <v>0.88908609664915095</v>
      </c>
      <c r="AB137" s="222">
        <v>-1011.45042995421</v>
      </c>
      <c r="AC137" s="219"/>
      <c r="AD137" s="219"/>
      <c r="AE137" s="227">
        <v>553</v>
      </c>
      <c r="AF137" s="227">
        <v>1550</v>
      </c>
      <c r="AG137" s="218"/>
      <c r="AH137" s="231">
        <v>390.5</v>
      </c>
      <c r="AI137" s="217">
        <v>44.889302995481401</v>
      </c>
      <c r="AJ137" s="232" t="s">
        <v>53</v>
      </c>
      <c r="AK137" s="224">
        <v>0.71252861897589503</v>
      </c>
      <c r="AL137" s="225">
        <v>-207.96859290072399</v>
      </c>
      <c r="AM137" s="219"/>
      <c r="AN137" s="219"/>
      <c r="AO137" s="227">
        <v>158</v>
      </c>
      <c r="AP137" s="227">
        <v>268</v>
      </c>
      <c r="AQ137" s="218"/>
      <c r="AR137" s="231">
        <v>75.400000000000006</v>
      </c>
      <c r="AS137" s="217">
        <v>8.6674864170532597</v>
      </c>
      <c r="AT137" s="232" t="s">
        <v>54</v>
      </c>
      <c r="AU137" s="224">
        <v>0.54171790106582896</v>
      </c>
      <c r="AV137" s="225">
        <v>-76.592023593834696</v>
      </c>
      <c r="AW137" s="219"/>
      <c r="AX137" s="219"/>
      <c r="AY137" s="227">
        <v>64</v>
      </c>
      <c r="AZ137" s="227">
        <v>92</v>
      </c>
      <c r="BA137" s="218"/>
      <c r="BB137" s="235">
        <v>293.8</v>
      </c>
      <c r="BC137" s="231">
        <v>33.773309142311</v>
      </c>
      <c r="BD137" s="232" t="s">
        <v>55</v>
      </c>
      <c r="BE137" s="233">
        <v>1.0554159106972201</v>
      </c>
      <c r="BF137" s="234">
        <v>-10.184047187669499</v>
      </c>
      <c r="BG137" s="219">
        <v>1.6E-2</v>
      </c>
      <c r="BH137" s="219">
        <v>6.0000000000000001E-3</v>
      </c>
      <c r="BI137" s="227">
        <v>0</v>
      </c>
      <c r="BJ137" s="227">
        <v>41</v>
      </c>
      <c r="BK137" s="220"/>
      <c r="BL137" s="236">
        <v>0.8</v>
      </c>
      <c r="BM137" s="233">
        <v>0.84</v>
      </c>
      <c r="BN137" s="237">
        <v>1.5E-3</v>
      </c>
      <c r="BO137" s="238">
        <v>0.95</v>
      </c>
      <c r="BP137" s="229">
        <v>1</v>
      </c>
      <c r="BQ137" s="237">
        <v>2.5000000000000001E-3</v>
      </c>
    </row>
    <row r="138" spans="1:69" s="207" customFormat="1" ht="22.35" customHeight="1" x14ac:dyDescent="0.2">
      <c r="A138" s="216" t="s">
        <v>175</v>
      </c>
      <c r="B138" s="216" t="s">
        <v>187</v>
      </c>
      <c r="C138" s="216" t="s">
        <v>198</v>
      </c>
      <c r="D138" s="217">
        <v>2.92608844211111</v>
      </c>
      <c r="E138" s="218"/>
      <c r="F138" s="219">
        <v>0.08</v>
      </c>
      <c r="G138" s="219">
        <v>7.5499999999999998E-2</v>
      </c>
      <c r="H138" s="220"/>
      <c r="I138" s="221">
        <v>6</v>
      </c>
      <c r="J138" s="221">
        <v>6</v>
      </c>
      <c r="K138" s="218"/>
      <c r="L138" s="222">
        <v>4911.6354600000004</v>
      </c>
      <c r="M138" s="222">
        <v>695.45372999999995</v>
      </c>
      <c r="N138" s="222">
        <v>5607.0891899999997</v>
      </c>
      <c r="O138" s="217">
        <v>1916.24050363789</v>
      </c>
      <c r="P138" s="223">
        <v>212.5</v>
      </c>
      <c r="Q138" s="229">
        <v>9.0176023700606596</v>
      </c>
      <c r="R138" s="230">
        <v>4928.0903670081198</v>
      </c>
      <c r="S138" s="219">
        <v>0.01</v>
      </c>
      <c r="T138" s="219">
        <v>0.01</v>
      </c>
      <c r="U138" s="226">
        <v>0</v>
      </c>
      <c r="V138" s="227">
        <v>0</v>
      </c>
      <c r="W138" s="218"/>
      <c r="X138" s="226">
        <v>1966.0537899999999</v>
      </c>
      <c r="Y138" s="217">
        <v>671.90511459097695</v>
      </c>
      <c r="Z138" s="228">
        <v>573</v>
      </c>
      <c r="AA138" s="229">
        <v>1.17260927502788</v>
      </c>
      <c r="AB138" s="230">
        <v>135.15343435600499</v>
      </c>
      <c r="AC138" s="219">
        <v>0.02</v>
      </c>
      <c r="AD138" s="219">
        <v>1.7000000000000001E-2</v>
      </c>
      <c r="AE138" s="227">
        <v>0</v>
      </c>
      <c r="AF138" s="227">
        <v>46</v>
      </c>
      <c r="AG138" s="218"/>
      <c r="AH138" s="231">
        <v>255.8</v>
      </c>
      <c r="AI138" s="217">
        <v>87.420460816777506</v>
      </c>
      <c r="AJ138" s="232" t="s">
        <v>53</v>
      </c>
      <c r="AK138" s="229">
        <v>1.38762636217107</v>
      </c>
      <c r="AL138" s="230">
        <v>54.4968195365241</v>
      </c>
      <c r="AM138" s="219">
        <v>0.02</v>
      </c>
      <c r="AN138" s="219">
        <v>0.02</v>
      </c>
      <c r="AO138" s="227">
        <v>0</v>
      </c>
      <c r="AP138" s="227">
        <v>0</v>
      </c>
      <c r="AQ138" s="218"/>
      <c r="AR138" s="231">
        <v>54.9</v>
      </c>
      <c r="AS138" s="217">
        <v>18.7622490181434</v>
      </c>
      <c r="AT138" s="232" t="s">
        <v>54</v>
      </c>
      <c r="AU138" s="229">
        <v>1.1726405636339601</v>
      </c>
      <c r="AV138" s="230">
        <v>3.7753827394346802</v>
      </c>
      <c r="AW138" s="219">
        <v>0.01</v>
      </c>
      <c r="AX138" s="219">
        <v>8.5000000000000006E-3</v>
      </c>
      <c r="AY138" s="227">
        <v>0</v>
      </c>
      <c r="AZ138" s="227">
        <v>2</v>
      </c>
      <c r="BA138" s="218"/>
      <c r="BB138" s="235">
        <v>147.80000000000001</v>
      </c>
      <c r="BC138" s="231">
        <v>50.511118486003603</v>
      </c>
      <c r="BD138" s="232" t="s">
        <v>55</v>
      </c>
      <c r="BE138" s="229">
        <v>1.5784724526876099</v>
      </c>
      <c r="BF138" s="230">
        <v>45.550765478869401</v>
      </c>
      <c r="BG138" s="219">
        <v>0.02</v>
      </c>
      <c r="BH138" s="219">
        <v>0.02</v>
      </c>
      <c r="BI138" s="227">
        <v>0</v>
      </c>
      <c r="BJ138" s="227">
        <v>0</v>
      </c>
      <c r="BK138" s="220"/>
      <c r="BL138" s="236">
        <v>0.8</v>
      </c>
      <c r="BM138" s="239">
        <v>0.79</v>
      </c>
      <c r="BN138" s="237"/>
      <c r="BO138" s="238">
        <v>0.95</v>
      </c>
      <c r="BP138" s="229">
        <v>1</v>
      </c>
      <c r="BQ138" s="237">
        <v>2.5000000000000001E-3</v>
      </c>
    </row>
    <row r="139" spans="1:69" s="207" customFormat="1" ht="22.35" customHeight="1" x14ac:dyDescent="0.2">
      <c r="A139" s="216" t="s">
        <v>175</v>
      </c>
      <c r="B139" s="216" t="s">
        <v>187</v>
      </c>
      <c r="C139" s="216" t="s">
        <v>199</v>
      </c>
      <c r="D139" s="217">
        <v>2.8460876042222201</v>
      </c>
      <c r="E139" s="218"/>
      <c r="F139" s="219">
        <v>7.5999999999999998E-2</v>
      </c>
      <c r="G139" s="219">
        <v>7.0999999999999994E-2</v>
      </c>
      <c r="H139" s="220"/>
      <c r="I139" s="221">
        <v>6</v>
      </c>
      <c r="J139" s="221">
        <v>6</v>
      </c>
      <c r="K139" s="218"/>
      <c r="L139" s="222">
        <v>1525.6712399999999</v>
      </c>
      <c r="M139" s="222">
        <v>147.86439999999999</v>
      </c>
      <c r="N139" s="222">
        <v>1673.5356400000001</v>
      </c>
      <c r="O139" s="217">
        <v>588.01269416910395</v>
      </c>
      <c r="P139" s="223">
        <v>212.5</v>
      </c>
      <c r="Q139" s="229">
        <v>2.76711856079578</v>
      </c>
      <c r="R139" s="230">
        <v>1013.10101144023</v>
      </c>
      <c r="S139" s="219">
        <v>0.01</v>
      </c>
      <c r="T139" s="219">
        <v>0.01</v>
      </c>
      <c r="U139" s="226">
        <v>0</v>
      </c>
      <c r="V139" s="227">
        <v>0</v>
      </c>
      <c r="W139" s="218"/>
      <c r="X139" s="226">
        <v>2466.9282699999999</v>
      </c>
      <c r="Y139" s="217">
        <v>866.77875492668204</v>
      </c>
      <c r="Z139" s="228">
        <v>573</v>
      </c>
      <c r="AA139" s="229">
        <v>1.5127028881792</v>
      </c>
      <c r="AB139" s="230">
        <v>686.08571863648899</v>
      </c>
      <c r="AC139" s="219">
        <v>0.02</v>
      </c>
      <c r="AD139" s="219">
        <v>0.02</v>
      </c>
      <c r="AE139" s="227">
        <v>0</v>
      </c>
      <c r="AF139" s="227">
        <v>0</v>
      </c>
      <c r="AG139" s="218"/>
      <c r="AH139" s="231">
        <v>277.2</v>
      </c>
      <c r="AI139" s="217">
        <v>97.396861427866398</v>
      </c>
      <c r="AJ139" s="232" t="s">
        <v>53</v>
      </c>
      <c r="AK139" s="229">
        <v>1.5459819274264499</v>
      </c>
      <c r="AL139" s="230">
        <v>81.4005571799281</v>
      </c>
      <c r="AM139" s="219">
        <v>0.02</v>
      </c>
      <c r="AN139" s="219">
        <v>0.02</v>
      </c>
      <c r="AO139" s="227">
        <v>0</v>
      </c>
      <c r="AP139" s="227">
        <v>0</v>
      </c>
      <c r="AQ139" s="218"/>
      <c r="AR139" s="231">
        <v>46.6</v>
      </c>
      <c r="AS139" s="217">
        <v>16.373354049562</v>
      </c>
      <c r="AT139" s="232" t="s">
        <v>54</v>
      </c>
      <c r="AU139" s="233">
        <v>1.0233346280976201</v>
      </c>
      <c r="AV139" s="234">
        <v>-3.1268426209706202</v>
      </c>
      <c r="AW139" s="219">
        <v>6.0000000000000001E-3</v>
      </c>
      <c r="AX139" s="219">
        <v>1E-3</v>
      </c>
      <c r="AY139" s="227">
        <v>0</v>
      </c>
      <c r="AZ139" s="227">
        <v>9</v>
      </c>
      <c r="BA139" s="218"/>
      <c r="BB139" s="235">
        <v>161.4</v>
      </c>
      <c r="BC139" s="231">
        <v>56.709427974233897</v>
      </c>
      <c r="BD139" s="232" t="s">
        <v>55</v>
      </c>
      <c r="BE139" s="229">
        <v>1.7721696241948099</v>
      </c>
      <c r="BF139" s="230">
        <v>61.946314758058797</v>
      </c>
      <c r="BG139" s="219">
        <v>0.02</v>
      </c>
      <c r="BH139" s="219">
        <v>0.02</v>
      </c>
      <c r="BI139" s="227">
        <v>0</v>
      </c>
      <c r="BJ139" s="227">
        <v>0</v>
      </c>
      <c r="BK139" s="220"/>
      <c r="BL139" s="236">
        <v>0.8</v>
      </c>
      <c r="BM139" s="239">
        <v>0.76</v>
      </c>
      <c r="BN139" s="237"/>
      <c r="BO139" s="238">
        <v>0.95</v>
      </c>
      <c r="BP139" s="229">
        <v>1</v>
      </c>
      <c r="BQ139" s="237">
        <v>2.5000000000000001E-3</v>
      </c>
    </row>
    <row r="140" spans="1:69" s="207" customFormat="1" ht="22.35" customHeight="1" x14ac:dyDescent="0.2">
      <c r="A140" s="216" t="s">
        <v>175</v>
      </c>
      <c r="B140" s="216" t="s">
        <v>187</v>
      </c>
      <c r="C140" s="216" t="s">
        <v>200</v>
      </c>
      <c r="D140" s="217">
        <v>0.62457229755555599</v>
      </c>
      <c r="E140" s="218"/>
      <c r="F140" s="219">
        <v>7.0000000000000007E-2</v>
      </c>
      <c r="G140" s="219">
        <v>5.8999999999999997E-2</v>
      </c>
      <c r="H140" s="220"/>
      <c r="I140" s="221">
        <v>5</v>
      </c>
      <c r="J140" s="221">
        <v>5</v>
      </c>
      <c r="K140" s="218"/>
      <c r="L140" s="222"/>
      <c r="M140" s="222">
        <v>368.28228000000001</v>
      </c>
      <c r="N140" s="222">
        <v>368.28228000000001</v>
      </c>
      <c r="O140" s="217">
        <v>589.65516312743796</v>
      </c>
      <c r="P140" s="223">
        <v>226.98400000000001</v>
      </c>
      <c r="Q140" s="229">
        <v>2.5977829412092399</v>
      </c>
      <c r="R140" s="230">
        <v>213.47171311992199</v>
      </c>
      <c r="S140" s="219">
        <v>0.01</v>
      </c>
      <c r="T140" s="219">
        <v>0.01</v>
      </c>
      <c r="U140" s="226">
        <v>0</v>
      </c>
      <c r="V140" s="227">
        <v>0</v>
      </c>
      <c r="W140" s="218"/>
      <c r="X140" s="226">
        <v>389.79370999999998</v>
      </c>
      <c r="Y140" s="217">
        <v>624.09702051399097</v>
      </c>
      <c r="Z140" s="228">
        <v>573</v>
      </c>
      <c r="AA140" s="229">
        <v>1.0891745558708401</v>
      </c>
      <c r="AB140" s="230">
        <v>-1.0111697372719799</v>
      </c>
      <c r="AC140" s="219">
        <v>0.02</v>
      </c>
      <c r="AD140" s="219">
        <v>8.9999999999999993E-3</v>
      </c>
      <c r="AE140" s="227">
        <v>0</v>
      </c>
      <c r="AF140" s="227">
        <v>40</v>
      </c>
      <c r="AG140" s="218"/>
      <c r="AH140" s="231">
        <v>51.6</v>
      </c>
      <c r="AI140" s="217">
        <v>82.616536471360504</v>
      </c>
      <c r="AJ140" s="232" t="s">
        <v>53</v>
      </c>
      <c r="AK140" s="229">
        <v>1.3113735947834999</v>
      </c>
      <c r="AL140" s="230">
        <v>8.6319242173680006</v>
      </c>
      <c r="AM140" s="219">
        <v>0.02</v>
      </c>
      <c r="AN140" s="219">
        <v>0.02</v>
      </c>
      <c r="AO140" s="227">
        <v>0</v>
      </c>
      <c r="AP140" s="227">
        <v>0</v>
      </c>
      <c r="AQ140" s="218"/>
      <c r="AR140" s="231">
        <v>1</v>
      </c>
      <c r="AS140" s="217">
        <v>1.60109566804962</v>
      </c>
      <c r="AT140" s="232" t="s">
        <v>54</v>
      </c>
      <c r="AU140" s="224">
        <v>0.100068479253101</v>
      </c>
      <c r="AV140" s="225">
        <v>-9.9125271828906705</v>
      </c>
      <c r="AW140" s="219"/>
      <c r="AX140" s="219"/>
      <c r="AY140" s="227">
        <v>9</v>
      </c>
      <c r="AZ140" s="227">
        <v>11</v>
      </c>
      <c r="BA140" s="218"/>
      <c r="BB140" s="235">
        <v>26.2</v>
      </c>
      <c r="BC140" s="231">
        <v>41.948706502900102</v>
      </c>
      <c r="BD140" s="232" t="s">
        <v>55</v>
      </c>
      <c r="BE140" s="229">
        <v>1.31089707821563</v>
      </c>
      <c r="BF140" s="230">
        <v>4.3749456342186699</v>
      </c>
      <c r="BG140" s="219">
        <v>0.02</v>
      </c>
      <c r="BH140" s="219">
        <v>0.02</v>
      </c>
      <c r="BI140" s="227">
        <v>0</v>
      </c>
      <c r="BJ140" s="227">
        <v>0</v>
      </c>
      <c r="BK140" s="220"/>
      <c r="BL140" s="236">
        <v>0.8</v>
      </c>
      <c r="BM140" s="224"/>
      <c r="BN140" s="237"/>
      <c r="BO140" s="238">
        <v>0.95</v>
      </c>
      <c r="BP140" s="229">
        <v>1</v>
      </c>
      <c r="BQ140" s="237">
        <v>2.5000000000000001E-3</v>
      </c>
    </row>
    <row r="141" spans="1:69" s="207" customFormat="1" ht="22.35" customHeight="1" x14ac:dyDescent="0.2">
      <c r="A141" s="216" t="s">
        <v>175</v>
      </c>
      <c r="B141" s="216" t="s">
        <v>201</v>
      </c>
      <c r="C141" s="216" t="s">
        <v>202</v>
      </c>
      <c r="D141" s="217">
        <v>2.7066750453333301</v>
      </c>
      <c r="E141" s="218"/>
      <c r="F141" s="219">
        <v>7.0999999999999994E-2</v>
      </c>
      <c r="G141" s="219">
        <v>5.8999999999999997E-2</v>
      </c>
      <c r="H141" s="220"/>
      <c r="I141" s="221">
        <v>7</v>
      </c>
      <c r="J141" s="221">
        <v>7</v>
      </c>
      <c r="K141" s="218"/>
      <c r="L141" s="222">
        <v>1211.06882</v>
      </c>
      <c r="M141" s="222">
        <v>385.38193999999999</v>
      </c>
      <c r="N141" s="222">
        <v>1596.4507599999999</v>
      </c>
      <c r="O141" s="217">
        <v>589.81988353293195</v>
      </c>
      <c r="P141" s="223">
        <v>287.5</v>
      </c>
      <c r="Q141" s="229">
        <v>2.05154742098411</v>
      </c>
      <c r="R141" s="230">
        <v>746.69012951760101</v>
      </c>
      <c r="S141" s="219">
        <v>0.01</v>
      </c>
      <c r="T141" s="219">
        <v>0.01</v>
      </c>
      <c r="U141" s="226">
        <v>0</v>
      </c>
      <c r="V141" s="227">
        <v>0</v>
      </c>
      <c r="W141" s="218"/>
      <c r="X141" s="226">
        <v>1826.08158</v>
      </c>
      <c r="Y141" s="217">
        <v>674.65859381546602</v>
      </c>
      <c r="Z141" s="228">
        <v>573</v>
      </c>
      <c r="AA141" s="229">
        <v>1.17741464889261</v>
      </c>
      <c r="AB141" s="230">
        <v>132.47169733421001</v>
      </c>
      <c r="AC141" s="219">
        <v>0.02</v>
      </c>
      <c r="AD141" s="219">
        <v>1.7999999999999999E-2</v>
      </c>
      <c r="AE141" s="227">
        <v>0</v>
      </c>
      <c r="AF141" s="227">
        <v>36</v>
      </c>
      <c r="AG141" s="218"/>
      <c r="AH141" s="231">
        <v>171.95</v>
      </c>
      <c r="AI141" s="217">
        <v>63.528128467606301</v>
      </c>
      <c r="AJ141" s="232" t="s">
        <v>53</v>
      </c>
      <c r="AK141" s="233">
        <v>1.0083829915493101</v>
      </c>
      <c r="AL141" s="234">
        <v>-14.2584164187518</v>
      </c>
      <c r="AM141" s="219">
        <v>1.0999999999999999E-2</v>
      </c>
      <c r="AN141" s="219">
        <v>1E-3</v>
      </c>
      <c r="AO141" s="227">
        <v>0</v>
      </c>
      <c r="AP141" s="227">
        <v>33</v>
      </c>
      <c r="AQ141" s="218"/>
      <c r="AR141" s="231">
        <v>59.1</v>
      </c>
      <c r="AS141" s="217">
        <v>21.834907778049001</v>
      </c>
      <c r="AT141" s="232" t="s">
        <v>54</v>
      </c>
      <c r="AU141" s="229">
        <v>1.3646817361280601</v>
      </c>
      <c r="AV141" s="230">
        <v>11.8089736079361</v>
      </c>
      <c r="AW141" s="219">
        <v>0.01</v>
      </c>
      <c r="AX141" s="219">
        <v>0.01</v>
      </c>
      <c r="AY141" s="227">
        <v>0</v>
      </c>
      <c r="AZ141" s="227">
        <v>0</v>
      </c>
      <c r="BA141" s="218"/>
      <c r="BB141" s="235">
        <v>137.4</v>
      </c>
      <c r="BC141" s="231">
        <v>50.763389656580998</v>
      </c>
      <c r="BD141" s="232" t="s">
        <v>55</v>
      </c>
      <c r="BE141" s="229">
        <v>1.58635592676816</v>
      </c>
      <c r="BF141" s="230">
        <v>42.817947215872103</v>
      </c>
      <c r="BG141" s="219">
        <v>0.02</v>
      </c>
      <c r="BH141" s="219">
        <v>0.02</v>
      </c>
      <c r="BI141" s="227">
        <v>0</v>
      </c>
      <c r="BJ141" s="227">
        <v>0</v>
      </c>
      <c r="BK141" s="220"/>
      <c r="BL141" s="236">
        <v>0.8</v>
      </c>
      <c r="BM141" s="233">
        <v>0.88</v>
      </c>
      <c r="BN141" s="237">
        <v>3.0000000000000001E-3</v>
      </c>
      <c r="BO141" s="238">
        <v>0.95</v>
      </c>
      <c r="BP141" s="229">
        <v>1</v>
      </c>
      <c r="BQ141" s="237">
        <v>2.5000000000000001E-3</v>
      </c>
    </row>
    <row r="142" spans="1:69" s="207" customFormat="1" ht="22.35" customHeight="1" x14ac:dyDescent="0.2">
      <c r="A142" s="216" t="s">
        <v>175</v>
      </c>
      <c r="B142" s="216" t="s">
        <v>201</v>
      </c>
      <c r="C142" s="216" t="s">
        <v>203</v>
      </c>
      <c r="D142" s="217">
        <v>2.9894179894444401</v>
      </c>
      <c r="E142" s="218"/>
      <c r="F142" s="219">
        <v>0.08</v>
      </c>
      <c r="G142" s="219">
        <v>7.0000000000000007E-2</v>
      </c>
      <c r="H142" s="220"/>
      <c r="I142" s="221">
        <v>7</v>
      </c>
      <c r="J142" s="221">
        <v>7</v>
      </c>
      <c r="K142" s="218"/>
      <c r="L142" s="222">
        <v>1678.32428</v>
      </c>
      <c r="M142" s="222">
        <v>2834.6209399999998</v>
      </c>
      <c r="N142" s="222">
        <v>4512.9452199999996</v>
      </c>
      <c r="O142" s="217">
        <v>1509.64008242912</v>
      </c>
      <c r="P142" s="223">
        <v>273.93400000000003</v>
      </c>
      <c r="Q142" s="229">
        <v>5.51096279552418</v>
      </c>
      <c r="R142" s="230">
        <v>3618.7028955476399</v>
      </c>
      <c r="S142" s="219">
        <v>0.01</v>
      </c>
      <c r="T142" s="219">
        <v>0.01</v>
      </c>
      <c r="U142" s="226">
        <v>0</v>
      </c>
      <c r="V142" s="227">
        <v>0</v>
      </c>
      <c r="W142" s="218"/>
      <c r="X142" s="226">
        <v>1998.3595800000001</v>
      </c>
      <c r="Y142" s="217">
        <v>668.477806401164</v>
      </c>
      <c r="Z142" s="228">
        <v>573</v>
      </c>
      <c r="AA142" s="229">
        <v>1.1666279343824899</v>
      </c>
      <c r="AB142" s="230">
        <v>127.83291331678301</v>
      </c>
      <c r="AC142" s="219">
        <v>0.02</v>
      </c>
      <c r="AD142" s="219">
        <v>1.7000000000000001E-2</v>
      </c>
      <c r="AE142" s="227">
        <v>0</v>
      </c>
      <c r="AF142" s="227">
        <v>58</v>
      </c>
      <c r="AG142" s="218"/>
      <c r="AH142" s="231">
        <v>213.2</v>
      </c>
      <c r="AI142" s="217">
        <v>71.318230087864407</v>
      </c>
      <c r="AJ142" s="232" t="s">
        <v>53</v>
      </c>
      <c r="AK142" s="229">
        <v>1.1320353982200699</v>
      </c>
      <c r="AL142" s="230">
        <v>7.5399999981802903</v>
      </c>
      <c r="AM142" s="219">
        <v>0.02</v>
      </c>
      <c r="AN142" s="219">
        <v>1.2999999999999999E-2</v>
      </c>
      <c r="AO142" s="227">
        <v>0</v>
      </c>
      <c r="AP142" s="227">
        <v>13</v>
      </c>
      <c r="AQ142" s="218"/>
      <c r="AR142" s="231">
        <v>69.400000000000006</v>
      </c>
      <c r="AS142" s="217">
        <v>23.2152212387326</v>
      </c>
      <c r="AT142" s="232" t="s">
        <v>54</v>
      </c>
      <c r="AU142" s="229">
        <v>1.4509513274207899</v>
      </c>
      <c r="AV142" s="230">
        <v>17.1688888884267</v>
      </c>
      <c r="AW142" s="219">
        <v>0.01</v>
      </c>
      <c r="AX142" s="219">
        <v>0.01</v>
      </c>
      <c r="AY142" s="227">
        <v>0</v>
      </c>
      <c r="AZ142" s="227">
        <v>0</v>
      </c>
      <c r="BA142" s="218"/>
      <c r="BB142" s="235">
        <v>130.80000000000001</v>
      </c>
      <c r="BC142" s="231">
        <v>43.754336282798597</v>
      </c>
      <c r="BD142" s="232" t="s">
        <v>55</v>
      </c>
      <c r="BE142" s="229">
        <v>1.3673230088374599</v>
      </c>
      <c r="BF142" s="230">
        <v>26.3377777768535</v>
      </c>
      <c r="BG142" s="219">
        <v>0.02</v>
      </c>
      <c r="BH142" s="219">
        <v>0.02</v>
      </c>
      <c r="BI142" s="227">
        <v>0</v>
      </c>
      <c r="BJ142" s="227">
        <v>0</v>
      </c>
      <c r="BK142" s="220"/>
      <c r="BL142" s="236">
        <v>0.8</v>
      </c>
      <c r="BM142" s="233">
        <v>0.83</v>
      </c>
      <c r="BN142" s="237">
        <v>1.1249999999999999E-3</v>
      </c>
      <c r="BO142" s="238">
        <v>0.95</v>
      </c>
      <c r="BP142" s="229">
        <v>1</v>
      </c>
      <c r="BQ142" s="237">
        <v>2.5000000000000001E-3</v>
      </c>
    </row>
    <row r="143" spans="1:69" s="207" customFormat="1" ht="22.35" customHeight="1" x14ac:dyDescent="0.2">
      <c r="A143" s="216" t="s">
        <v>175</v>
      </c>
      <c r="B143" s="216" t="s">
        <v>201</v>
      </c>
      <c r="C143" s="216" t="s">
        <v>204</v>
      </c>
      <c r="D143" s="217">
        <v>2.92477570733333</v>
      </c>
      <c r="E143" s="218"/>
      <c r="F143" s="219">
        <v>0.06</v>
      </c>
      <c r="G143" s="219">
        <v>0.06</v>
      </c>
      <c r="H143" s="220"/>
      <c r="I143" s="221">
        <v>6</v>
      </c>
      <c r="J143" s="221">
        <v>6</v>
      </c>
      <c r="K143" s="218"/>
      <c r="L143" s="222">
        <v>2282.62815</v>
      </c>
      <c r="M143" s="222">
        <v>-108.62309999999999</v>
      </c>
      <c r="N143" s="222">
        <v>2174.0050500000002</v>
      </c>
      <c r="O143" s="217">
        <v>743.30658742449396</v>
      </c>
      <c r="P143" s="223">
        <v>287.5</v>
      </c>
      <c r="Q143" s="229">
        <v>2.5854142171286698</v>
      </c>
      <c r="R143" s="230">
        <v>1255.7717166826999</v>
      </c>
      <c r="S143" s="219">
        <v>0.01</v>
      </c>
      <c r="T143" s="219">
        <v>0.01</v>
      </c>
      <c r="U143" s="226">
        <v>0</v>
      </c>
      <c r="V143" s="227">
        <v>0</v>
      </c>
      <c r="W143" s="218"/>
      <c r="X143" s="226">
        <v>2261.97957</v>
      </c>
      <c r="Y143" s="217">
        <v>773.38565289929898</v>
      </c>
      <c r="Z143" s="228">
        <v>573</v>
      </c>
      <c r="AA143" s="229">
        <v>1.34971318132513</v>
      </c>
      <c r="AB143" s="230">
        <v>431.90061351021802</v>
      </c>
      <c r="AC143" s="219">
        <v>0.02</v>
      </c>
      <c r="AD143" s="219">
        <v>0.02</v>
      </c>
      <c r="AE143" s="227">
        <v>0</v>
      </c>
      <c r="AF143" s="227">
        <v>0</v>
      </c>
      <c r="AG143" s="218"/>
      <c r="AH143" s="231">
        <v>155.5</v>
      </c>
      <c r="AI143" s="217">
        <v>53.166470033962803</v>
      </c>
      <c r="AJ143" s="232" t="s">
        <v>53</v>
      </c>
      <c r="AK143" s="239">
        <v>0.84391222276131395</v>
      </c>
      <c r="AL143" s="222">
        <v>-45.712869561703798</v>
      </c>
      <c r="AM143" s="219"/>
      <c r="AN143" s="219"/>
      <c r="AO143" s="227">
        <v>29</v>
      </c>
      <c r="AP143" s="227">
        <v>66</v>
      </c>
      <c r="AQ143" s="218"/>
      <c r="AR143" s="231">
        <v>61.7</v>
      </c>
      <c r="AS143" s="217">
        <v>21.0956347337331</v>
      </c>
      <c r="AT143" s="232" t="s">
        <v>54</v>
      </c>
      <c r="AU143" s="229">
        <v>1.3184771708583201</v>
      </c>
      <c r="AV143" s="230">
        <v>10.5983188414721</v>
      </c>
      <c r="AW143" s="219">
        <v>0.01</v>
      </c>
      <c r="AX143" s="219">
        <v>0.01</v>
      </c>
      <c r="AY143" s="227">
        <v>0</v>
      </c>
      <c r="AZ143" s="227">
        <v>0</v>
      </c>
      <c r="BA143" s="218"/>
      <c r="BB143" s="235">
        <v>154</v>
      </c>
      <c r="BC143" s="231">
        <v>52.653610194406902</v>
      </c>
      <c r="BD143" s="232" t="s">
        <v>55</v>
      </c>
      <c r="BE143" s="229">
        <v>1.6454253185752199</v>
      </c>
      <c r="BF143" s="230">
        <v>51.796637682944102</v>
      </c>
      <c r="BG143" s="219">
        <v>0.02</v>
      </c>
      <c r="BH143" s="219">
        <v>0.02</v>
      </c>
      <c r="BI143" s="227">
        <v>0</v>
      </c>
      <c r="BJ143" s="227">
        <v>0</v>
      </c>
      <c r="BK143" s="220"/>
      <c r="BL143" s="236">
        <v>0.8</v>
      </c>
      <c r="BM143" s="233">
        <v>0.83</v>
      </c>
      <c r="BN143" s="237">
        <v>1.1249999999999999E-3</v>
      </c>
      <c r="BO143" s="238">
        <v>0.95</v>
      </c>
      <c r="BP143" s="229">
        <v>1</v>
      </c>
      <c r="BQ143" s="237">
        <v>2.5000000000000001E-3</v>
      </c>
    </row>
    <row r="144" spans="1:69" s="207" customFormat="1" ht="22.35" customHeight="1" x14ac:dyDescent="0.2">
      <c r="A144" s="216" t="s">
        <v>175</v>
      </c>
      <c r="B144" s="216" t="s">
        <v>201</v>
      </c>
      <c r="C144" s="216" t="s">
        <v>205</v>
      </c>
      <c r="D144" s="217">
        <v>2.6681531807777801</v>
      </c>
      <c r="E144" s="218"/>
      <c r="F144" s="219">
        <v>0.04</v>
      </c>
      <c r="G144" s="219">
        <v>0.04</v>
      </c>
      <c r="H144" s="220"/>
      <c r="I144" s="221">
        <v>4</v>
      </c>
      <c r="J144" s="221">
        <v>4</v>
      </c>
      <c r="K144" s="218"/>
      <c r="L144" s="222">
        <v>849.60068999999999</v>
      </c>
      <c r="M144" s="222">
        <v>516.55607999999995</v>
      </c>
      <c r="N144" s="222">
        <v>1366.1567700000001</v>
      </c>
      <c r="O144" s="217">
        <v>512.02336501600701</v>
      </c>
      <c r="P144" s="223">
        <v>265.91699999999997</v>
      </c>
      <c r="Q144" s="229">
        <v>1.925500682604</v>
      </c>
      <c r="R144" s="230">
        <v>591.37481000481</v>
      </c>
      <c r="S144" s="219">
        <v>0.01</v>
      </c>
      <c r="T144" s="219">
        <v>0.01</v>
      </c>
      <c r="U144" s="226">
        <v>0</v>
      </c>
      <c r="V144" s="227">
        <v>0</v>
      </c>
      <c r="W144" s="218"/>
      <c r="X144" s="226">
        <v>1087.1326550000001</v>
      </c>
      <c r="Y144" s="217">
        <v>407.447616887984</v>
      </c>
      <c r="Z144" s="228">
        <v>573</v>
      </c>
      <c r="AA144" s="224">
        <v>0.71107786542405604</v>
      </c>
      <c r="AB144" s="225">
        <v>-582.373480663549</v>
      </c>
      <c r="AC144" s="219"/>
      <c r="AD144" s="219"/>
      <c r="AE144" s="227">
        <v>442</v>
      </c>
      <c r="AF144" s="227">
        <v>748</v>
      </c>
      <c r="AG144" s="218"/>
      <c r="AH144" s="231">
        <v>113.1</v>
      </c>
      <c r="AI144" s="217">
        <v>42.388870629620598</v>
      </c>
      <c r="AJ144" s="232" t="s">
        <v>53</v>
      </c>
      <c r="AK144" s="224">
        <v>0.672839216343184</v>
      </c>
      <c r="AL144" s="225">
        <v>-70.458266224788204</v>
      </c>
      <c r="AM144" s="219"/>
      <c r="AN144" s="219"/>
      <c r="AO144" s="227">
        <v>55</v>
      </c>
      <c r="AP144" s="227">
        <v>89</v>
      </c>
      <c r="AQ144" s="218"/>
      <c r="AR144" s="231">
        <v>52</v>
      </c>
      <c r="AS144" s="217">
        <v>19.489135921664602</v>
      </c>
      <c r="AT144" s="232" t="s">
        <v>54</v>
      </c>
      <c r="AU144" s="229">
        <v>1.21807099510404</v>
      </c>
      <c r="AV144" s="230">
        <v>5.3820276254506298</v>
      </c>
      <c r="AW144" s="219">
        <v>0.01</v>
      </c>
      <c r="AX144" s="219">
        <v>0.01</v>
      </c>
      <c r="AY144" s="227">
        <v>0</v>
      </c>
      <c r="AZ144" s="227">
        <v>0</v>
      </c>
      <c r="BA144" s="218"/>
      <c r="BB144" s="235">
        <v>106.8</v>
      </c>
      <c r="BC144" s="231">
        <v>40.027686854495897</v>
      </c>
      <c r="BD144" s="232" t="s">
        <v>55</v>
      </c>
      <c r="BE144" s="229">
        <v>1.2508652142029999</v>
      </c>
      <c r="BF144" s="230">
        <v>13.5640552509012</v>
      </c>
      <c r="BG144" s="219">
        <v>0.02</v>
      </c>
      <c r="BH144" s="219">
        <v>0.02</v>
      </c>
      <c r="BI144" s="227">
        <v>0</v>
      </c>
      <c r="BJ144" s="227">
        <v>0</v>
      </c>
      <c r="BK144" s="220"/>
      <c r="BL144" s="236">
        <v>0.8</v>
      </c>
      <c r="BM144" s="239">
        <v>0.78</v>
      </c>
      <c r="BN144" s="237"/>
      <c r="BO144" s="238">
        <v>0.95</v>
      </c>
      <c r="BP144" s="229">
        <v>1</v>
      </c>
      <c r="BQ144" s="237">
        <v>2.5000000000000001E-3</v>
      </c>
    </row>
    <row r="145" spans="1:69" s="207" customFormat="1" ht="22.35" customHeight="1" x14ac:dyDescent="0.2">
      <c r="A145" s="216" t="s">
        <v>175</v>
      </c>
      <c r="B145" s="216" t="s">
        <v>201</v>
      </c>
      <c r="C145" s="216" t="s">
        <v>206</v>
      </c>
      <c r="D145" s="217">
        <v>10.628939992444399</v>
      </c>
      <c r="E145" s="218"/>
      <c r="F145" s="219">
        <v>6.2E-2</v>
      </c>
      <c r="G145" s="219">
        <v>3.7499999999999999E-2</v>
      </c>
      <c r="H145" s="220"/>
      <c r="I145" s="221">
        <v>6</v>
      </c>
      <c r="J145" s="221">
        <v>6</v>
      </c>
      <c r="K145" s="218"/>
      <c r="L145" s="222">
        <v>10037.73885</v>
      </c>
      <c r="M145" s="222">
        <v>3604.9342900000001</v>
      </c>
      <c r="N145" s="222">
        <v>13642.673140000001</v>
      </c>
      <c r="O145" s="217">
        <v>1283.54032948703</v>
      </c>
      <c r="P145" s="223">
        <v>287.5</v>
      </c>
      <c r="Q145" s="229">
        <v>4.4644881025635801</v>
      </c>
      <c r="R145" s="230">
        <v>10305.7174293721</v>
      </c>
      <c r="S145" s="219">
        <v>0.01</v>
      </c>
      <c r="T145" s="219">
        <v>0.01</v>
      </c>
      <c r="U145" s="226">
        <v>0</v>
      </c>
      <c r="V145" s="227">
        <v>0</v>
      </c>
      <c r="W145" s="218"/>
      <c r="X145" s="226">
        <v>6281.4003199999997</v>
      </c>
      <c r="Y145" s="217">
        <v>590.97147264591899</v>
      </c>
      <c r="Z145" s="228">
        <v>573</v>
      </c>
      <c r="AA145" s="233">
        <v>1.0313638266071901</v>
      </c>
      <c r="AB145" s="234">
        <v>-369.29749631236302</v>
      </c>
      <c r="AC145" s="219">
        <v>1.2999999999999999E-2</v>
      </c>
      <c r="AD145" s="219">
        <v>3.0000000000000001E-3</v>
      </c>
      <c r="AE145" s="227">
        <v>0</v>
      </c>
      <c r="AF145" s="227">
        <v>1028</v>
      </c>
      <c r="AG145" s="218"/>
      <c r="AH145" s="231">
        <v>694.95</v>
      </c>
      <c r="AI145" s="217">
        <v>65.3828133844018</v>
      </c>
      <c r="AJ145" s="232" t="s">
        <v>53</v>
      </c>
      <c r="AK145" s="233">
        <v>1.03782243467304</v>
      </c>
      <c r="AL145" s="234">
        <v>-36.278555720207599</v>
      </c>
      <c r="AM145" s="219">
        <v>1.4E-2</v>
      </c>
      <c r="AN145" s="219">
        <v>4.0000000000000001E-3</v>
      </c>
      <c r="AO145" s="227">
        <v>0</v>
      </c>
      <c r="AP145" s="227">
        <v>109</v>
      </c>
      <c r="AQ145" s="218"/>
      <c r="AR145" s="231">
        <v>170.1</v>
      </c>
      <c r="AS145" s="217">
        <v>16.003477310147101</v>
      </c>
      <c r="AT145" s="232" t="s">
        <v>54</v>
      </c>
      <c r="AU145" s="233">
        <v>1.00021733188419</v>
      </c>
      <c r="AV145" s="234">
        <v>-15.6088395479892</v>
      </c>
      <c r="AW145" s="219">
        <v>5.0000000000000001E-3</v>
      </c>
      <c r="AX145" s="219">
        <v>5.0000000000000001E-4</v>
      </c>
      <c r="AY145" s="227">
        <v>0</v>
      </c>
      <c r="AZ145" s="227">
        <v>34</v>
      </c>
      <c r="BA145" s="218"/>
      <c r="BB145" s="235">
        <v>408.8</v>
      </c>
      <c r="BC145" s="231">
        <v>38.461031889407103</v>
      </c>
      <c r="BD145" s="232" t="s">
        <v>55</v>
      </c>
      <c r="BE145" s="229">
        <v>1.20190724654397</v>
      </c>
      <c r="BF145" s="230">
        <v>37.382320904021498</v>
      </c>
      <c r="BG145" s="219">
        <v>0.02</v>
      </c>
      <c r="BH145" s="219">
        <v>0.02</v>
      </c>
      <c r="BI145" s="227">
        <v>0</v>
      </c>
      <c r="BJ145" s="227">
        <v>0</v>
      </c>
      <c r="BK145" s="220"/>
      <c r="BL145" s="236">
        <v>0.8</v>
      </c>
      <c r="BM145" s="239">
        <v>0.79</v>
      </c>
      <c r="BN145" s="237"/>
      <c r="BO145" s="238">
        <v>0.95</v>
      </c>
      <c r="BP145" s="229">
        <v>1</v>
      </c>
      <c r="BQ145" s="237">
        <v>2.5000000000000001E-3</v>
      </c>
    </row>
    <row r="146" spans="1:69" s="207" customFormat="1" ht="22.35" customHeight="1" x14ac:dyDescent="0.2">
      <c r="A146" s="216" t="s">
        <v>175</v>
      </c>
      <c r="B146" s="216" t="s">
        <v>201</v>
      </c>
      <c r="C146" s="216" t="s">
        <v>207</v>
      </c>
      <c r="D146" s="217">
        <v>2.3655582742222201</v>
      </c>
      <c r="E146" s="218"/>
      <c r="F146" s="219">
        <v>6.4000000000000001E-2</v>
      </c>
      <c r="G146" s="219">
        <v>5.1999999999999998E-2</v>
      </c>
      <c r="H146" s="220"/>
      <c r="I146" s="221">
        <v>6</v>
      </c>
      <c r="J146" s="221">
        <v>5</v>
      </c>
      <c r="K146" s="218"/>
      <c r="L146" s="222">
        <v>1798.9796699999999</v>
      </c>
      <c r="M146" s="222">
        <v>-147.45534000000001</v>
      </c>
      <c r="N146" s="222">
        <v>1651.52433</v>
      </c>
      <c r="O146" s="217">
        <v>698.15415160000998</v>
      </c>
      <c r="P146" s="223">
        <v>212.5</v>
      </c>
      <c r="Q146" s="229">
        <v>3.2854313016471099</v>
      </c>
      <c r="R146" s="230">
        <v>1102.59653246673</v>
      </c>
      <c r="S146" s="219">
        <v>0.01</v>
      </c>
      <c r="T146" s="219">
        <v>0.01</v>
      </c>
      <c r="U146" s="226">
        <v>0</v>
      </c>
      <c r="V146" s="227">
        <v>0</v>
      </c>
      <c r="W146" s="218"/>
      <c r="X146" s="226">
        <v>1520.49155</v>
      </c>
      <c r="Y146" s="217">
        <v>642.76224626084297</v>
      </c>
      <c r="Z146" s="228">
        <v>573</v>
      </c>
      <c r="AA146" s="229">
        <v>1.12174912087407</v>
      </c>
      <c r="AB146" s="230">
        <v>40.323888886769303</v>
      </c>
      <c r="AC146" s="219">
        <v>0.02</v>
      </c>
      <c r="AD146" s="219">
        <v>1.2E-2</v>
      </c>
      <c r="AE146" s="227">
        <v>0</v>
      </c>
      <c r="AF146" s="227">
        <v>107</v>
      </c>
      <c r="AG146" s="218"/>
      <c r="AH146" s="231">
        <v>140.6</v>
      </c>
      <c r="AI146" s="217">
        <v>59.436286787831598</v>
      </c>
      <c r="AJ146" s="232" t="s">
        <v>53</v>
      </c>
      <c r="AK146" s="233">
        <v>0.94343312361637499</v>
      </c>
      <c r="AL146" s="234">
        <v>-22.1409470333919</v>
      </c>
      <c r="AM146" s="219">
        <v>4.0000000000000001E-3</v>
      </c>
      <c r="AN146" s="219"/>
      <c r="AO146" s="227">
        <v>9</v>
      </c>
      <c r="AP146" s="227">
        <v>39</v>
      </c>
      <c r="AQ146" s="218"/>
      <c r="AR146" s="231">
        <v>85.1</v>
      </c>
      <c r="AS146" s="217">
        <v>35.9745946347402</v>
      </c>
      <c r="AT146" s="232" t="s">
        <v>54</v>
      </c>
      <c r="AU146" s="229">
        <v>2.2484121646712598</v>
      </c>
      <c r="AV146" s="230">
        <v>43.768965832789398</v>
      </c>
      <c r="AW146" s="219">
        <v>0.01</v>
      </c>
      <c r="AX146" s="219">
        <v>0.01</v>
      </c>
      <c r="AY146" s="227">
        <v>0</v>
      </c>
      <c r="AZ146" s="227">
        <v>0</v>
      </c>
      <c r="BA146" s="218"/>
      <c r="BB146" s="235">
        <v>155</v>
      </c>
      <c r="BC146" s="231">
        <v>65.523644751876901</v>
      </c>
      <c r="BD146" s="232" t="s">
        <v>55</v>
      </c>
      <c r="BE146" s="229">
        <v>2.0476138984961501</v>
      </c>
      <c r="BF146" s="230">
        <v>72.337931665578694</v>
      </c>
      <c r="BG146" s="219">
        <v>0.02</v>
      </c>
      <c r="BH146" s="219">
        <v>0.02</v>
      </c>
      <c r="BI146" s="227">
        <v>0</v>
      </c>
      <c r="BJ146" s="227">
        <v>0</v>
      </c>
      <c r="BK146" s="220"/>
      <c r="BL146" s="236">
        <v>0.8</v>
      </c>
      <c r="BM146" s="239">
        <v>0.78</v>
      </c>
      <c r="BN146" s="237"/>
      <c r="BO146" s="238">
        <v>0.95</v>
      </c>
      <c r="BP146" s="229">
        <v>1</v>
      </c>
      <c r="BQ146" s="237">
        <v>2.5000000000000001E-3</v>
      </c>
    </row>
    <row r="147" spans="1:69" s="207" customFormat="1" ht="22.35" customHeight="1" x14ac:dyDescent="0.2">
      <c r="A147" s="216" t="s">
        <v>175</v>
      </c>
      <c r="B147" s="216" t="s">
        <v>201</v>
      </c>
      <c r="C147" s="216" t="s">
        <v>208</v>
      </c>
      <c r="D147" s="217">
        <v>1.8899021605555599</v>
      </c>
      <c r="E147" s="218"/>
      <c r="F147" s="219">
        <v>7.0000000000000007E-2</v>
      </c>
      <c r="G147" s="219">
        <v>0.05</v>
      </c>
      <c r="H147" s="220"/>
      <c r="I147" s="221">
        <v>7</v>
      </c>
      <c r="J147" s="221">
        <v>6</v>
      </c>
      <c r="K147" s="218"/>
      <c r="L147" s="222">
        <v>424.00729000000001</v>
      </c>
      <c r="M147" s="222">
        <v>1076.35411</v>
      </c>
      <c r="N147" s="222">
        <v>1500.3614</v>
      </c>
      <c r="O147" s="217">
        <v>793.883107450892</v>
      </c>
      <c r="P147" s="223">
        <v>273.64299999999997</v>
      </c>
      <c r="Q147" s="229">
        <v>2.9011635870491599</v>
      </c>
      <c r="R147" s="230">
        <v>935.62432136237203</v>
      </c>
      <c r="S147" s="219">
        <v>0.01</v>
      </c>
      <c r="T147" s="219">
        <v>0.01</v>
      </c>
      <c r="U147" s="226">
        <v>0</v>
      </c>
      <c r="V147" s="227">
        <v>0</v>
      </c>
      <c r="W147" s="218"/>
      <c r="X147" s="226">
        <v>1187.9262000000001</v>
      </c>
      <c r="Y147" s="217">
        <v>628.56491981087402</v>
      </c>
      <c r="Z147" s="228">
        <v>573</v>
      </c>
      <c r="AA147" s="229">
        <v>1.09697193684271</v>
      </c>
      <c r="AB147" s="230">
        <v>5.3841797058171297</v>
      </c>
      <c r="AC147" s="219">
        <v>0.02</v>
      </c>
      <c r="AD147" s="219">
        <v>0.01</v>
      </c>
      <c r="AE147" s="227">
        <v>0</v>
      </c>
      <c r="AF147" s="227">
        <v>112</v>
      </c>
      <c r="AG147" s="218"/>
      <c r="AH147" s="231">
        <v>119</v>
      </c>
      <c r="AI147" s="217">
        <v>62.966222529222797</v>
      </c>
      <c r="AJ147" s="232" t="s">
        <v>53</v>
      </c>
      <c r="AK147" s="233">
        <v>0.99946384967020196</v>
      </c>
      <c r="AL147" s="234">
        <v>-11.0177090375803</v>
      </c>
      <c r="AM147" s="219">
        <v>0.01</v>
      </c>
      <c r="AN147" s="219">
        <v>0</v>
      </c>
      <c r="AO147" s="227">
        <v>1</v>
      </c>
      <c r="AP147" s="227">
        <v>24</v>
      </c>
      <c r="AQ147" s="218"/>
      <c r="AR147" s="231">
        <v>59.5</v>
      </c>
      <c r="AS147" s="217">
        <v>31.483111264611399</v>
      </c>
      <c r="AT147" s="232" t="s">
        <v>54</v>
      </c>
      <c r="AU147" s="229">
        <v>1.96769445403821</v>
      </c>
      <c r="AV147" s="230">
        <v>26.479629450773299</v>
      </c>
      <c r="AW147" s="219">
        <v>0.01</v>
      </c>
      <c r="AX147" s="219">
        <v>0.01</v>
      </c>
      <c r="AY147" s="227">
        <v>0</v>
      </c>
      <c r="AZ147" s="227">
        <v>0</v>
      </c>
      <c r="BA147" s="218"/>
      <c r="BB147" s="235">
        <v>83.6</v>
      </c>
      <c r="BC147" s="231">
        <v>44.235094146580003</v>
      </c>
      <c r="BD147" s="232" t="s">
        <v>55</v>
      </c>
      <c r="BE147" s="229">
        <v>1.38234669208063</v>
      </c>
      <c r="BF147" s="230">
        <v>17.559258901546499</v>
      </c>
      <c r="BG147" s="219">
        <v>0.02</v>
      </c>
      <c r="BH147" s="219">
        <v>0.02</v>
      </c>
      <c r="BI147" s="227">
        <v>0</v>
      </c>
      <c r="BJ147" s="227">
        <v>0</v>
      </c>
      <c r="BK147" s="220"/>
      <c r="BL147" s="236">
        <v>0.8</v>
      </c>
      <c r="BM147" s="233">
        <v>0.87</v>
      </c>
      <c r="BN147" s="237">
        <v>2.6250000000000002E-3</v>
      </c>
      <c r="BO147" s="238">
        <v>0.95</v>
      </c>
      <c r="BP147" s="229">
        <v>1</v>
      </c>
      <c r="BQ147" s="237">
        <v>2.5000000000000001E-3</v>
      </c>
    </row>
    <row r="148" spans="1:69" s="207" customFormat="1" ht="22.35" customHeight="1" x14ac:dyDescent="0.2">
      <c r="A148" s="216" t="s">
        <v>175</v>
      </c>
      <c r="B148" s="216" t="s">
        <v>201</v>
      </c>
      <c r="C148" s="216" t="s">
        <v>209</v>
      </c>
      <c r="D148" s="217">
        <v>8.0221390946666702</v>
      </c>
      <c r="E148" s="218"/>
      <c r="F148" s="219">
        <v>4.2000000000000003E-2</v>
      </c>
      <c r="G148" s="219">
        <v>3.3500000000000002E-2</v>
      </c>
      <c r="H148" s="220"/>
      <c r="I148" s="221">
        <v>6</v>
      </c>
      <c r="J148" s="221">
        <v>4</v>
      </c>
      <c r="K148" s="218"/>
      <c r="L148" s="222">
        <v>5525.2289600000004</v>
      </c>
      <c r="M148" s="222">
        <v>-1818.8518899999999</v>
      </c>
      <c r="N148" s="222">
        <v>3706.37707</v>
      </c>
      <c r="O148" s="217">
        <v>462.01854969880799</v>
      </c>
      <c r="P148" s="223">
        <v>287.5</v>
      </c>
      <c r="Q148" s="229">
        <v>1.6070210424306399</v>
      </c>
      <c r="R148" s="230">
        <v>1187.8265012294</v>
      </c>
      <c r="S148" s="219">
        <v>0.01</v>
      </c>
      <c r="T148" s="219">
        <v>0.01</v>
      </c>
      <c r="U148" s="226">
        <v>0</v>
      </c>
      <c r="V148" s="227">
        <v>0</v>
      </c>
      <c r="W148" s="218"/>
      <c r="X148" s="226">
        <v>4261.0627949999998</v>
      </c>
      <c r="Y148" s="217">
        <v>531.16291611458905</v>
      </c>
      <c r="Z148" s="228">
        <v>573</v>
      </c>
      <c r="AA148" s="233">
        <v>0.926985891997538</v>
      </c>
      <c r="AB148" s="234">
        <v>-758.51799075845099</v>
      </c>
      <c r="AC148" s="219">
        <v>2E-3</v>
      </c>
      <c r="AD148" s="219"/>
      <c r="AE148" s="227">
        <v>336</v>
      </c>
      <c r="AF148" s="227">
        <v>1255</v>
      </c>
      <c r="AG148" s="218"/>
      <c r="AH148" s="231">
        <v>464.15</v>
      </c>
      <c r="AI148" s="217">
        <v>57.858632781445998</v>
      </c>
      <c r="AJ148" s="232" t="s">
        <v>53</v>
      </c>
      <c r="AK148" s="233">
        <v>0.91839099653088796</v>
      </c>
      <c r="AL148" s="234">
        <v>-87.741081156688296</v>
      </c>
      <c r="AM148" s="219">
        <v>1E-3</v>
      </c>
      <c r="AN148" s="219"/>
      <c r="AO148" s="227">
        <v>42</v>
      </c>
      <c r="AP148" s="227">
        <v>143</v>
      </c>
      <c r="AQ148" s="218"/>
      <c r="AR148" s="231">
        <v>137.69999999999999</v>
      </c>
      <c r="AS148" s="217">
        <v>17.1649978110635</v>
      </c>
      <c r="AT148" s="232" t="s">
        <v>54</v>
      </c>
      <c r="AU148" s="233">
        <v>1.0728123631914701</v>
      </c>
      <c r="AV148" s="234">
        <v>-2.46281426201605</v>
      </c>
      <c r="AW148" s="219">
        <v>8.9999999999999993E-3</v>
      </c>
      <c r="AX148" s="219">
        <v>3.5000000000000001E-3</v>
      </c>
      <c r="AY148" s="227">
        <v>0</v>
      </c>
      <c r="AZ148" s="227">
        <v>17</v>
      </c>
      <c r="BA148" s="218"/>
      <c r="BB148" s="235">
        <v>344.6</v>
      </c>
      <c r="BC148" s="231">
        <v>42.956123788616303</v>
      </c>
      <c r="BD148" s="232" t="s">
        <v>55</v>
      </c>
      <c r="BE148" s="229">
        <v>1.3423788683942599</v>
      </c>
      <c r="BF148" s="230">
        <v>64.274371475967897</v>
      </c>
      <c r="BG148" s="219">
        <v>0.02</v>
      </c>
      <c r="BH148" s="219">
        <v>0.02</v>
      </c>
      <c r="BI148" s="227">
        <v>0</v>
      </c>
      <c r="BJ148" s="227">
        <v>0</v>
      </c>
      <c r="BK148" s="220"/>
      <c r="BL148" s="236">
        <v>0.8</v>
      </c>
      <c r="BM148" s="239">
        <v>0.76</v>
      </c>
      <c r="BN148" s="237"/>
      <c r="BO148" s="238">
        <v>0.95</v>
      </c>
      <c r="BP148" s="229">
        <v>1</v>
      </c>
      <c r="BQ148" s="237">
        <v>2.5000000000000001E-3</v>
      </c>
    </row>
    <row r="149" spans="1:69" s="207" customFormat="1" ht="22.35" customHeight="1" x14ac:dyDescent="0.2">
      <c r="A149" s="216" t="s">
        <v>175</v>
      </c>
      <c r="B149" s="216" t="s">
        <v>201</v>
      </c>
      <c r="C149" s="216" t="s">
        <v>210</v>
      </c>
      <c r="D149" s="217">
        <v>3.69585255633333</v>
      </c>
      <c r="E149" s="218"/>
      <c r="F149" s="219">
        <v>7.2999999999999995E-2</v>
      </c>
      <c r="G149" s="219">
        <v>6.0999999999999999E-2</v>
      </c>
      <c r="H149" s="220"/>
      <c r="I149" s="221">
        <v>6</v>
      </c>
      <c r="J149" s="221">
        <v>6</v>
      </c>
      <c r="K149" s="218"/>
      <c r="L149" s="222">
        <v>2189.3921500000001</v>
      </c>
      <c r="M149" s="222">
        <v>407.92901000000001</v>
      </c>
      <c r="N149" s="222">
        <v>2597.32116</v>
      </c>
      <c r="O149" s="217">
        <v>702.766444388899</v>
      </c>
      <c r="P149" s="223">
        <v>239.22399999999999</v>
      </c>
      <c r="Q149" s="229">
        <v>2.9376920559345998</v>
      </c>
      <c r="R149" s="230">
        <v>1631.8439579255801</v>
      </c>
      <c r="S149" s="219">
        <v>0.01</v>
      </c>
      <c r="T149" s="219">
        <v>0.01</v>
      </c>
      <c r="U149" s="226">
        <v>0</v>
      </c>
      <c r="V149" s="227">
        <v>0</v>
      </c>
      <c r="W149" s="218"/>
      <c r="X149" s="226">
        <v>2492.0674049999998</v>
      </c>
      <c r="Y149" s="217">
        <v>674.28756072249496</v>
      </c>
      <c r="Z149" s="228">
        <v>573</v>
      </c>
      <c r="AA149" s="229">
        <v>1.17676712167975</v>
      </c>
      <c r="AB149" s="230">
        <v>179.51332686133401</v>
      </c>
      <c r="AC149" s="219">
        <v>0.02</v>
      </c>
      <c r="AD149" s="219">
        <v>1.7999999999999999E-2</v>
      </c>
      <c r="AE149" s="227">
        <v>0</v>
      </c>
      <c r="AF149" s="227">
        <v>50</v>
      </c>
      <c r="AG149" s="218"/>
      <c r="AH149" s="231">
        <v>240.4</v>
      </c>
      <c r="AI149" s="217">
        <v>65.045884903617903</v>
      </c>
      <c r="AJ149" s="232" t="s">
        <v>53</v>
      </c>
      <c r="AK149" s="233">
        <v>1.03247436354949</v>
      </c>
      <c r="AL149" s="234">
        <v>-13.8598724655078</v>
      </c>
      <c r="AM149" s="219">
        <v>1.2999999999999999E-2</v>
      </c>
      <c r="AN149" s="219">
        <v>3.0000000000000001E-3</v>
      </c>
      <c r="AO149" s="227">
        <v>0</v>
      </c>
      <c r="AP149" s="227">
        <v>40</v>
      </c>
      <c r="AQ149" s="218"/>
      <c r="AR149" s="231">
        <v>99.7</v>
      </c>
      <c r="AS149" s="217">
        <v>26.976184379745</v>
      </c>
      <c r="AT149" s="232" t="s">
        <v>54</v>
      </c>
      <c r="AU149" s="229">
        <v>1.68601152373406</v>
      </c>
      <c r="AV149" s="230">
        <v>35.126064135744102</v>
      </c>
      <c r="AW149" s="219">
        <v>0.01</v>
      </c>
      <c r="AX149" s="219">
        <v>0.01</v>
      </c>
      <c r="AY149" s="227">
        <v>0</v>
      </c>
      <c r="AZ149" s="227">
        <v>0</v>
      </c>
      <c r="BA149" s="218"/>
      <c r="BB149" s="235">
        <v>204</v>
      </c>
      <c r="BC149" s="231">
        <v>55.197007156148302</v>
      </c>
      <c r="BD149" s="232" t="s">
        <v>55</v>
      </c>
      <c r="BE149" s="229">
        <v>1.72490647362963</v>
      </c>
      <c r="BF149" s="230">
        <v>74.852128271488098</v>
      </c>
      <c r="BG149" s="219">
        <v>0.02</v>
      </c>
      <c r="BH149" s="219">
        <v>0.02</v>
      </c>
      <c r="BI149" s="227">
        <v>0</v>
      </c>
      <c r="BJ149" s="227">
        <v>0</v>
      </c>
      <c r="BK149" s="220"/>
      <c r="BL149" s="236">
        <v>0.8</v>
      </c>
      <c r="BM149" s="239">
        <v>0.76</v>
      </c>
      <c r="BN149" s="237"/>
      <c r="BO149" s="238">
        <v>0.95</v>
      </c>
      <c r="BP149" s="229">
        <v>1</v>
      </c>
      <c r="BQ149" s="237">
        <v>2.5000000000000001E-3</v>
      </c>
    </row>
    <row r="150" spans="1:69" s="207" customFormat="1" ht="22.35" customHeight="1" x14ac:dyDescent="0.2">
      <c r="A150" s="216" t="s">
        <v>175</v>
      </c>
      <c r="B150" s="216" t="s">
        <v>201</v>
      </c>
      <c r="C150" s="216" t="s">
        <v>211</v>
      </c>
      <c r="D150" s="217">
        <v>2.8061909415555601</v>
      </c>
      <c r="E150" s="218"/>
      <c r="F150" s="219">
        <v>6.7000000000000004E-2</v>
      </c>
      <c r="G150" s="219">
        <v>4.8000000000000001E-2</v>
      </c>
      <c r="H150" s="220"/>
      <c r="I150" s="221">
        <v>7</v>
      </c>
      <c r="J150" s="221">
        <v>6</v>
      </c>
      <c r="K150" s="218"/>
      <c r="L150" s="222">
        <v>2125.1541200000001</v>
      </c>
      <c r="M150" s="222">
        <v>1765.28495</v>
      </c>
      <c r="N150" s="222">
        <v>3890.4390699999999</v>
      </c>
      <c r="O150" s="217">
        <v>1386.3771749770599</v>
      </c>
      <c r="P150" s="223">
        <v>229.53</v>
      </c>
      <c r="Q150" s="229">
        <v>6.0400695986453199</v>
      </c>
      <c r="R150" s="230">
        <v>3187.07640255775</v>
      </c>
      <c r="S150" s="219">
        <v>0.01</v>
      </c>
      <c r="T150" s="219">
        <v>0.01</v>
      </c>
      <c r="U150" s="226">
        <v>0</v>
      </c>
      <c r="V150" s="227">
        <v>0</v>
      </c>
      <c r="W150" s="218"/>
      <c r="X150" s="226">
        <v>1732.9791700000001</v>
      </c>
      <c r="Y150" s="217">
        <v>617.55568530178402</v>
      </c>
      <c r="Z150" s="228">
        <v>573</v>
      </c>
      <c r="AA150" s="233">
        <v>1.07775861309212</v>
      </c>
      <c r="AB150" s="234">
        <v>-22.899401186378999</v>
      </c>
      <c r="AC150" s="219">
        <v>1.7999999999999999E-2</v>
      </c>
      <c r="AD150" s="219">
        <v>8.0000000000000002E-3</v>
      </c>
      <c r="AE150" s="227">
        <v>0</v>
      </c>
      <c r="AF150" s="227">
        <v>197</v>
      </c>
      <c r="AG150" s="218"/>
      <c r="AH150" s="231">
        <v>176.05</v>
      </c>
      <c r="AI150" s="217">
        <v>62.736286898000699</v>
      </c>
      <c r="AJ150" s="232" t="s">
        <v>53</v>
      </c>
      <c r="AK150" s="233">
        <v>0.99581407774604203</v>
      </c>
      <c r="AL150" s="234">
        <v>-17.004712015256299</v>
      </c>
      <c r="AM150" s="219">
        <v>8.9999999999999993E-3</v>
      </c>
      <c r="AN150" s="219">
        <v>0</v>
      </c>
      <c r="AO150" s="227">
        <v>1</v>
      </c>
      <c r="AP150" s="227">
        <v>37</v>
      </c>
      <c r="AQ150" s="218"/>
      <c r="AR150" s="231">
        <v>61.4</v>
      </c>
      <c r="AS150" s="217">
        <v>21.880193215207299</v>
      </c>
      <c r="AT150" s="232" t="s">
        <v>54</v>
      </c>
      <c r="AU150" s="229">
        <v>1.36751207595045</v>
      </c>
      <c r="AV150" s="230">
        <v>12.3702318691413</v>
      </c>
      <c r="AW150" s="219">
        <v>0.01</v>
      </c>
      <c r="AX150" s="219">
        <v>0.01</v>
      </c>
      <c r="AY150" s="227">
        <v>0</v>
      </c>
      <c r="AZ150" s="227">
        <v>0</v>
      </c>
      <c r="BA150" s="218"/>
      <c r="BB150" s="235">
        <v>160.4</v>
      </c>
      <c r="BC150" s="231">
        <v>57.159332112691303</v>
      </c>
      <c r="BD150" s="232" t="s">
        <v>55</v>
      </c>
      <c r="BE150" s="229">
        <v>1.7862291285216001</v>
      </c>
      <c r="BF150" s="230">
        <v>62.340463738282502</v>
      </c>
      <c r="BG150" s="219">
        <v>0.02</v>
      </c>
      <c r="BH150" s="219">
        <v>0.02</v>
      </c>
      <c r="BI150" s="227">
        <v>0</v>
      </c>
      <c r="BJ150" s="227">
        <v>0</v>
      </c>
      <c r="BK150" s="220"/>
      <c r="BL150" s="236">
        <v>0.8</v>
      </c>
      <c r="BM150" s="233">
        <v>0.83</v>
      </c>
      <c r="BN150" s="237">
        <v>1.1249999999999999E-3</v>
      </c>
      <c r="BO150" s="238">
        <v>0.95</v>
      </c>
      <c r="BP150" s="229">
        <v>1</v>
      </c>
      <c r="BQ150" s="237">
        <v>2.5000000000000001E-3</v>
      </c>
    </row>
    <row r="151" spans="1:69" s="207" customFormat="1" ht="22.35" customHeight="1" x14ac:dyDescent="0.2">
      <c r="A151" s="216" t="s">
        <v>175</v>
      </c>
      <c r="B151" s="216" t="s">
        <v>201</v>
      </c>
      <c r="C151" s="216" t="s">
        <v>212</v>
      </c>
      <c r="D151" s="217">
        <v>3.7250110427777798</v>
      </c>
      <c r="E151" s="218"/>
      <c r="F151" s="219">
        <v>4.1000000000000002E-2</v>
      </c>
      <c r="G151" s="219">
        <v>0.04</v>
      </c>
      <c r="H151" s="220"/>
      <c r="I151" s="221">
        <v>5</v>
      </c>
      <c r="J151" s="221">
        <v>4</v>
      </c>
      <c r="K151" s="218"/>
      <c r="L151" s="222">
        <v>2883.15508</v>
      </c>
      <c r="M151" s="222">
        <v>2703.7162800000001</v>
      </c>
      <c r="N151" s="222">
        <v>5586.8713600000001</v>
      </c>
      <c r="O151" s="217">
        <v>1499.8267913412201</v>
      </c>
      <c r="P151" s="223">
        <v>247.43600000000001</v>
      </c>
      <c r="Q151" s="229">
        <v>6.0614736390065298</v>
      </c>
      <c r="R151" s="230">
        <v>4580.3729590402099</v>
      </c>
      <c r="S151" s="219">
        <v>0.01</v>
      </c>
      <c r="T151" s="219">
        <v>0.01</v>
      </c>
      <c r="U151" s="226">
        <v>0</v>
      </c>
      <c r="V151" s="227">
        <v>0</v>
      </c>
      <c r="W151" s="218"/>
      <c r="X151" s="226">
        <v>1681.955305</v>
      </c>
      <c r="Y151" s="217">
        <v>451.53028693996799</v>
      </c>
      <c r="Z151" s="228">
        <v>573</v>
      </c>
      <c r="AA151" s="239">
        <v>0.78801097197202097</v>
      </c>
      <c r="AB151" s="222">
        <v>-648.84370464274195</v>
      </c>
      <c r="AC151" s="219"/>
      <c r="AD151" s="219"/>
      <c r="AE151" s="227">
        <v>453</v>
      </c>
      <c r="AF151" s="227">
        <v>880</v>
      </c>
      <c r="AG151" s="218"/>
      <c r="AH151" s="231">
        <v>216.45</v>
      </c>
      <c r="AI151" s="217">
        <v>58.107210291272303</v>
      </c>
      <c r="AJ151" s="232" t="s">
        <v>53</v>
      </c>
      <c r="AK151" s="233">
        <v>0.92233667129003705</v>
      </c>
      <c r="AL151" s="234">
        <v>-39.815859698940201</v>
      </c>
      <c r="AM151" s="219">
        <v>1E-3</v>
      </c>
      <c r="AN151" s="219"/>
      <c r="AO151" s="227">
        <v>19</v>
      </c>
      <c r="AP151" s="227">
        <v>66</v>
      </c>
      <c r="AQ151" s="218"/>
      <c r="AR151" s="231">
        <v>101.6</v>
      </c>
      <c r="AS151" s="217">
        <v>27.275086928127799</v>
      </c>
      <c r="AT151" s="232" t="s">
        <v>54</v>
      </c>
      <c r="AU151" s="229">
        <v>1.7046929330079901</v>
      </c>
      <c r="AV151" s="230">
        <v>36.516607060586601</v>
      </c>
      <c r="AW151" s="219">
        <v>0.01</v>
      </c>
      <c r="AX151" s="219">
        <v>0.01</v>
      </c>
      <c r="AY151" s="227">
        <v>0</v>
      </c>
      <c r="AZ151" s="227">
        <v>0</v>
      </c>
      <c r="BA151" s="218"/>
      <c r="BB151" s="235">
        <v>195.2</v>
      </c>
      <c r="BC151" s="231">
        <v>52.402529216245597</v>
      </c>
      <c r="BD151" s="232" t="s">
        <v>55</v>
      </c>
      <c r="BE151" s="229">
        <v>1.63757903800767</v>
      </c>
      <c r="BF151" s="230">
        <v>65.033214121173202</v>
      </c>
      <c r="BG151" s="219">
        <v>0.02</v>
      </c>
      <c r="BH151" s="219">
        <v>0.02</v>
      </c>
      <c r="BI151" s="227">
        <v>0</v>
      </c>
      <c r="BJ151" s="227">
        <v>0</v>
      </c>
      <c r="BK151" s="220"/>
      <c r="BL151" s="236">
        <v>0.8</v>
      </c>
      <c r="BM151" s="239">
        <v>0.79</v>
      </c>
      <c r="BN151" s="237"/>
      <c r="BO151" s="238">
        <v>0.95</v>
      </c>
      <c r="BP151" s="229">
        <v>1</v>
      </c>
      <c r="BQ151" s="237">
        <v>2.5000000000000001E-3</v>
      </c>
    </row>
    <row r="152" spans="1:69" s="207" customFormat="1" ht="22.35" customHeight="1" x14ac:dyDescent="0.2">
      <c r="A152" s="216" t="s">
        <v>175</v>
      </c>
      <c r="B152" s="216" t="s">
        <v>201</v>
      </c>
      <c r="C152" s="216" t="s">
        <v>213</v>
      </c>
      <c r="D152" s="217">
        <v>7.9314378249999997</v>
      </c>
      <c r="E152" s="218"/>
      <c r="F152" s="219">
        <v>1.7000000000000001E-2</v>
      </c>
      <c r="G152" s="219">
        <v>0.01</v>
      </c>
      <c r="H152" s="220"/>
      <c r="I152" s="221">
        <v>3</v>
      </c>
      <c r="J152" s="221">
        <v>2</v>
      </c>
      <c r="K152" s="218"/>
      <c r="L152" s="222">
        <v>4726.3046100000001</v>
      </c>
      <c r="M152" s="222">
        <v>1678.00008</v>
      </c>
      <c r="N152" s="222">
        <v>6404.3046899999999</v>
      </c>
      <c r="O152" s="217">
        <v>807.45822274664295</v>
      </c>
      <c r="P152" s="223">
        <v>287.5</v>
      </c>
      <c r="Q152" s="229">
        <v>2.80855033998832</v>
      </c>
      <c r="R152" s="230">
        <v>3914.22978484125</v>
      </c>
      <c r="S152" s="219">
        <v>0.01</v>
      </c>
      <c r="T152" s="219">
        <v>0.01</v>
      </c>
      <c r="U152" s="226">
        <v>0</v>
      </c>
      <c r="V152" s="227">
        <v>0</v>
      </c>
      <c r="W152" s="218"/>
      <c r="X152" s="226">
        <v>2932.4932050000002</v>
      </c>
      <c r="Y152" s="217">
        <v>369.73034016061303</v>
      </c>
      <c r="Z152" s="228">
        <v>573</v>
      </c>
      <c r="AA152" s="224">
        <v>0.64525364774976002</v>
      </c>
      <c r="AB152" s="225">
        <v>-2030.3343451077001</v>
      </c>
      <c r="AC152" s="219"/>
      <c r="AD152" s="219"/>
      <c r="AE152" s="227">
        <v>1613</v>
      </c>
      <c r="AF152" s="227">
        <v>2522</v>
      </c>
      <c r="AG152" s="218"/>
      <c r="AH152" s="231">
        <v>281.3</v>
      </c>
      <c r="AI152" s="217">
        <v>35.466457180479701</v>
      </c>
      <c r="AJ152" s="232" t="s">
        <v>53</v>
      </c>
      <c r="AK152" s="224">
        <v>0.56295963778539304</v>
      </c>
      <c r="AL152" s="225">
        <v>-264.35119660869998</v>
      </c>
      <c r="AM152" s="219"/>
      <c r="AN152" s="219"/>
      <c r="AO152" s="227">
        <v>219</v>
      </c>
      <c r="AP152" s="227">
        <v>319</v>
      </c>
      <c r="AQ152" s="218"/>
      <c r="AR152" s="231">
        <v>68.400000000000006</v>
      </c>
      <c r="AS152" s="217">
        <v>8.6239092468710101</v>
      </c>
      <c r="AT152" s="232" t="s">
        <v>54</v>
      </c>
      <c r="AU152" s="224">
        <v>0.53899432792943802</v>
      </c>
      <c r="AV152" s="225">
        <v>-70.178081678400005</v>
      </c>
      <c r="AW152" s="219"/>
      <c r="AX152" s="219"/>
      <c r="AY152" s="227">
        <v>59</v>
      </c>
      <c r="AZ152" s="227">
        <v>84</v>
      </c>
      <c r="BA152" s="218"/>
      <c r="BB152" s="235">
        <v>246.4</v>
      </c>
      <c r="BC152" s="231">
        <v>31.066246175862801</v>
      </c>
      <c r="BD152" s="232" t="s">
        <v>55</v>
      </c>
      <c r="BE152" s="233">
        <v>0.97082019299571298</v>
      </c>
      <c r="BF152" s="234">
        <v>-30.756163356799998</v>
      </c>
      <c r="BG152" s="219">
        <v>7.0000000000000001E-3</v>
      </c>
      <c r="BH152" s="219"/>
      <c r="BI152" s="227">
        <v>8</v>
      </c>
      <c r="BJ152" s="227">
        <v>59</v>
      </c>
      <c r="BK152" s="220"/>
      <c r="BL152" s="236">
        <v>0.8</v>
      </c>
      <c r="BM152" s="239">
        <v>0.76</v>
      </c>
      <c r="BN152" s="237"/>
      <c r="BO152" s="238">
        <v>0.95</v>
      </c>
      <c r="BP152" s="229">
        <v>1</v>
      </c>
      <c r="BQ152" s="237">
        <v>2.5000000000000001E-3</v>
      </c>
    </row>
    <row r="153" spans="1:69" s="207" customFormat="1" ht="22.35" customHeight="1" x14ac:dyDescent="0.2">
      <c r="A153" s="216" t="s">
        <v>175</v>
      </c>
      <c r="B153" s="216" t="s">
        <v>201</v>
      </c>
      <c r="C153" s="216" t="s">
        <v>214</v>
      </c>
      <c r="D153" s="217">
        <v>4.0442520443333301</v>
      </c>
      <c r="E153" s="218"/>
      <c r="F153" s="219">
        <v>0.06</v>
      </c>
      <c r="G153" s="219">
        <v>4.2999999999999997E-2</v>
      </c>
      <c r="H153" s="220"/>
      <c r="I153" s="221">
        <v>7</v>
      </c>
      <c r="J153" s="221">
        <v>6</v>
      </c>
      <c r="K153" s="218"/>
      <c r="L153" s="222">
        <v>-353.21111999999999</v>
      </c>
      <c r="M153" s="222">
        <v>1690.7227499999999</v>
      </c>
      <c r="N153" s="222">
        <v>1337.51163</v>
      </c>
      <c r="O153" s="217">
        <v>330.71915779187799</v>
      </c>
      <c r="P153" s="223">
        <v>232.012</v>
      </c>
      <c r="Q153" s="229">
        <v>1.42543988152284</v>
      </c>
      <c r="R153" s="230">
        <v>312.87164420162799</v>
      </c>
      <c r="S153" s="219">
        <v>0.01</v>
      </c>
      <c r="T153" s="219">
        <v>0.01</v>
      </c>
      <c r="U153" s="226">
        <v>0</v>
      </c>
      <c r="V153" s="227">
        <v>0</v>
      </c>
      <c r="W153" s="218"/>
      <c r="X153" s="226">
        <v>2377.2549549999999</v>
      </c>
      <c r="Y153" s="217">
        <v>587.81078155871296</v>
      </c>
      <c r="Z153" s="228">
        <v>573</v>
      </c>
      <c r="AA153" s="233">
        <v>1.0258477863153801</v>
      </c>
      <c r="AB153" s="234">
        <v>-153.29825717207399</v>
      </c>
      <c r="AC153" s="219">
        <v>1.2999999999999999E-2</v>
      </c>
      <c r="AD153" s="219">
        <v>3.0000000000000001E-3</v>
      </c>
      <c r="AE153" s="227">
        <v>0</v>
      </c>
      <c r="AF153" s="227">
        <v>404</v>
      </c>
      <c r="AG153" s="218"/>
      <c r="AH153" s="231">
        <v>248.7</v>
      </c>
      <c r="AI153" s="217">
        <v>61.494683633397599</v>
      </c>
      <c r="AJ153" s="232" t="s">
        <v>53</v>
      </c>
      <c r="AK153" s="233">
        <v>0.97610608941901</v>
      </c>
      <c r="AL153" s="234">
        <v>-29.528363641955799</v>
      </c>
      <c r="AM153" s="219">
        <v>7.0000000000000001E-3</v>
      </c>
      <c r="AN153" s="219"/>
      <c r="AO153" s="227">
        <v>7</v>
      </c>
      <c r="AP153" s="227">
        <v>58</v>
      </c>
      <c r="AQ153" s="218"/>
      <c r="AR153" s="231">
        <v>81.099999999999994</v>
      </c>
      <c r="AS153" s="217">
        <v>20.053151759825301</v>
      </c>
      <c r="AT153" s="232" t="s">
        <v>54</v>
      </c>
      <c r="AU153" s="229">
        <v>1.25332198498908</v>
      </c>
      <c r="AV153" s="230">
        <v>10.438828281408099</v>
      </c>
      <c r="AW153" s="219">
        <v>0.01</v>
      </c>
      <c r="AX153" s="219">
        <v>0.01</v>
      </c>
      <c r="AY153" s="227">
        <v>0</v>
      </c>
      <c r="AZ153" s="227">
        <v>0</v>
      </c>
      <c r="BA153" s="218"/>
      <c r="BB153" s="235">
        <v>196.4</v>
      </c>
      <c r="BC153" s="231">
        <v>48.562749761155203</v>
      </c>
      <c r="BD153" s="232" t="s">
        <v>55</v>
      </c>
      <c r="BE153" s="229">
        <v>1.5175859300361001</v>
      </c>
      <c r="BF153" s="230">
        <v>55.077656562816102</v>
      </c>
      <c r="BG153" s="219">
        <v>0.02</v>
      </c>
      <c r="BH153" s="219">
        <v>0.02</v>
      </c>
      <c r="BI153" s="227">
        <v>0</v>
      </c>
      <c r="BJ153" s="227">
        <v>0</v>
      </c>
      <c r="BK153" s="220"/>
      <c r="BL153" s="236">
        <v>0.8</v>
      </c>
      <c r="BM153" s="233">
        <v>0.82</v>
      </c>
      <c r="BN153" s="237">
        <v>7.5000000000000002E-4</v>
      </c>
      <c r="BO153" s="238">
        <v>0.95</v>
      </c>
      <c r="BP153" s="229">
        <v>1</v>
      </c>
      <c r="BQ153" s="237">
        <v>2.5000000000000001E-3</v>
      </c>
    </row>
    <row r="154" spans="1:69" s="207" customFormat="1" ht="22.35" customHeight="1" x14ac:dyDescent="0.2">
      <c r="A154" s="216" t="s">
        <v>175</v>
      </c>
      <c r="B154" s="216" t="s">
        <v>201</v>
      </c>
      <c r="C154" s="216" t="s">
        <v>215</v>
      </c>
      <c r="D154" s="217">
        <v>2.8994516252222202</v>
      </c>
      <c r="E154" s="218"/>
      <c r="F154" s="219">
        <v>7.8E-2</v>
      </c>
      <c r="G154" s="219">
        <v>5.7000000000000002E-2</v>
      </c>
      <c r="H154" s="220"/>
      <c r="I154" s="221">
        <v>6</v>
      </c>
      <c r="J154" s="221">
        <v>6</v>
      </c>
      <c r="K154" s="218"/>
      <c r="L154" s="222">
        <v>1534.7593199999999</v>
      </c>
      <c r="M154" s="222">
        <v>-826.44759999999997</v>
      </c>
      <c r="N154" s="222">
        <v>708.31172000000004</v>
      </c>
      <c r="O154" s="217">
        <v>244.291614951746</v>
      </c>
      <c r="P154" s="223">
        <v>221.65100000000001</v>
      </c>
      <c r="Q154" s="229">
        <v>1.1021453318584</v>
      </c>
      <c r="R154" s="230">
        <v>6.5200634171135299</v>
      </c>
      <c r="S154" s="219">
        <v>0.01</v>
      </c>
      <c r="T154" s="219">
        <v>5.0000000000000001E-3</v>
      </c>
      <c r="U154" s="226">
        <v>0</v>
      </c>
      <c r="V154" s="227">
        <v>63</v>
      </c>
      <c r="W154" s="218"/>
      <c r="X154" s="226">
        <v>1808.51594</v>
      </c>
      <c r="Y154" s="217">
        <v>623.74413294837802</v>
      </c>
      <c r="Z154" s="228">
        <v>573</v>
      </c>
      <c r="AA154" s="229">
        <v>1.08855869624499</v>
      </c>
      <c r="AB154" s="230">
        <v>-5.7173331275466799</v>
      </c>
      <c r="AC154" s="219">
        <v>0.02</v>
      </c>
      <c r="AD154" s="219">
        <v>8.9999999999999993E-3</v>
      </c>
      <c r="AE154" s="227">
        <v>0</v>
      </c>
      <c r="AF154" s="227">
        <v>186</v>
      </c>
      <c r="AG154" s="218"/>
      <c r="AH154" s="231">
        <v>225.95</v>
      </c>
      <c r="AI154" s="217">
        <v>77.928528979228105</v>
      </c>
      <c r="AJ154" s="232" t="s">
        <v>53</v>
      </c>
      <c r="AK154" s="229">
        <v>1.23696077744807</v>
      </c>
      <c r="AL154" s="230">
        <v>26.4793259912121</v>
      </c>
      <c r="AM154" s="219">
        <v>0.02</v>
      </c>
      <c r="AN154" s="219">
        <v>0.02</v>
      </c>
      <c r="AO154" s="227">
        <v>0</v>
      </c>
      <c r="AP154" s="227">
        <v>0</v>
      </c>
      <c r="AQ154" s="218"/>
      <c r="AR154" s="231">
        <v>49</v>
      </c>
      <c r="AS154" s="217">
        <v>16.899747377659601</v>
      </c>
      <c r="AT154" s="232" t="s">
        <v>54</v>
      </c>
      <c r="AU154" s="233">
        <v>1.05623421110372</v>
      </c>
      <c r="AV154" s="234">
        <v>-1.6592187958826401</v>
      </c>
      <c r="AW154" s="219">
        <v>8.0000000000000002E-3</v>
      </c>
      <c r="AX154" s="219">
        <v>3.0000000000000001E-3</v>
      </c>
      <c r="AY154" s="227">
        <v>0</v>
      </c>
      <c r="AZ154" s="227">
        <v>7</v>
      </c>
      <c r="BA154" s="218"/>
      <c r="BB154" s="235">
        <v>140.4</v>
      </c>
      <c r="BC154" s="231">
        <v>48.422949629049</v>
      </c>
      <c r="BD154" s="232" t="s">
        <v>55</v>
      </c>
      <c r="BE154" s="229">
        <v>1.5132171759077799</v>
      </c>
      <c r="BF154" s="230">
        <v>39.081562408234703</v>
      </c>
      <c r="BG154" s="219">
        <v>0.02</v>
      </c>
      <c r="BH154" s="219">
        <v>0.02</v>
      </c>
      <c r="BI154" s="227">
        <v>0</v>
      </c>
      <c r="BJ154" s="227">
        <v>0</v>
      </c>
      <c r="BK154" s="220"/>
      <c r="BL154" s="236">
        <v>0.8</v>
      </c>
      <c r="BM154" s="239">
        <v>0.72</v>
      </c>
      <c r="BN154" s="237"/>
      <c r="BO154" s="238">
        <v>0.95</v>
      </c>
      <c r="BP154" s="229">
        <v>1</v>
      </c>
      <c r="BQ154" s="237">
        <v>2.5000000000000001E-3</v>
      </c>
    </row>
    <row r="155" spans="1:69" s="207" customFormat="1" ht="22.35" customHeight="1" x14ac:dyDescent="0.2">
      <c r="A155" s="216" t="s">
        <v>175</v>
      </c>
      <c r="B155" s="216" t="s">
        <v>201</v>
      </c>
      <c r="C155" s="216" t="s">
        <v>216</v>
      </c>
      <c r="D155" s="217">
        <v>4.91139505655556</v>
      </c>
      <c r="E155" s="218"/>
      <c r="F155" s="219">
        <v>4.3999999999999997E-2</v>
      </c>
      <c r="G155" s="219">
        <v>2.5000000000000001E-2</v>
      </c>
      <c r="H155" s="220"/>
      <c r="I155" s="221">
        <v>6</v>
      </c>
      <c r="J155" s="221">
        <v>5</v>
      </c>
      <c r="K155" s="218"/>
      <c r="L155" s="222">
        <v>3166.7828</v>
      </c>
      <c r="M155" s="222">
        <v>2315.81349</v>
      </c>
      <c r="N155" s="222">
        <v>5482.5962900000004</v>
      </c>
      <c r="O155" s="217">
        <v>1116.3012192802601</v>
      </c>
      <c r="P155" s="223">
        <v>287.5</v>
      </c>
      <c r="Q155" s="229">
        <v>3.8827868496704698</v>
      </c>
      <c r="R155" s="230">
        <v>3940.66381199438</v>
      </c>
      <c r="S155" s="219">
        <v>0.01</v>
      </c>
      <c r="T155" s="219">
        <v>0.01</v>
      </c>
      <c r="U155" s="226">
        <v>0</v>
      </c>
      <c r="V155" s="227">
        <v>0</v>
      </c>
      <c r="W155" s="218"/>
      <c r="X155" s="226">
        <v>2706.737365</v>
      </c>
      <c r="Y155" s="217">
        <v>551.11375359372505</v>
      </c>
      <c r="Z155" s="228">
        <v>573</v>
      </c>
      <c r="AA155" s="233">
        <v>0.96180410749341305</v>
      </c>
      <c r="AB155" s="234">
        <v>-366.40110420771799</v>
      </c>
      <c r="AC155" s="219">
        <v>6.0000000000000001E-3</v>
      </c>
      <c r="AD155" s="219"/>
      <c r="AE155" s="227">
        <v>108</v>
      </c>
      <c r="AF155" s="227">
        <v>671</v>
      </c>
      <c r="AG155" s="218"/>
      <c r="AH155" s="231">
        <v>227.1</v>
      </c>
      <c r="AI155" s="217">
        <v>46.239408026620701</v>
      </c>
      <c r="AJ155" s="232" t="s">
        <v>53</v>
      </c>
      <c r="AK155" s="239">
        <v>0.73395885756540702</v>
      </c>
      <c r="AL155" s="222">
        <v>-110.784334310796</v>
      </c>
      <c r="AM155" s="219"/>
      <c r="AN155" s="219"/>
      <c r="AO155" s="227">
        <v>83</v>
      </c>
      <c r="AP155" s="227">
        <v>145</v>
      </c>
      <c r="AQ155" s="218"/>
      <c r="AR155" s="231">
        <v>89.2</v>
      </c>
      <c r="AS155" s="217">
        <v>18.161845865145601</v>
      </c>
      <c r="AT155" s="232" t="s">
        <v>54</v>
      </c>
      <c r="AU155" s="229">
        <v>1.1351153665716001</v>
      </c>
      <c r="AV155" s="230">
        <v>3.3881055718612698</v>
      </c>
      <c r="AW155" s="219">
        <v>0.01</v>
      </c>
      <c r="AX155" s="219">
        <v>7.0000000000000001E-3</v>
      </c>
      <c r="AY155" s="227">
        <v>0</v>
      </c>
      <c r="AZ155" s="227">
        <v>6</v>
      </c>
      <c r="BA155" s="218"/>
      <c r="BB155" s="235">
        <v>169.4</v>
      </c>
      <c r="BC155" s="231">
        <v>34.491218492776497</v>
      </c>
      <c r="BD155" s="232" t="s">
        <v>55</v>
      </c>
      <c r="BE155" s="233">
        <v>1.07785057789926</v>
      </c>
      <c r="BF155" s="234">
        <v>-2.2237888562774502</v>
      </c>
      <c r="BG155" s="219">
        <v>1.7999999999999999E-2</v>
      </c>
      <c r="BH155" s="219">
        <v>8.0000000000000002E-3</v>
      </c>
      <c r="BI155" s="227">
        <v>0</v>
      </c>
      <c r="BJ155" s="227">
        <v>20</v>
      </c>
      <c r="BK155" s="220"/>
      <c r="BL155" s="236">
        <v>0.8</v>
      </c>
      <c r="BM155" s="233">
        <v>0.81</v>
      </c>
      <c r="BN155" s="237">
        <v>3.7500000000000001E-4</v>
      </c>
      <c r="BO155" s="238">
        <v>0.95</v>
      </c>
      <c r="BP155" s="229">
        <v>1</v>
      </c>
      <c r="BQ155" s="237">
        <v>2.5000000000000001E-3</v>
      </c>
    </row>
    <row r="156" spans="1:69" s="207" customFormat="1" ht="22.35" customHeight="1" x14ac:dyDescent="0.2">
      <c r="A156" s="216" t="s">
        <v>175</v>
      </c>
      <c r="B156" s="216" t="s">
        <v>201</v>
      </c>
      <c r="C156" s="216" t="s">
        <v>217</v>
      </c>
      <c r="D156" s="217">
        <v>2.8078154285555601</v>
      </c>
      <c r="E156" s="218"/>
      <c r="F156" s="219">
        <v>5.5E-2</v>
      </c>
      <c r="G156" s="219">
        <v>4.4999999999999998E-2</v>
      </c>
      <c r="H156" s="220"/>
      <c r="I156" s="221">
        <v>6</v>
      </c>
      <c r="J156" s="221">
        <v>6</v>
      </c>
      <c r="K156" s="218"/>
      <c r="L156" s="222">
        <v>2283.7221199999999</v>
      </c>
      <c r="M156" s="222">
        <v>1748.0572999999999</v>
      </c>
      <c r="N156" s="222">
        <v>4031.7794199999998</v>
      </c>
      <c r="O156" s="217">
        <v>1435.9132651657601</v>
      </c>
      <c r="P156" s="223">
        <v>264.61399999999998</v>
      </c>
      <c r="Q156" s="229">
        <v>5.4264448032445696</v>
      </c>
      <c r="R156" s="230">
        <v>3220.4373191815098</v>
      </c>
      <c r="S156" s="219">
        <v>0.01</v>
      </c>
      <c r="T156" s="219">
        <v>0.01</v>
      </c>
      <c r="U156" s="226">
        <v>0</v>
      </c>
      <c r="V156" s="227">
        <v>0</v>
      </c>
      <c r="W156" s="218"/>
      <c r="X156" s="226">
        <v>1690.031385</v>
      </c>
      <c r="Y156" s="217">
        <v>601.90259224745898</v>
      </c>
      <c r="Z156" s="228">
        <v>573</v>
      </c>
      <c r="AA156" s="233">
        <v>1.0504408241665999</v>
      </c>
      <c r="AB156" s="234">
        <v>-66.863653694070805</v>
      </c>
      <c r="AC156" s="219">
        <v>1.4999999999999999E-2</v>
      </c>
      <c r="AD156" s="219">
        <v>5.0000000000000001E-3</v>
      </c>
      <c r="AE156" s="227">
        <v>0</v>
      </c>
      <c r="AF156" s="227">
        <v>241</v>
      </c>
      <c r="AG156" s="218"/>
      <c r="AH156" s="231">
        <v>159.30000000000001</v>
      </c>
      <c r="AI156" s="217">
        <v>56.734498421767597</v>
      </c>
      <c r="AJ156" s="232" t="s">
        <v>53</v>
      </c>
      <c r="AK156" s="239">
        <v>0.90054759399631201</v>
      </c>
      <c r="AL156" s="222">
        <v>-33.866470222908298</v>
      </c>
      <c r="AM156" s="219"/>
      <c r="AN156" s="219"/>
      <c r="AO156" s="227">
        <v>18</v>
      </c>
      <c r="AP156" s="227">
        <v>53</v>
      </c>
      <c r="AQ156" s="218"/>
      <c r="AR156" s="231">
        <v>77.400000000000006</v>
      </c>
      <c r="AS156" s="217">
        <v>27.565914487412499</v>
      </c>
      <c r="AT156" s="232" t="s">
        <v>54</v>
      </c>
      <c r="AU156" s="229">
        <v>1.7228696554632801</v>
      </c>
      <c r="AV156" s="230">
        <v>28.3418488322773</v>
      </c>
      <c r="AW156" s="219">
        <v>0.01</v>
      </c>
      <c r="AX156" s="219">
        <v>0.01</v>
      </c>
      <c r="AY156" s="227">
        <v>0</v>
      </c>
      <c r="AZ156" s="227">
        <v>0</v>
      </c>
      <c r="BA156" s="218"/>
      <c r="BB156" s="235">
        <v>175.2</v>
      </c>
      <c r="BC156" s="231">
        <v>62.397263800964801</v>
      </c>
      <c r="BD156" s="232" t="s">
        <v>55</v>
      </c>
      <c r="BE156" s="229">
        <v>1.94991449378015</v>
      </c>
      <c r="BF156" s="230">
        <v>77.083697664554506</v>
      </c>
      <c r="BG156" s="219">
        <v>0.02</v>
      </c>
      <c r="BH156" s="219">
        <v>0.02</v>
      </c>
      <c r="BI156" s="227">
        <v>0</v>
      </c>
      <c r="BJ156" s="227">
        <v>0</v>
      </c>
      <c r="BK156" s="220"/>
      <c r="BL156" s="236">
        <v>0.8</v>
      </c>
      <c r="BM156" s="233">
        <v>0.82</v>
      </c>
      <c r="BN156" s="237">
        <v>7.5000000000000002E-4</v>
      </c>
      <c r="BO156" s="238">
        <v>0.95</v>
      </c>
      <c r="BP156" s="229">
        <v>1</v>
      </c>
      <c r="BQ156" s="237">
        <v>2.5000000000000001E-3</v>
      </c>
    </row>
    <row r="157" spans="1:69" s="207" customFormat="1" ht="22.35" customHeight="1" x14ac:dyDescent="0.2">
      <c r="A157" s="216" t="s">
        <v>175</v>
      </c>
      <c r="B157" s="216" t="s">
        <v>201</v>
      </c>
      <c r="C157" s="216" t="s">
        <v>218</v>
      </c>
      <c r="D157" s="217">
        <v>8.1451756455555593</v>
      </c>
      <c r="E157" s="218"/>
      <c r="F157" s="219">
        <v>4.5999999999999999E-2</v>
      </c>
      <c r="G157" s="219">
        <v>3.3000000000000002E-2</v>
      </c>
      <c r="H157" s="220"/>
      <c r="I157" s="221">
        <v>6</v>
      </c>
      <c r="J157" s="221">
        <v>5</v>
      </c>
      <c r="K157" s="218"/>
      <c r="L157" s="222">
        <v>5178.5259699999997</v>
      </c>
      <c r="M157" s="222">
        <v>4744.3244800000002</v>
      </c>
      <c r="N157" s="222">
        <v>9922.8504499999999</v>
      </c>
      <c r="O157" s="217">
        <v>1218.2487992649301</v>
      </c>
      <c r="P157" s="223">
        <v>241.934</v>
      </c>
      <c r="Q157" s="229">
        <v>5.03545925444514</v>
      </c>
      <c r="R157" s="230">
        <v>7770.9607923020303</v>
      </c>
      <c r="S157" s="219">
        <v>0.01</v>
      </c>
      <c r="T157" s="219">
        <v>0.01</v>
      </c>
      <c r="U157" s="226">
        <v>0</v>
      </c>
      <c r="V157" s="227">
        <v>0</v>
      </c>
      <c r="W157" s="218"/>
      <c r="X157" s="226">
        <v>4793.1490100000001</v>
      </c>
      <c r="Y157" s="217">
        <v>588.46478192467202</v>
      </c>
      <c r="Z157" s="228">
        <v>573</v>
      </c>
      <c r="AA157" s="233">
        <v>1.0269891482105999</v>
      </c>
      <c r="AB157" s="234">
        <v>-303.417714234443</v>
      </c>
      <c r="AC157" s="219">
        <v>1.2999999999999999E-2</v>
      </c>
      <c r="AD157" s="219">
        <v>3.0000000000000001E-3</v>
      </c>
      <c r="AE157" s="227">
        <v>0</v>
      </c>
      <c r="AF157" s="227">
        <v>808</v>
      </c>
      <c r="AG157" s="218"/>
      <c r="AH157" s="231">
        <v>454.3</v>
      </c>
      <c r="AI157" s="217">
        <v>55.775347244708001</v>
      </c>
      <c r="AJ157" s="232" t="s">
        <v>53</v>
      </c>
      <c r="AK157" s="239">
        <v>0.88532297213822198</v>
      </c>
      <c r="AL157" s="222">
        <v>-106.05550371164</v>
      </c>
      <c r="AM157" s="219"/>
      <c r="AN157" s="219"/>
      <c r="AO157" s="227">
        <v>59</v>
      </c>
      <c r="AP157" s="227">
        <v>162</v>
      </c>
      <c r="AQ157" s="218"/>
      <c r="AR157" s="231">
        <v>125.4</v>
      </c>
      <c r="AS157" s="217">
        <v>15.395616430742599</v>
      </c>
      <c r="AT157" s="232" t="s">
        <v>54</v>
      </c>
      <c r="AU157" s="233">
        <v>0.96222602692141501</v>
      </c>
      <c r="AV157" s="234">
        <v>-16.912508879146799</v>
      </c>
      <c r="AW157" s="219">
        <v>3.0000000000000001E-3</v>
      </c>
      <c r="AX157" s="219"/>
      <c r="AY157" s="227">
        <v>5</v>
      </c>
      <c r="AZ157" s="227">
        <v>31</v>
      </c>
      <c r="BA157" s="218"/>
      <c r="BB157" s="235">
        <v>329.2</v>
      </c>
      <c r="BC157" s="231">
        <v>40.416562432220701</v>
      </c>
      <c r="BD157" s="232" t="s">
        <v>55</v>
      </c>
      <c r="BE157" s="229">
        <v>1.2630175760069</v>
      </c>
      <c r="BF157" s="230">
        <v>44.574982241706401</v>
      </c>
      <c r="BG157" s="219">
        <v>0.02</v>
      </c>
      <c r="BH157" s="219">
        <v>0.02</v>
      </c>
      <c r="BI157" s="227">
        <v>0</v>
      </c>
      <c r="BJ157" s="227">
        <v>0</v>
      </c>
      <c r="BK157" s="220"/>
      <c r="BL157" s="236">
        <v>0.8</v>
      </c>
      <c r="BM157" s="233">
        <v>0.81</v>
      </c>
      <c r="BN157" s="237">
        <v>3.7500000000000001E-4</v>
      </c>
      <c r="BO157" s="238">
        <v>0.95</v>
      </c>
      <c r="BP157" s="229">
        <v>1</v>
      </c>
      <c r="BQ157" s="237">
        <v>2.5000000000000001E-3</v>
      </c>
    </row>
    <row r="158" spans="1:69" s="207" customFormat="1" ht="22.35" customHeight="1" x14ac:dyDescent="0.2">
      <c r="A158" s="216" t="s">
        <v>175</v>
      </c>
      <c r="B158" s="216" t="s">
        <v>201</v>
      </c>
      <c r="C158" s="216" t="s">
        <v>219</v>
      </c>
      <c r="D158" s="217">
        <v>4.9912352884444404</v>
      </c>
      <c r="E158" s="218"/>
      <c r="F158" s="219">
        <v>0.05</v>
      </c>
      <c r="G158" s="219">
        <v>4.3999999999999997E-2</v>
      </c>
      <c r="H158" s="220"/>
      <c r="I158" s="221">
        <v>5</v>
      </c>
      <c r="J158" s="221">
        <v>5</v>
      </c>
      <c r="K158" s="218"/>
      <c r="L158" s="222">
        <v>6993.5192699999998</v>
      </c>
      <c r="M158" s="222">
        <v>8301.7693899999995</v>
      </c>
      <c r="N158" s="222">
        <v>15295.28866</v>
      </c>
      <c r="O158" s="217">
        <v>3064.4295001301998</v>
      </c>
      <c r="P158" s="223">
        <v>267.06299999999999</v>
      </c>
      <c r="Q158" s="229">
        <v>11.4745565657923</v>
      </c>
      <c r="R158" s="230">
        <v>13839.680757337101</v>
      </c>
      <c r="S158" s="219">
        <v>0.01</v>
      </c>
      <c r="T158" s="219">
        <v>0.01</v>
      </c>
      <c r="U158" s="226">
        <v>0</v>
      </c>
      <c r="V158" s="227">
        <v>0</v>
      </c>
      <c r="W158" s="218"/>
      <c r="X158" s="226">
        <v>3272.9072700000002</v>
      </c>
      <c r="Y158" s="217">
        <v>655.730912461157</v>
      </c>
      <c r="Z158" s="228">
        <v>573</v>
      </c>
      <c r="AA158" s="229">
        <v>1.14438204618003</v>
      </c>
      <c r="AB158" s="230">
        <v>149.811490255699</v>
      </c>
      <c r="AC158" s="219">
        <v>0.02</v>
      </c>
      <c r="AD158" s="219">
        <v>1.4E-2</v>
      </c>
      <c r="AE158" s="227">
        <v>0</v>
      </c>
      <c r="AF158" s="227">
        <v>160</v>
      </c>
      <c r="AG158" s="218"/>
      <c r="AH158" s="231">
        <v>267.10000000000002</v>
      </c>
      <c r="AI158" s="217">
        <v>53.513806615845503</v>
      </c>
      <c r="AJ158" s="232" t="s">
        <v>53</v>
      </c>
      <c r="AK158" s="239">
        <v>0.84942550183881804</v>
      </c>
      <c r="AL158" s="222">
        <v>-76.277022903823607</v>
      </c>
      <c r="AM158" s="219"/>
      <c r="AN158" s="219"/>
      <c r="AO158" s="227">
        <v>48</v>
      </c>
      <c r="AP158" s="227">
        <v>111</v>
      </c>
      <c r="AQ158" s="218"/>
      <c r="AR158" s="231">
        <v>57.4</v>
      </c>
      <c r="AS158" s="217">
        <v>11.5001591154981</v>
      </c>
      <c r="AT158" s="232" t="s">
        <v>54</v>
      </c>
      <c r="AU158" s="224">
        <v>0.71875994471862903</v>
      </c>
      <c r="AV158" s="225">
        <v>-29.806862959701299</v>
      </c>
      <c r="AW158" s="219"/>
      <c r="AX158" s="219"/>
      <c r="AY158" s="227">
        <v>23</v>
      </c>
      <c r="AZ158" s="227">
        <v>39</v>
      </c>
      <c r="BA158" s="218"/>
      <c r="BB158" s="235">
        <v>230</v>
      </c>
      <c r="BC158" s="231">
        <v>46.080776943633403</v>
      </c>
      <c r="BD158" s="232" t="s">
        <v>55</v>
      </c>
      <c r="BE158" s="229">
        <v>1.4400242794885401</v>
      </c>
      <c r="BF158" s="230">
        <v>55.586274080597498</v>
      </c>
      <c r="BG158" s="219">
        <v>0.02</v>
      </c>
      <c r="BH158" s="219">
        <v>0.02</v>
      </c>
      <c r="BI158" s="227">
        <v>0</v>
      </c>
      <c r="BJ158" s="227">
        <v>0</v>
      </c>
      <c r="BK158" s="220"/>
      <c r="BL158" s="236">
        <v>0.8</v>
      </c>
      <c r="BM158" s="233">
        <v>0.82</v>
      </c>
      <c r="BN158" s="237">
        <v>7.5000000000000002E-4</v>
      </c>
      <c r="BO158" s="238">
        <v>0.95</v>
      </c>
      <c r="BP158" s="229">
        <v>1</v>
      </c>
      <c r="BQ158" s="237">
        <v>2.5000000000000001E-3</v>
      </c>
    </row>
    <row r="159" spans="1:69" s="207" customFormat="1" ht="22.35" customHeight="1" x14ac:dyDescent="0.2">
      <c r="A159" s="216" t="s">
        <v>220</v>
      </c>
      <c r="B159" s="216" t="s">
        <v>221</v>
      </c>
      <c r="C159" s="216" t="s">
        <v>222</v>
      </c>
      <c r="D159" s="217">
        <v>2.5021163648888902</v>
      </c>
      <c r="E159" s="218"/>
      <c r="F159" s="219">
        <v>1.6E-2</v>
      </c>
      <c r="G159" s="219">
        <v>0.01</v>
      </c>
      <c r="H159" s="220"/>
      <c r="I159" s="221">
        <v>3</v>
      </c>
      <c r="J159" s="221">
        <v>2</v>
      </c>
      <c r="K159" s="218"/>
      <c r="L159" s="222">
        <v>927.55918999999994</v>
      </c>
      <c r="M159" s="222">
        <v>978.33536000000004</v>
      </c>
      <c r="N159" s="222">
        <v>1905.89455</v>
      </c>
      <c r="O159" s="217">
        <v>761.71299494483503</v>
      </c>
      <c r="P159" s="223">
        <v>242.67599999999999</v>
      </c>
      <c r="Q159" s="229">
        <v>3.13880645364533</v>
      </c>
      <c r="R159" s="230">
        <v>1242.82822866537</v>
      </c>
      <c r="S159" s="219">
        <v>0.01</v>
      </c>
      <c r="T159" s="219">
        <v>0.01</v>
      </c>
      <c r="U159" s="226">
        <v>0</v>
      </c>
      <c r="V159" s="227">
        <v>0</v>
      </c>
      <c r="W159" s="218"/>
      <c r="X159" s="226">
        <v>1382.69615</v>
      </c>
      <c r="Y159" s="217">
        <v>552.61064968950802</v>
      </c>
      <c r="Z159" s="228">
        <v>573</v>
      </c>
      <c r="AA159" s="233">
        <v>0.96441649160472698</v>
      </c>
      <c r="AB159" s="234">
        <v>-182.918093372817</v>
      </c>
      <c r="AC159" s="219">
        <v>6.0000000000000001E-3</v>
      </c>
      <c r="AD159" s="219"/>
      <c r="AE159" s="227">
        <v>52</v>
      </c>
      <c r="AF159" s="227">
        <v>338</v>
      </c>
      <c r="AG159" s="218"/>
      <c r="AH159" s="231">
        <v>122.7</v>
      </c>
      <c r="AI159" s="217">
        <v>49.038486667445099</v>
      </c>
      <c r="AJ159" s="232" t="s">
        <v>53</v>
      </c>
      <c r="AK159" s="239">
        <v>0.778388677261033</v>
      </c>
      <c r="AL159" s="222">
        <v>-49.435597438896103</v>
      </c>
      <c r="AM159" s="219"/>
      <c r="AN159" s="219"/>
      <c r="AO159" s="227">
        <v>35</v>
      </c>
      <c r="AP159" s="227">
        <v>67</v>
      </c>
      <c r="AQ159" s="218"/>
      <c r="AR159" s="231">
        <v>19.399999999999999</v>
      </c>
      <c r="AS159" s="217">
        <v>7.7534363598079503</v>
      </c>
      <c r="AT159" s="232" t="s">
        <v>54</v>
      </c>
      <c r="AU159" s="224">
        <v>0.48458977248799701</v>
      </c>
      <c r="AV159" s="225">
        <v>-24.316977127338699</v>
      </c>
      <c r="AW159" s="219"/>
      <c r="AX159" s="219"/>
      <c r="AY159" s="227">
        <v>21</v>
      </c>
      <c r="AZ159" s="227">
        <v>29</v>
      </c>
      <c r="BA159" s="218"/>
      <c r="BB159" s="235">
        <v>54</v>
      </c>
      <c r="BC159" s="231">
        <v>21.581730073692199</v>
      </c>
      <c r="BD159" s="232" t="s">
        <v>55</v>
      </c>
      <c r="BE159" s="224">
        <v>0.67442906480288201</v>
      </c>
      <c r="BF159" s="225">
        <v>-33.433954254677403</v>
      </c>
      <c r="BG159" s="219"/>
      <c r="BH159" s="219"/>
      <c r="BI159" s="227">
        <v>27</v>
      </c>
      <c r="BJ159" s="227">
        <v>43</v>
      </c>
      <c r="BK159" s="220"/>
      <c r="BL159" s="236">
        <v>0.8</v>
      </c>
      <c r="BM159" s="239">
        <v>0.78</v>
      </c>
      <c r="BN159" s="237"/>
      <c r="BO159" s="238">
        <v>0.95</v>
      </c>
      <c r="BP159" s="229">
        <v>1</v>
      </c>
      <c r="BQ159" s="237">
        <v>2.5000000000000001E-3</v>
      </c>
    </row>
    <row r="160" spans="1:69" s="207" customFormat="1" ht="22.35" customHeight="1" x14ac:dyDescent="0.2">
      <c r="A160" s="216" t="s">
        <v>220</v>
      </c>
      <c r="B160" s="216" t="s">
        <v>221</v>
      </c>
      <c r="C160" s="216" t="s">
        <v>223</v>
      </c>
      <c r="D160" s="217">
        <v>1.37464506811111</v>
      </c>
      <c r="E160" s="218"/>
      <c r="F160" s="219">
        <v>2.5000000000000001E-2</v>
      </c>
      <c r="G160" s="219">
        <v>1.4E-2</v>
      </c>
      <c r="H160" s="220"/>
      <c r="I160" s="221">
        <v>3</v>
      </c>
      <c r="J160" s="221">
        <v>3</v>
      </c>
      <c r="K160" s="218"/>
      <c r="L160" s="222">
        <v>1058.91444</v>
      </c>
      <c r="M160" s="222">
        <v>-170.2895</v>
      </c>
      <c r="N160" s="222">
        <v>888.62494000000004</v>
      </c>
      <c r="O160" s="217">
        <v>646.43955055325796</v>
      </c>
      <c r="P160" s="223">
        <v>219.79400000000001</v>
      </c>
      <c r="Q160" s="229">
        <v>2.9411155470725201</v>
      </c>
      <c r="R160" s="230">
        <v>558.68943799434896</v>
      </c>
      <c r="S160" s="219">
        <v>0.01</v>
      </c>
      <c r="T160" s="219">
        <v>0.01</v>
      </c>
      <c r="U160" s="226">
        <v>0</v>
      </c>
      <c r="V160" s="227">
        <v>0</v>
      </c>
      <c r="W160" s="218"/>
      <c r="X160" s="226">
        <v>821.34510499999999</v>
      </c>
      <c r="Y160" s="217">
        <v>597.49612758484898</v>
      </c>
      <c r="Z160" s="228">
        <v>573</v>
      </c>
      <c r="AA160" s="233">
        <v>1.04275065896134</v>
      </c>
      <c r="AB160" s="234">
        <v>-38.7923084382113</v>
      </c>
      <c r="AC160" s="219">
        <v>1.4999999999999999E-2</v>
      </c>
      <c r="AD160" s="219">
        <v>4.0000000000000001E-3</v>
      </c>
      <c r="AE160" s="227">
        <v>0</v>
      </c>
      <c r="AF160" s="227">
        <v>124</v>
      </c>
      <c r="AG160" s="218"/>
      <c r="AH160" s="231">
        <v>70.7</v>
      </c>
      <c r="AI160" s="217">
        <v>51.431457937828498</v>
      </c>
      <c r="AJ160" s="232" t="s">
        <v>53</v>
      </c>
      <c r="AK160" s="239">
        <v>0.8163723482195</v>
      </c>
      <c r="AL160" s="222">
        <v>-23.8700821057719</v>
      </c>
      <c r="AM160" s="219"/>
      <c r="AN160" s="219"/>
      <c r="AO160" s="227">
        <v>16</v>
      </c>
      <c r="AP160" s="227">
        <v>34</v>
      </c>
      <c r="AQ160" s="218"/>
      <c r="AR160" s="231">
        <v>10.6</v>
      </c>
      <c r="AS160" s="217">
        <v>7.7110813881327003</v>
      </c>
      <c r="AT160" s="232" t="s">
        <v>54</v>
      </c>
      <c r="AU160" s="224">
        <v>0.48194258675829399</v>
      </c>
      <c r="AV160" s="225">
        <v>-13.4177986300373</v>
      </c>
      <c r="AW160" s="219"/>
      <c r="AX160" s="219"/>
      <c r="AY160" s="227">
        <v>12</v>
      </c>
      <c r="AZ160" s="227">
        <v>16</v>
      </c>
      <c r="BA160" s="218"/>
      <c r="BB160" s="235">
        <v>31.8</v>
      </c>
      <c r="BC160" s="231">
        <v>23.1332441643981</v>
      </c>
      <c r="BD160" s="232" t="s">
        <v>55</v>
      </c>
      <c r="BE160" s="224">
        <v>0.72291388013744096</v>
      </c>
      <c r="BF160" s="225">
        <v>-16.235597260074599</v>
      </c>
      <c r="BG160" s="219"/>
      <c r="BH160" s="219"/>
      <c r="BI160" s="227">
        <v>13</v>
      </c>
      <c r="BJ160" s="227">
        <v>21</v>
      </c>
      <c r="BK160" s="220"/>
      <c r="BL160" s="236">
        <v>0.8</v>
      </c>
      <c r="BM160" s="239">
        <v>0.77</v>
      </c>
      <c r="BN160" s="237"/>
      <c r="BO160" s="238">
        <v>0.95</v>
      </c>
      <c r="BP160" s="229">
        <v>1</v>
      </c>
      <c r="BQ160" s="237">
        <v>2.5000000000000001E-3</v>
      </c>
    </row>
    <row r="161" spans="1:69" s="207" customFormat="1" ht="22.35" customHeight="1" x14ac:dyDescent="0.2">
      <c r="A161" s="216" t="s">
        <v>220</v>
      </c>
      <c r="B161" s="216" t="s">
        <v>221</v>
      </c>
      <c r="C161" s="216" t="s">
        <v>224</v>
      </c>
      <c r="D161" s="217">
        <v>2.7294855338888899</v>
      </c>
      <c r="E161" s="218"/>
      <c r="F161" s="219">
        <v>4.2999999999999997E-2</v>
      </c>
      <c r="G161" s="219">
        <v>2.1999999999999999E-2</v>
      </c>
      <c r="H161" s="220"/>
      <c r="I161" s="221">
        <v>4</v>
      </c>
      <c r="J161" s="221">
        <v>4</v>
      </c>
      <c r="K161" s="218"/>
      <c r="L161" s="222">
        <v>1181.72991</v>
      </c>
      <c r="M161" s="222">
        <v>876.2088</v>
      </c>
      <c r="N161" s="222">
        <v>2057.9387099999999</v>
      </c>
      <c r="O161" s="217">
        <v>753.96578748959701</v>
      </c>
      <c r="P161" s="223">
        <v>219.79400000000001</v>
      </c>
      <c r="Q161" s="229">
        <v>3.4303292514336001</v>
      </c>
      <c r="R161" s="230">
        <v>1402.8211085683499</v>
      </c>
      <c r="S161" s="219">
        <v>0.01</v>
      </c>
      <c r="T161" s="219">
        <v>0.01</v>
      </c>
      <c r="U161" s="226">
        <v>0</v>
      </c>
      <c r="V161" s="227">
        <v>0</v>
      </c>
      <c r="W161" s="218"/>
      <c r="X161" s="226">
        <v>1628.1337149999999</v>
      </c>
      <c r="Y161" s="217">
        <v>596.49838578931201</v>
      </c>
      <c r="Z161" s="228">
        <v>573</v>
      </c>
      <c r="AA161" s="233">
        <v>1.0410093992832701</v>
      </c>
      <c r="AB161" s="234">
        <v>-79.749055322820794</v>
      </c>
      <c r="AC161" s="219">
        <v>1.4E-2</v>
      </c>
      <c r="AD161" s="219">
        <v>4.0000000000000001E-3</v>
      </c>
      <c r="AE161" s="227">
        <v>0</v>
      </c>
      <c r="AF161" s="227">
        <v>249</v>
      </c>
      <c r="AG161" s="218"/>
      <c r="AH161" s="231">
        <v>70.7</v>
      </c>
      <c r="AI161" s="217">
        <v>25.902317166440099</v>
      </c>
      <c r="AJ161" s="232" t="s">
        <v>53</v>
      </c>
      <c r="AK161" s="224">
        <v>0.41114789153079501</v>
      </c>
      <c r="AL161" s="225">
        <v>-117.07768678942</v>
      </c>
      <c r="AM161" s="219"/>
      <c r="AN161" s="219"/>
      <c r="AO161" s="227">
        <v>102</v>
      </c>
      <c r="AP161" s="227">
        <v>136</v>
      </c>
      <c r="AQ161" s="218"/>
      <c r="AR161" s="231">
        <v>21.6</v>
      </c>
      <c r="AS161" s="217">
        <v>7.91357921916698</v>
      </c>
      <c r="AT161" s="232" t="s">
        <v>54</v>
      </c>
      <c r="AU161" s="224">
        <v>0.49459870119793597</v>
      </c>
      <c r="AV161" s="225">
        <v>-26.089571248106701</v>
      </c>
      <c r="AW161" s="219"/>
      <c r="AX161" s="219"/>
      <c r="AY161" s="227">
        <v>23</v>
      </c>
      <c r="AZ161" s="227">
        <v>31</v>
      </c>
      <c r="BA161" s="218"/>
      <c r="BB161" s="235">
        <v>94.6</v>
      </c>
      <c r="BC161" s="231">
        <v>34.658546024685002</v>
      </c>
      <c r="BD161" s="232" t="s">
        <v>55</v>
      </c>
      <c r="BE161" s="233">
        <v>1.0830795632714101</v>
      </c>
      <c r="BF161" s="234">
        <v>-0.77914249621338205</v>
      </c>
      <c r="BG161" s="219">
        <v>1.9E-2</v>
      </c>
      <c r="BH161" s="219">
        <v>8.0000000000000002E-3</v>
      </c>
      <c r="BI161" s="227">
        <v>0</v>
      </c>
      <c r="BJ161" s="227">
        <v>11</v>
      </c>
      <c r="BK161" s="220"/>
      <c r="BL161" s="236">
        <v>0.8</v>
      </c>
      <c r="BM161" s="239">
        <v>0.8</v>
      </c>
      <c r="BN161" s="237">
        <v>0</v>
      </c>
      <c r="BO161" s="238">
        <v>0.95</v>
      </c>
      <c r="BP161" s="229">
        <v>1</v>
      </c>
      <c r="BQ161" s="237">
        <v>2.5000000000000001E-3</v>
      </c>
    </row>
    <row r="162" spans="1:69" s="207" customFormat="1" ht="22.35" customHeight="1" x14ac:dyDescent="0.2">
      <c r="A162" s="216" t="s">
        <v>220</v>
      </c>
      <c r="B162" s="216" t="s">
        <v>221</v>
      </c>
      <c r="C162" s="216" t="s">
        <v>225</v>
      </c>
      <c r="D162" s="217">
        <v>1.1783439328888901</v>
      </c>
      <c r="E162" s="218"/>
      <c r="F162" s="219">
        <v>0.05</v>
      </c>
      <c r="G162" s="219">
        <v>0.04</v>
      </c>
      <c r="H162" s="220"/>
      <c r="I162" s="221">
        <v>5</v>
      </c>
      <c r="J162" s="221">
        <v>5</v>
      </c>
      <c r="K162" s="218"/>
      <c r="L162" s="222">
        <v>1061.19625</v>
      </c>
      <c r="M162" s="222">
        <v>534.88809000000003</v>
      </c>
      <c r="N162" s="222">
        <v>1596.0843400000001</v>
      </c>
      <c r="O162" s="217">
        <v>1354.51483684136</v>
      </c>
      <c r="P162" s="223">
        <v>224.79599999999999</v>
      </c>
      <c r="Q162" s="229">
        <v>6.0255290878901802</v>
      </c>
      <c r="R162" s="230">
        <v>1306.8277330104399</v>
      </c>
      <c r="S162" s="219">
        <v>0.01</v>
      </c>
      <c r="T162" s="219">
        <v>0.01</v>
      </c>
      <c r="U162" s="226">
        <v>0</v>
      </c>
      <c r="V162" s="227">
        <v>0</v>
      </c>
      <c r="W162" s="218"/>
      <c r="X162" s="226">
        <v>555.61907499999995</v>
      </c>
      <c r="Y162" s="217">
        <v>471.52538362701603</v>
      </c>
      <c r="Z162" s="228">
        <v>573</v>
      </c>
      <c r="AA162" s="239">
        <v>0.82290642866843899</v>
      </c>
      <c r="AB162" s="222">
        <v>-181.68957731150499</v>
      </c>
      <c r="AC162" s="219"/>
      <c r="AD162" s="219"/>
      <c r="AE162" s="227">
        <v>120</v>
      </c>
      <c r="AF162" s="227">
        <v>255</v>
      </c>
      <c r="AG162" s="218"/>
      <c r="AH162" s="231">
        <v>81.400000000000006</v>
      </c>
      <c r="AI162" s="217">
        <v>69.080000947122102</v>
      </c>
      <c r="AJ162" s="232" t="s">
        <v>53</v>
      </c>
      <c r="AK162" s="229">
        <v>1.0965079515416201</v>
      </c>
      <c r="AL162" s="230">
        <v>0.33465079297593497</v>
      </c>
      <c r="AM162" s="219">
        <v>0.02</v>
      </c>
      <c r="AN162" s="219">
        <v>0.01</v>
      </c>
      <c r="AO162" s="227">
        <v>0</v>
      </c>
      <c r="AP162" s="227">
        <v>8</v>
      </c>
      <c r="AQ162" s="218"/>
      <c r="AR162" s="231">
        <v>9.6</v>
      </c>
      <c r="AS162" s="217">
        <v>8.14702713872693</v>
      </c>
      <c r="AT162" s="232" t="s">
        <v>54</v>
      </c>
      <c r="AU162" s="224">
        <v>0.50918919617043301</v>
      </c>
      <c r="AV162" s="225">
        <v>-10.9880251954347</v>
      </c>
      <c r="AW162" s="219"/>
      <c r="AX162" s="219"/>
      <c r="AY162" s="227">
        <v>10</v>
      </c>
      <c r="AZ162" s="227">
        <v>14</v>
      </c>
      <c r="BA162" s="218"/>
      <c r="BB162" s="235">
        <v>46.4</v>
      </c>
      <c r="BC162" s="231">
        <v>39.377297837180201</v>
      </c>
      <c r="BD162" s="232" t="s">
        <v>55</v>
      </c>
      <c r="BE162" s="229">
        <v>1.23054055741188</v>
      </c>
      <c r="BF162" s="230">
        <v>5.2239496091306297</v>
      </c>
      <c r="BG162" s="219">
        <v>0.02</v>
      </c>
      <c r="BH162" s="219">
        <v>0.02</v>
      </c>
      <c r="BI162" s="227">
        <v>0</v>
      </c>
      <c r="BJ162" s="227">
        <v>0</v>
      </c>
      <c r="BK162" s="220"/>
      <c r="BL162" s="236">
        <v>0.8</v>
      </c>
      <c r="BM162" s="233">
        <v>0.83</v>
      </c>
      <c r="BN162" s="237">
        <v>1.1249999999999999E-3</v>
      </c>
      <c r="BO162" s="238">
        <v>0.95</v>
      </c>
      <c r="BP162" s="229">
        <v>1</v>
      </c>
      <c r="BQ162" s="237">
        <v>2.5000000000000001E-3</v>
      </c>
    </row>
    <row r="163" spans="1:69" s="207" customFormat="1" ht="22.35" customHeight="1" x14ac:dyDescent="0.2">
      <c r="A163" s="216" t="s">
        <v>220</v>
      </c>
      <c r="B163" s="216" t="s">
        <v>221</v>
      </c>
      <c r="C163" s="216" t="s">
        <v>226</v>
      </c>
      <c r="D163" s="217">
        <v>3.1786816065555601</v>
      </c>
      <c r="E163" s="218"/>
      <c r="F163" s="219">
        <v>0.08</v>
      </c>
      <c r="G163" s="219">
        <v>0.08</v>
      </c>
      <c r="H163" s="220"/>
      <c r="I163" s="221">
        <v>6</v>
      </c>
      <c r="J163" s="221">
        <v>6</v>
      </c>
      <c r="K163" s="218"/>
      <c r="L163" s="222">
        <v>3230.8780900000002</v>
      </c>
      <c r="M163" s="222">
        <v>-286.78075000000001</v>
      </c>
      <c r="N163" s="222">
        <v>2944.0973399999998</v>
      </c>
      <c r="O163" s="217">
        <v>926.20076635805196</v>
      </c>
      <c r="P163" s="223">
        <v>239.25899999999999</v>
      </c>
      <c r="Q163" s="229">
        <v>3.8711219488422701</v>
      </c>
      <c r="R163" s="230">
        <v>2113.60056470686</v>
      </c>
      <c r="S163" s="219">
        <v>0.01</v>
      </c>
      <c r="T163" s="219">
        <v>0.01</v>
      </c>
      <c r="U163" s="226">
        <v>0</v>
      </c>
      <c r="V163" s="227">
        <v>0</v>
      </c>
      <c r="W163" s="218"/>
      <c r="X163" s="226">
        <v>2544.5034099999998</v>
      </c>
      <c r="Y163" s="217">
        <v>800.49017956134503</v>
      </c>
      <c r="Z163" s="228">
        <v>573</v>
      </c>
      <c r="AA163" s="229">
        <v>1.39701602017687</v>
      </c>
      <c r="AB163" s="230">
        <v>555.55146987248202</v>
      </c>
      <c r="AC163" s="219">
        <v>0.02</v>
      </c>
      <c r="AD163" s="219">
        <v>0.02</v>
      </c>
      <c r="AE163" s="227">
        <v>0</v>
      </c>
      <c r="AF163" s="227">
        <v>0</v>
      </c>
      <c r="AG163" s="218"/>
      <c r="AH163" s="231">
        <v>303.89999999999998</v>
      </c>
      <c r="AI163" s="217">
        <v>95.605674809723496</v>
      </c>
      <c r="AJ163" s="232" t="s">
        <v>53</v>
      </c>
      <c r="AK163" s="229">
        <v>1.51755039380514</v>
      </c>
      <c r="AL163" s="230">
        <v>85.2194201954037</v>
      </c>
      <c r="AM163" s="219">
        <v>0.02</v>
      </c>
      <c r="AN163" s="219">
        <v>0.02</v>
      </c>
      <c r="AO163" s="227">
        <v>0</v>
      </c>
      <c r="AP163" s="227">
        <v>0</v>
      </c>
      <c r="AQ163" s="218"/>
      <c r="AR163" s="231">
        <v>63.3</v>
      </c>
      <c r="AS163" s="217">
        <v>19.913916470732101</v>
      </c>
      <c r="AT163" s="232" t="s">
        <v>54</v>
      </c>
      <c r="AU163" s="229">
        <v>1.2446197794207601</v>
      </c>
      <c r="AV163" s="230">
        <v>7.7620749702612599</v>
      </c>
      <c r="AW163" s="219">
        <v>0.01</v>
      </c>
      <c r="AX163" s="219">
        <v>0.01</v>
      </c>
      <c r="AY163" s="227">
        <v>0</v>
      </c>
      <c r="AZ163" s="227">
        <v>0</v>
      </c>
      <c r="BA163" s="218"/>
      <c r="BB163" s="235">
        <v>198.2</v>
      </c>
      <c r="BC163" s="231">
        <v>62.3528948578059</v>
      </c>
      <c r="BD163" s="232" t="s">
        <v>55</v>
      </c>
      <c r="BE163" s="229">
        <v>1.9485279643064299</v>
      </c>
      <c r="BF163" s="230">
        <v>87.1241499405225</v>
      </c>
      <c r="BG163" s="219">
        <v>0.02</v>
      </c>
      <c r="BH163" s="219">
        <v>0.02</v>
      </c>
      <c r="BI163" s="227">
        <v>0</v>
      </c>
      <c r="BJ163" s="227">
        <v>0</v>
      </c>
      <c r="BK163" s="220"/>
      <c r="BL163" s="236">
        <v>0.8</v>
      </c>
      <c r="BM163" s="239">
        <v>0.78</v>
      </c>
      <c r="BN163" s="237"/>
      <c r="BO163" s="238">
        <v>0.95</v>
      </c>
      <c r="BP163" s="229">
        <v>1</v>
      </c>
      <c r="BQ163" s="237">
        <v>2.5000000000000001E-3</v>
      </c>
    </row>
    <row r="164" spans="1:69" s="207" customFormat="1" ht="22.35" customHeight="1" x14ac:dyDescent="0.2">
      <c r="A164" s="216" t="s">
        <v>220</v>
      </c>
      <c r="B164" s="216" t="s">
        <v>221</v>
      </c>
      <c r="C164" s="216" t="s">
        <v>227</v>
      </c>
      <c r="D164" s="217">
        <v>3.7074923414444401</v>
      </c>
      <c r="E164" s="218"/>
      <c r="F164" s="219">
        <v>2.3E-2</v>
      </c>
      <c r="G164" s="219">
        <v>1.2999999999999999E-2</v>
      </c>
      <c r="H164" s="220"/>
      <c r="I164" s="221">
        <v>3</v>
      </c>
      <c r="J164" s="221">
        <v>3</v>
      </c>
      <c r="K164" s="218"/>
      <c r="L164" s="222">
        <v>1870.79556</v>
      </c>
      <c r="M164" s="222">
        <v>-111.55054</v>
      </c>
      <c r="N164" s="222">
        <v>1759.2450200000001</v>
      </c>
      <c r="O164" s="217">
        <v>474.51076306595797</v>
      </c>
      <c r="P164" s="223">
        <v>272.85399999999998</v>
      </c>
      <c r="Q164" s="229">
        <v>1.7390647125054399</v>
      </c>
      <c r="R164" s="230">
        <v>654.57332605693</v>
      </c>
      <c r="S164" s="219">
        <v>0.01</v>
      </c>
      <c r="T164" s="219">
        <v>0.01</v>
      </c>
      <c r="U164" s="226">
        <v>0</v>
      </c>
      <c r="V164" s="227">
        <v>0</v>
      </c>
      <c r="W164" s="218"/>
      <c r="X164" s="226">
        <v>1846.7188699999999</v>
      </c>
      <c r="Y164" s="217">
        <v>498.10456770371002</v>
      </c>
      <c r="Z164" s="228">
        <v>573</v>
      </c>
      <c r="AA164" s="239">
        <v>0.86929243927348998</v>
      </c>
      <c r="AB164" s="222">
        <v>-473.11840791924902</v>
      </c>
      <c r="AC164" s="219"/>
      <c r="AD164" s="219"/>
      <c r="AE164" s="227">
        <v>278</v>
      </c>
      <c r="AF164" s="227">
        <v>703</v>
      </c>
      <c r="AG164" s="218"/>
      <c r="AH164" s="231">
        <v>91.2</v>
      </c>
      <c r="AI164" s="217">
        <v>24.5988370577371</v>
      </c>
      <c r="AJ164" s="232" t="s">
        <v>53</v>
      </c>
      <c r="AK164" s="224">
        <v>0.39045773107519199</v>
      </c>
      <c r="AL164" s="225">
        <v>-163.86064312201199</v>
      </c>
      <c r="AM164" s="219"/>
      <c r="AN164" s="219"/>
      <c r="AO164" s="227">
        <v>143</v>
      </c>
      <c r="AP164" s="227">
        <v>190</v>
      </c>
      <c r="AQ164" s="218"/>
      <c r="AR164" s="231">
        <v>31.8</v>
      </c>
      <c r="AS164" s="217">
        <v>8.5772260793425303</v>
      </c>
      <c r="AT164" s="232" t="s">
        <v>54</v>
      </c>
      <c r="AU164" s="224">
        <v>0.53607662995890804</v>
      </c>
      <c r="AV164" s="225">
        <v>-32.977306189717297</v>
      </c>
      <c r="AW164" s="219"/>
      <c r="AX164" s="219"/>
      <c r="AY164" s="227">
        <v>28</v>
      </c>
      <c r="AZ164" s="227">
        <v>40</v>
      </c>
      <c r="BA164" s="218"/>
      <c r="BB164" s="235">
        <v>122</v>
      </c>
      <c r="BC164" s="231">
        <v>32.9063390465342</v>
      </c>
      <c r="BD164" s="232" t="s">
        <v>55</v>
      </c>
      <c r="BE164" s="233">
        <v>1.02832309520419</v>
      </c>
      <c r="BF164" s="234">
        <v>-7.5546123794345004</v>
      </c>
      <c r="BG164" s="219">
        <v>1.2999999999999999E-2</v>
      </c>
      <c r="BH164" s="219">
        <v>3.0000000000000001E-3</v>
      </c>
      <c r="BI164" s="227">
        <v>0</v>
      </c>
      <c r="BJ164" s="227">
        <v>21</v>
      </c>
      <c r="BK164" s="220"/>
      <c r="BL164" s="236">
        <v>0.8</v>
      </c>
      <c r="BM164" s="239">
        <v>0.72</v>
      </c>
      <c r="BN164" s="237"/>
      <c r="BO164" s="238">
        <v>0.95</v>
      </c>
      <c r="BP164" s="229">
        <v>1</v>
      </c>
      <c r="BQ164" s="237">
        <v>2.5000000000000001E-3</v>
      </c>
    </row>
    <row r="165" spans="1:69" s="207" customFormat="1" ht="22.35" customHeight="1" x14ac:dyDescent="0.2">
      <c r="A165" s="216" t="s">
        <v>220</v>
      </c>
      <c r="B165" s="216" t="s">
        <v>221</v>
      </c>
      <c r="C165" s="216" t="s">
        <v>228</v>
      </c>
      <c r="D165" s="217">
        <v>3.59068721</v>
      </c>
      <c r="E165" s="218"/>
      <c r="F165" s="219">
        <v>1.4E-2</v>
      </c>
      <c r="G165" s="219">
        <v>0.01</v>
      </c>
      <c r="H165" s="220"/>
      <c r="I165" s="221">
        <v>3</v>
      </c>
      <c r="J165" s="221">
        <v>2</v>
      </c>
      <c r="K165" s="218"/>
      <c r="L165" s="222">
        <v>611.86848999999995</v>
      </c>
      <c r="M165" s="222">
        <v>831.32452999999998</v>
      </c>
      <c r="N165" s="222">
        <v>1443.1930199999999</v>
      </c>
      <c r="O165" s="217">
        <v>401.926688568342</v>
      </c>
      <c r="P165" s="223">
        <v>244.22499999999999</v>
      </c>
      <c r="Q165" s="229">
        <v>1.64572295452285</v>
      </c>
      <c r="R165" s="230">
        <v>485.579362422423</v>
      </c>
      <c r="S165" s="219">
        <v>0.01</v>
      </c>
      <c r="T165" s="219">
        <v>0.01</v>
      </c>
      <c r="U165" s="226">
        <v>0</v>
      </c>
      <c r="V165" s="227">
        <v>0</v>
      </c>
      <c r="W165" s="218"/>
      <c r="X165" s="226">
        <v>1729.8518449999999</v>
      </c>
      <c r="Y165" s="217">
        <v>481.76066135262198</v>
      </c>
      <c r="Z165" s="228">
        <v>573</v>
      </c>
      <c r="AA165" s="239">
        <v>0.840769042500212</v>
      </c>
      <c r="AB165" s="222">
        <v>-516.89859329236003</v>
      </c>
      <c r="AC165" s="219"/>
      <c r="AD165" s="219"/>
      <c r="AE165" s="227">
        <v>328</v>
      </c>
      <c r="AF165" s="227">
        <v>740</v>
      </c>
      <c r="AG165" s="218"/>
      <c r="AH165" s="231">
        <v>163.30000000000001</v>
      </c>
      <c r="AI165" s="217">
        <v>45.478759482366598</v>
      </c>
      <c r="AJ165" s="232" t="s">
        <v>53</v>
      </c>
      <c r="AK165" s="224">
        <v>0.72188507114867595</v>
      </c>
      <c r="AL165" s="225">
        <v>-83.724917299159998</v>
      </c>
      <c r="AM165" s="219"/>
      <c r="AN165" s="219"/>
      <c r="AO165" s="227">
        <v>63</v>
      </c>
      <c r="AP165" s="227">
        <v>109</v>
      </c>
      <c r="AQ165" s="218"/>
      <c r="AR165" s="231">
        <v>29.4</v>
      </c>
      <c r="AS165" s="217">
        <v>8.1878476961517297</v>
      </c>
      <c r="AT165" s="232" t="s">
        <v>54</v>
      </c>
      <c r="AU165" s="224">
        <v>0.51174048100948299</v>
      </c>
      <c r="AV165" s="225">
        <v>-33.33648693312</v>
      </c>
      <c r="AW165" s="219"/>
      <c r="AX165" s="219"/>
      <c r="AY165" s="227">
        <v>29</v>
      </c>
      <c r="AZ165" s="227">
        <v>40</v>
      </c>
      <c r="BA165" s="218"/>
      <c r="BB165" s="235">
        <v>108.6</v>
      </c>
      <c r="BC165" s="231">
        <v>30.244906795989099</v>
      </c>
      <c r="BD165" s="232" t="s">
        <v>55</v>
      </c>
      <c r="BE165" s="233">
        <v>0.94515333737465801</v>
      </c>
      <c r="BF165" s="234">
        <v>-16.872973866239999</v>
      </c>
      <c r="BG165" s="219">
        <v>4.0000000000000001E-3</v>
      </c>
      <c r="BH165" s="219"/>
      <c r="BI165" s="227">
        <v>7</v>
      </c>
      <c r="BJ165" s="227">
        <v>30</v>
      </c>
      <c r="BK165" s="220"/>
      <c r="BL165" s="236">
        <v>0.8</v>
      </c>
      <c r="BM165" s="239">
        <v>0.78</v>
      </c>
      <c r="BN165" s="237"/>
      <c r="BO165" s="238">
        <v>0.95</v>
      </c>
      <c r="BP165" s="229">
        <v>1</v>
      </c>
      <c r="BQ165" s="237">
        <v>2.5000000000000001E-3</v>
      </c>
    </row>
    <row r="166" spans="1:69" s="207" customFormat="1" ht="22.35" customHeight="1" x14ac:dyDescent="0.2">
      <c r="A166" s="216" t="s">
        <v>220</v>
      </c>
      <c r="B166" s="216" t="s">
        <v>221</v>
      </c>
      <c r="C166" s="216" t="s">
        <v>229</v>
      </c>
      <c r="D166" s="217">
        <v>8.2706296171111102</v>
      </c>
      <c r="E166" s="218"/>
      <c r="F166" s="219">
        <v>4.4999999999999998E-2</v>
      </c>
      <c r="G166" s="219">
        <v>3.1E-2</v>
      </c>
      <c r="H166" s="220"/>
      <c r="I166" s="221">
        <v>5</v>
      </c>
      <c r="J166" s="221">
        <v>4</v>
      </c>
      <c r="K166" s="218"/>
      <c r="L166" s="222">
        <v>12902.40545</v>
      </c>
      <c r="M166" s="222">
        <v>201.77823000000001</v>
      </c>
      <c r="N166" s="222">
        <v>13104.18368</v>
      </c>
      <c r="O166" s="217">
        <v>1584.4239539984701</v>
      </c>
      <c r="P166" s="223">
        <v>224.79599999999999</v>
      </c>
      <c r="Q166" s="229">
        <v>7.0482746756991697</v>
      </c>
      <c r="R166" s="230">
        <v>11073.9324146943</v>
      </c>
      <c r="S166" s="219">
        <v>0.01</v>
      </c>
      <c r="T166" s="219">
        <v>0.01</v>
      </c>
      <c r="U166" s="226">
        <v>0</v>
      </c>
      <c r="V166" s="227">
        <v>0</v>
      </c>
      <c r="W166" s="218"/>
      <c r="X166" s="226">
        <v>4739.8393800000003</v>
      </c>
      <c r="Y166" s="217">
        <v>573.09293239220199</v>
      </c>
      <c r="Z166" s="228">
        <v>573</v>
      </c>
      <c r="AA166" s="233">
        <v>1.0001621856757501</v>
      </c>
      <c r="AB166" s="234">
        <v>-435.225901500296</v>
      </c>
      <c r="AC166" s="219">
        <v>0.01</v>
      </c>
      <c r="AD166" s="219">
        <v>1E-3</v>
      </c>
      <c r="AE166" s="227">
        <v>0</v>
      </c>
      <c r="AF166" s="227">
        <v>948</v>
      </c>
      <c r="AG166" s="218"/>
      <c r="AH166" s="231">
        <v>498</v>
      </c>
      <c r="AI166" s="217">
        <v>60.213069990425801</v>
      </c>
      <c r="AJ166" s="232" t="s">
        <v>53</v>
      </c>
      <c r="AK166" s="233">
        <v>0.95576301572104505</v>
      </c>
      <c r="AL166" s="234">
        <v>-70.986235138775996</v>
      </c>
      <c r="AM166" s="219">
        <v>5.0000000000000001E-3</v>
      </c>
      <c r="AN166" s="219"/>
      <c r="AO166" s="227">
        <v>24</v>
      </c>
      <c r="AP166" s="227">
        <v>128</v>
      </c>
      <c r="AQ166" s="218"/>
      <c r="AR166" s="231">
        <v>95.6</v>
      </c>
      <c r="AS166" s="217">
        <v>11.5589748816962</v>
      </c>
      <c r="AT166" s="232" t="s">
        <v>54</v>
      </c>
      <c r="AU166" s="224">
        <v>0.72243593010601204</v>
      </c>
      <c r="AV166" s="225">
        <v>-48.9044406701653</v>
      </c>
      <c r="AW166" s="219"/>
      <c r="AX166" s="219"/>
      <c r="AY166" s="227">
        <v>37</v>
      </c>
      <c r="AZ166" s="227">
        <v>64</v>
      </c>
      <c r="BA166" s="218"/>
      <c r="BB166" s="235">
        <v>360</v>
      </c>
      <c r="BC166" s="231">
        <v>43.527520475006597</v>
      </c>
      <c r="BD166" s="232" t="s">
        <v>55</v>
      </c>
      <c r="BE166" s="229">
        <v>1.3602350148439599</v>
      </c>
      <c r="BF166" s="230">
        <v>70.991118659669297</v>
      </c>
      <c r="BG166" s="219">
        <v>0.02</v>
      </c>
      <c r="BH166" s="219">
        <v>0.02</v>
      </c>
      <c r="BI166" s="227">
        <v>0</v>
      </c>
      <c r="BJ166" s="227">
        <v>0</v>
      </c>
      <c r="BK166" s="220"/>
      <c r="BL166" s="236">
        <v>0.8</v>
      </c>
      <c r="BM166" s="239">
        <v>0.74</v>
      </c>
      <c r="BN166" s="237"/>
      <c r="BO166" s="238">
        <v>0.95</v>
      </c>
      <c r="BP166" s="229">
        <v>1</v>
      </c>
      <c r="BQ166" s="237">
        <v>2.5000000000000001E-3</v>
      </c>
    </row>
    <row r="167" spans="1:69" s="207" customFormat="1" ht="22.35" customHeight="1" x14ac:dyDescent="0.2">
      <c r="A167" s="216" t="s">
        <v>220</v>
      </c>
      <c r="B167" s="216" t="s">
        <v>221</v>
      </c>
      <c r="C167" s="216" t="s">
        <v>230</v>
      </c>
      <c r="D167" s="217">
        <v>2.0619326908888902</v>
      </c>
      <c r="E167" s="218"/>
      <c r="F167" s="219">
        <v>3.5999999999999997E-2</v>
      </c>
      <c r="G167" s="219">
        <v>1.7999999999999999E-2</v>
      </c>
      <c r="H167" s="220"/>
      <c r="I167" s="221">
        <v>3</v>
      </c>
      <c r="J167" s="221">
        <v>3</v>
      </c>
      <c r="K167" s="218"/>
      <c r="L167" s="222">
        <v>-8166.7360500000004</v>
      </c>
      <c r="M167" s="222">
        <v>784.15520000000004</v>
      </c>
      <c r="N167" s="222">
        <v>-7382.5808500000003</v>
      </c>
      <c r="O167" s="217">
        <v>-3580.4179654464901</v>
      </c>
      <c r="P167" s="223">
        <v>225.90199999999999</v>
      </c>
      <c r="Q167" s="224">
        <v>-15.8494301309705</v>
      </c>
      <c r="R167" s="225">
        <v>-7891.2286828610004</v>
      </c>
      <c r="S167" s="219"/>
      <c r="T167" s="219"/>
      <c r="U167" s="226">
        <v>7849</v>
      </c>
      <c r="V167" s="227">
        <v>7942</v>
      </c>
      <c r="W167" s="218"/>
      <c r="X167" s="226">
        <v>883.646885</v>
      </c>
      <c r="Y167" s="217">
        <v>428.55273060298799</v>
      </c>
      <c r="Z167" s="228">
        <v>573</v>
      </c>
      <c r="AA167" s="239">
        <v>0.74791052461254404</v>
      </c>
      <c r="AB167" s="222">
        <v>-406.53739061223303</v>
      </c>
      <c r="AC167" s="219"/>
      <c r="AD167" s="219"/>
      <c r="AE167" s="227">
        <v>298</v>
      </c>
      <c r="AF167" s="227">
        <v>535</v>
      </c>
      <c r="AG167" s="218"/>
      <c r="AH167" s="231">
        <v>146.25</v>
      </c>
      <c r="AI167" s="217">
        <v>70.928600456376898</v>
      </c>
      <c r="AJ167" s="232" t="s">
        <v>53</v>
      </c>
      <c r="AK167" s="229">
        <v>1.12585080089487</v>
      </c>
      <c r="AL167" s="230">
        <v>4.3972785976079098</v>
      </c>
      <c r="AM167" s="219">
        <v>0.02</v>
      </c>
      <c r="AN167" s="219">
        <v>1.2999999999999999E-2</v>
      </c>
      <c r="AO167" s="227">
        <v>0</v>
      </c>
      <c r="AP167" s="227">
        <v>10</v>
      </c>
      <c r="AQ167" s="218"/>
      <c r="AR167" s="231">
        <v>23.1</v>
      </c>
      <c r="AS167" s="217">
        <v>11.203081507981601</v>
      </c>
      <c r="AT167" s="232" t="s">
        <v>54</v>
      </c>
      <c r="AU167" s="224">
        <v>0.70019259424884805</v>
      </c>
      <c r="AV167" s="225">
        <v>-12.926087975210701</v>
      </c>
      <c r="AW167" s="219"/>
      <c r="AX167" s="219"/>
      <c r="AY167" s="227">
        <v>10</v>
      </c>
      <c r="AZ167" s="227">
        <v>17</v>
      </c>
      <c r="BA167" s="218"/>
      <c r="BB167" s="235">
        <v>69.400000000000006</v>
      </c>
      <c r="BC167" s="231">
        <v>33.657742712290997</v>
      </c>
      <c r="BD167" s="232" t="s">
        <v>55</v>
      </c>
      <c r="BE167" s="233">
        <v>1.0518044597590901</v>
      </c>
      <c r="BF167" s="234">
        <v>-2.65217595042138</v>
      </c>
      <c r="BG167" s="219">
        <v>1.6E-2</v>
      </c>
      <c r="BH167" s="219">
        <v>5.0000000000000001E-3</v>
      </c>
      <c r="BI167" s="227">
        <v>0</v>
      </c>
      <c r="BJ167" s="227">
        <v>10</v>
      </c>
      <c r="BK167" s="220"/>
      <c r="BL167" s="236">
        <v>0.8</v>
      </c>
      <c r="BM167" s="224"/>
      <c r="BN167" s="237"/>
      <c r="BO167" s="238">
        <v>0.95</v>
      </c>
      <c r="BP167" s="229">
        <v>1</v>
      </c>
      <c r="BQ167" s="237">
        <v>2.5000000000000001E-3</v>
      </c>
    </row>
    <row r="168" spans="1:69" s="207" customFormat="1" ht="22.35" customHeight="1" x14ac:dyDescent="0.2">
      <c r="A168" s="216" t="s">
        <v>220</v>
      </c>
      <c r="B168" s="216" t="s">
        <v>221</v>
      </c>
      <c r="C168" s="216" t="s">
        <v>231</v>
      </c>
      <c r="D168" s="217">
        <v>2.0199468106666698</v>
      </c>
      <c r="E168" s="218"/>
      <c r="F168" s="219">
        <v>0.05</v>
      </c>
      <c r="G168" s="219">
        <v>0.05</v>
      </c>
      <c r="H168" s="220"/>
      <c r="I168" s="221">
        <v>4</v>
      </c>
      <c r="J168" s="221">
        <v>4</v>
      </c>
      <c r="K168" s="218"/>
      <c r="L168" s="222">
        <v>2445.0452399999999</v>
      </c>
      <c r="M168" s="222">
        <v>484.65165999999999</v>
      </c>
      <c r="N168" s="222">
        <v>2929.6968999999999</v>
      </c>
      <c r="O168" s="217">
        <v>1450.3831905519701</v>
      </c>
      <c r="P168" s="223">
        <v>258.548</v>
      </c>
      <c r="Q168" s="229">
        <v>5.60972504351985</v>
      </c>
      <c r="R168" s="230">
        <v>2359.3963968593598</v>
      </c>
      <c r="S168" s="219">
        <v>0.01</v>
      </c>
      <c r="T168" s="219">
        <v>0.01</v>
      </c>
      <c r="U168" s="226">
        <v>0</v>
      </c>
      <c r="V168" s="227">
        <v>0</v>
      </c>
      <c r="W168" s="218"/>
      <c r="X168" s="226">
        <v>1794.4673250000001</v>
      </c>
      <c r="Y168" s="217">
        <v>888.37355296882799</v>
      </c>
      <c r="Z168" s="228">
        <v>573</v>
      </c>
      <c r="AA168" s="229">
        <v>1.5503901447972599</v>
      </c>
      <c r="AB168" s="230">
        <v>530.554286416894</v>
      </c>
      <c r="AC168" s="219">
        <v>0.02</v>
      </c>
      <c r="AD168" s="219">
        <v>0.02</v>
      </c>
      <c r="AE168" s="227">
        <v>0</v>
      </c>
      <c r="AF168" s="227">
        <v>0</v>
      </c>
      <c r="AG168" s="218"/>
      <c r="AH168" s="231">
        <v>114.85</v>
      </c>
      <c r="AI168" s="217">
        <v>56.857932789871199</v>
      </c>
      <c r="AJ168" s="232" t="s">
        <v>53</v>
      </c>
      <c r="AK168" s="239">
        <v>0.90250686968049498</v>
      </c>
      <c r="AL168" s="222">
        <v>-24.1142607866243</v>
      </c>
      <c r="AM168" s="219"/>
      <c r="AN168" s="219"/>
      <c r="AO168" s="227">
        <v>13</v>
      </c>
      <c r="AP168" s="227">
        <v>38</v>
      </c>
      <c r="AQ168" s="218"/>
      <c r="AR168" s="231">
        <v>23.8</v>
      </c>
      <c r="AS168" s="217">
        <v>11.7824884666864</v>
      </c>
      <c r="AT168" s="232" t="s">
        <v>54</v>
      </c>
      <c r="AU168" s="239">
        <v>0.73640552916790103</v>
      </c>
      <c r="AV168" s="222">
        <v>-11.4925106759681</v>
      </c>
      <c r="AW168" s="219"/>
      <c r="AX168" s="219"/>
      <c r="AY168" s="227">
        <v>9</v>
      </c>
      <c r="AZ168" s="227">
        <v>15</v>
      </c>
      <c r="BA168" s="218"/>
      <c r="BB168" s="235">
        <v>104</v>
      </c>
      <c r="BC168" s="231">
        <v>51.486504224175903</v>
      </c>
      <c r="BD168" s="232" t="s">
        <v>55</v>
      </c>
      <c r="BE168" s="229">
        <v>1.6089532570055001</v>
      </c>
      <c r="BF168" s="230">
        <v>33.414978648063901</v>
      </c>
      <c r="BG168" s="219">
        <v>0.02</v>
      </c>
      <c r="BH168" s="219">
        <v>0.02</v>
      </c>
      <c r="BI168" s="227">
        <v>0</v>
      </c>
      <c r="BJ168" s="227">
        <v>0</v>
      </c>
      <c r="BK168" s="220"/>
      <c r="BL168" s="236">
        <v>0.8</v>
      </c>
      <c r="BM168" s="239">
        <v>0.76</v>
      </c>
      <c r="BN168" s="237"/>
      <c r="BO168" s="238">
        <v>0.95</v>
      </c>
      <c r="BP168" s="229">
        <v>1</v>
      </c>
      <c r="BQ168" s="237">
        <v>2.5000000000000001E-3</v>
      </c>
    </row>
    <row r="169" spans="1:69" s="207" customFormat="1" ht="22.35" customHeight="1" x14ac:dyDescent="0.2">
      <c r="A169" s="216" t="s">
        <v>220</v>
      </c>
      <c r="B169" s="216" t="s">
        <v>221</v>
      </c>
      <c r="C169" s="216" t="s">
        <v>232</v>
      </c>
      <c r="D169" s="217">
        <v>1.8614832398888901</v>
      </c>
      <c r="E169" s="218"/>
      <c r="F169" s="219">
        <v>4.5999999999999999E-2</v>
      </c>
      <c r="G169" s="219">
        <v>0.04</v>
      </c>
      <c r="H169" s="220"/>
      <c r="I169" s="221">
        <v>5</v>
      </c>
      <c r="J169" s="221">
        <v>4</v>
      </c>
      <c r="K169" s="218"/>
      <c r="L169" s="222">
        <v>1295.2726700000001</v>
      </c>
      <c r="M169" s="222">
        <v>678.41827999999998</v>
      </c>
      <c r="N169" s="222">
        <v>1973.6909499999999</v>
      </c>
      <c r="O169" s="217">
        <v>1060.27865720554</v>
      </c>
      <c r="P169" s="223">
        <v>266.29899999999998</v>
      </c>
      <c r="Q169" s="229">
        <v>3.9815345052198499</v>
      </c>
      <c r="R169" s="230">
        <v>1432.3744011732999</v>
      </c>
      <c r="S169" s="219">
        <v>0.01</v>
      </c>
      <c r="T169" s="219">
        <v>0.01</v>
      </c>
      <c r="U169" s="226">
        <v>0</v>
      </c>
      <c r="V169" s="227">
        <v>0</v>
      </c>
      <c r="W169" s="218"/>
      <c r="X169" s="226">
        <v>1028.2102050000001</v>
      </c>
      <c r="Y169" s="217">
        <v>552.360710516724</v>
      </c>
      <c r="Z169" s="228">
        <v>573</v>
      </c>
      <c r="AA169" s="233">
        <v>0.96398029758590598</v>
      </c>
      <c r="AB169" s="234">
        <v>-136.54964193031699</v>
      </c>
      <c r="AC169" s="219">
        <v>6.0000000000000001E-3</v>
      </c>
      <c r="AD169" s="219"/>
      <c r="AE169" s="227">
        <v>39</v>
      </c>
      <c r="AF169" s="227">
        <v>252</v>
      </c>
      <c r="AG169" s="218"/>
      <c r="AH169" s="231">
        <v>106.1</v>
      </c>
      <c r="AI169" s="217">
        <v>56.997558573953697</v>
      </c>
      <c r="AJ169" s="232" t="s">
        <v>53</v>
      </c>
      <c r="AK169" s="239">
        <v>0.90472315196751896</v>
      </c>
      <c r="AL169" s="222">
        <v>-21.9626009713961</v>
      </c>
      <c r="AM169" s="219"/>
      <c r="AN169" s="219"/>
      <c r="AO169" s="227">
        <v>12</v>
      </c>
      <c r="AP169" s="227">
        <v>35</v>
      </c>
      <c r="AQ169" s="218"/>
      <c r="AR169" s="231">
        <v>47.6</v>
      </c>
      <c r="AS169" s="217">
        <v>25.571006485581499</v>
      </c>
      <c r="AT169" s="232" t="s">
        <v>54</v>
      </c>
      <c r="AU169" s="229">
        <v>1.5981879053488399</v>
      </c>
      <c r="AV169" s="230">
        <v>15.0761648326613</v>
      </c>
      <c r="AW169" s="219">
        <v>0.01</v>
      </c>
      <c r="AX169" s="219">
        <v>0.01</v>
      </c>
      <c r="AY169" s="227">
        <v>0</v>
      </c>
      <c r="AZ169" s="227">
        <v>0</v>
      </c>
      <c r="BA169" s="218"/>
      <c r="BB169" s="235">
        <v>94</v>
      </c>
      <c r="BC169" s="231">
        <v>50.497365748837403</v>
      </c>
      <c r="BD169" s="232" t="s">
        <v>55</v>
      </c>
      <c r="BE169" s="229">
        <v>1.57804267965117</v>
      </c>
      <c r="BF169" s="230">
        <v>28.952329665322601</v>
      </c>
      <c r="BG169" s="219">
        <v>0.02</v>
      </c>
      <c r="BH169" s="219">
        <v>0.02</v>
      </c>
      <c r="BI169" s="227">
        <v>0</v>
      </c>
      <c r="BJ169" s="227">
        <v>0</v>
      </c>
      <c r="BK169" s="220"/>
      <c r="BL169" s="236">
        <v>0.8</v>
      </c>
      <c r="BM169" s="239">
        <v>0.76</v>
      </c>
      <c r="BN169" s="237"/>
      <c r="BO169" s="238">
        <v>0.95</v>
      </c>
      <c r="BP169" s="229">
        <v>1</v>
      </c>
      <c r="BQ169" s="237">
        <v>2.5000000000000001E-3</v>
      </c>
    </row>
    <row r="170" spans="1:69" s="207" customFormat="1" ht="22.35" customHeight="1" x14ac:dyDescent="0.2">
      <c r="A170" s="216" t="s">
        <v>220</v>
      </c>
      <c r="B170" s="216" t="s">
        <v>221</v>
      </c>
      <c r="C170" s="216" t="s">
        <v>233</v>
      </c>
      <c r="D170" s="217">
        <v>10.3992394423333</v>
      </c>
      <c r="E170" s="218"/>
      <c r="F170" s="219">
        <v>0.06</v>
      </c>
      <c r="G170" s="219">
        <v>0.06</v>
      </c>
      <c r="H170" s="220"/>
      <c r="I170" s="221">
        <v>5</v>
      </c>
      <c r="J170" s="221">
        <v>5</v>
      </c>
      <c r="K170" s="218"/>
      <c r="L170" s="222">
        <v>9145.5505599999997</v>
      </c>
      <c r="M170" s="222">
        <v>5923.8511600000002</v>
      </c>
      <c r="N170" s="222">
        <v>15069.40172</v>
      </c>
      <c r="O170" s="217">
        <v>1449.0869071304701</v>
      </c>
      <c r="P170" s="223">
        <v>287.5</v>
      </c>
      <c r="Q170" s="229">
        <v>5.0403022856712001</v>
      </c>
      <c r="R170" s="230">
        <v>11804.560497079499</v>
      </c>
      <c r="S170" s="219">
        <v>0.01</v>
      </c>
      <c r="T170" s="219">
        <v>0.01</v>
      </c>
      <c r="U170" s="226">
        <v>0</v>
      </c>
      <c r="V170" s="227">
        <v>0</v>
      </c>
      <c r="W170" s="218"/>
      <c r="X170" s="226">
        <v>4151.0401000000002</v>
      </c>
      <c r="Y170" s="217">
        <v>399.16766250249998</v>
      </c>
      <c r="Z170" s="228">
        <v>573</v>
      </c>
      <c r="AA170" s="224">
        <v>0.696627683250436</v>
      </c>
      <c r="AB170" s="225">
        <v>-2355.93040689904</v>
      </c>
      <c r="AC170" s="219"/>
      <c r="AD170" s="219"/>
      <c r="AE170" s="227">
        <v>1808</v>
      </c>
      <c r="AF170" s="227">
        <v>3000</v>
      </c>
      <c r="AG170" s="218"/>
      <c r="AH170" s="231">
        <v>850.8</v>
      </c>
      <c r="AI170" s="217">
        <v>81.813675386351306</v>
      </c>
      <c r="AJ170" s="232" t="s">
        <v>53</v>
      </c>
      <c r="AK170" s="229">
        <v>1.29862976803732</v>
      </c>
      <c r="AL170" s="230">
        <v>135.37392332523601</v>
      </c>
      <c r="AM170" s="219">
        <v>0.02</v>
      </c>
      <c r="AN170" s="219">
        <v>0.02</v>
      </c>
      <c r="AO170" s="227">
        <v>0</v>
      </c>
      <c r="AP170" s="227">
        <v>0</v>
      </c>
      <c r="AQ170" s="218"/>
      <c r="AR170" s="231">
        <v>413.2</v>
      </c>
      <c r="AS170" s="217">
        <v>39.733674976069999</v>
      </c>
      <c r="AT170" s="232" t="s">
        <v>54</v>
      </c>
      <c r="AU170" s="229">
        <v>2.48335468600437</v>
      </c>
      <c r="AV170" s="230">
        <v>231.50448846355201</v>
      </c>
      <c r="AW170" s="219">
        <v>0.01</v>
      </c>
      <c r="AX170" s="219">
        <v>0.01</v>
      </c>
      <c r="AY170" s="227">
        <v>0</v>
      </c>
      <c r="AZ170" s="227">
        <v>0</v>
      </c>
      <c r="BA170" s="218"/>
      <c r="BB170" s="235">
        <v>782</v>
      </c>
      <c r="BC170" s="231">
        <v>75.197806948902993</v>
      </c>
      <c r="BD170" s="232" t="s">
        <v>55</v>
      </c>
      <c r="BE170" s="229">
        <v>2.3499314671532199</v>
      </c>
      <c r="BF170" s="230">
        <v>418.60897692710398</v>
      </c>
      <c r="BG170" s="219">
        <v>0.02</v>
      </c>
      <c r="BH170" s="219">
        <v>0.02</v>
      </c>
      <c r="BI170" s="227">
        <v>0</v>
      </c>
      <c r="BJ170" s="227">
        <v>0</v>
      </c>
      <c r="BK170" s="220"/>
      <c r="BL170" s="236">
        <v>0.8</v>
      </c>
      <c r="BM170" s="239">
        <v>0.75</v>
      </c>
      <c r="BN170" s="237"/>
      <c r="BO170" s="238">
        <v>0.95</v>
      </c>
      <c r="BP170" s="229">
        <v>1</v>
      </c>
      <c r="BQ170" s="237">
        <v>2.5000000000000001E-3</v>
      </c>
    </row>
    <row r="171" spans="1:69" s="207" customFormat="1" ht="22.35" customHeight="1" x14ac:dyDescent="0.2">
      <c r="A171" s="216" t="s">
        <v>220</v>
      </c>
      <c r="B171" s="216" t="s">
        <v>221</v>
      </c>
      <c r="C171" s="216" t="s">
        <v>234</v>
      </c>
      <c r="D171" s="217">
        <v>4.7502856914444402</v>
      </c>
      <c r="E171" s="218"/>
      <c r="F171" s="219">
        <v>2.7E-2</v>
      </c>
      <c r="G171" s="219">
        <v>1.6E-2</v>
      </c>
      <c r="H171" s="220"/>
      <c r="I171" s="221">
        <v>3</v>
      </c>
      <c r="J171" s="221">
        <v>3</v>
      </c>
      <c r="K171" s="218"/>
      <c r="L171" s="222">
        <v>1660.1143099999999</v>
      </c>
      <c r="M171" s="222">
        <v>1296.6723500000001</v>
      </c>
      <c r="N171" s="222">
        <v>2956.7866600000002</v>
      </c>
      <c r="O171" s="217">
        <v>622.44396485991399</v>
      </c>
      <c r="P171" s="223">
        <v>266.29899999999998</v>
      </c>
      <c r="Q171" s="229">
        <v>2.33738754129724</v>
      </c>
      <c r="R171" s="230">
        <v>1575.41066835421</v>
      </c>
      <c r="S171" s="219">
        <v>0.01</v>
      </c>
      <c r="T171" s="219">
        <v>0.01</v>
      </c>
      <c r="U171" s="226">
        <v>0</v>
      </c>
      <c r="V171" s="227">
        <v>0</v>
      </c>
      <c r="W171" s="218"/>
      <c r="X171" s="226">
        <v>2123.9812449999999</v>
      </c>
      <c r="Y171" s="217">
        <v>447.12705360551701</v>
      </c>
      <c r="Z171" s="228">
        <v>573</v>
      </c>
      <c r="AA171" s="239">
        <v>0.78032644608292601</v>
      </c>
      <c r="AB171" s="222">
        <v>-848.34851670784894</v>
      </c>
      <c r="AC171" s="219"/>
      <c r="AD171" s="219"/>
      <c r="AE171" s="227">
        <v>598</v>
      </c>
      <c r="AF171" s="227">
        <v>1143</v>
      </c>
      <c r="AG171" s="218"/>
      <c r="AH171" s="231">
        <v>218.8</v>
      </c>
      <c r="AI171" s="217">
        <v>46.060387566598799</v>
      </c>
      <c r="AJ171" s="232" t="s">
        <v>53</v>
      </c>
      <c r="AK171" s="239">
        <v>0.73111726296188595</v>
      </c>
      <c r="AL171" s="222">
        <v>-108.00065442861199</v>
      </c>
      <c r="AM171" s="219"/>
      <c r="AN171" s="219"/>
      <c r="AO171" s="227">
        <v>81</v>
      </c>
      <c r="AP171" s="227">
        <v>141</v>
      </c>
      <c r="AQ171" s="218"/>
      <c r="AR171" s="231">
        <v>48.3</v>
      </c>
      <c r="AS171" s="217">
        <v>10.1678095039612</v>
      </c>
      <c r="AT171" s="232" t="s">
        <v>54</v>
      </c>
      <c r="AU171" s="224">
        <v>0.635488093997578</v>
      </c>
      <c r="AV171" s="225">
        <v>-34.696991600917301</v>
      </c>
      <c r="AW171" s="219"/>
      <c r="AX171" s="219"/>
      <c r="AY171" s="227">
        <v>28</v>
      </c>
      <c r="AZ171" s="227">
        <v>43</v>
      </c>
      <c r="BA171" s="218"/>
      <c r="BB171" s="235">
        <v>161.19999999999999</v>
      </c>
      <c r="BC171" s="231">
        <v>33.934801077402803</v>
      </c>
      <c r="BD171" s="232" t="s">
        <v>55</v>
      </c>
      <c r="BE171" s="233">
        <v>1.06046253366884</v>
      </c>
      <c r="BF171" s="234">
        <v>-4.7939832018345196</v>
      </c>
      <c r="BG171" s="219">
        <v>1.7000000000000001E-2</v>
      </c>
      <c r="BH171" s="219">
        <v>6.0000000000000001E-3</v>
      </c>
      <c r="BI171" s="227">
        <v>0</v>
      </c>
      <c r="BJ171" s="227">
        <v>22</v>
      </c>
      <c r="BK171" s="220"/>
      <c r="BL171" s="236">
        <v>0.8</v>
      </c>
      <c r="BM171" s="239">
        <v>0.74</v>
      </c>
      <c r="BN171" s="237"/>
      <c r="BO171" s="238">
        <v>0.95</v>
      </c>
      <c r="BP171" s="229">
        <v>1</v>
      </c>
      <c r="BQ171" s="237">
        <v>2.5000000000000001E-3</v>
      </c>
    </row>
    <row r="172" spans="1:69" s="207" customFormat="1" ht="22.35" customHeight="1" x14ac:dyDescent="0.2">
      <c r="A172" s="216" t="s">
        <v>220</v>
      </c>
      <c r="B172" s="216" t="s">
        <v>221</v>
      </c>
      <c r="C172" s="216" t="s">
        <v>235</v>
      </c>
      <c r="D172" s="217">
        <v>3.3012442740000001</v>
      </c>
      <c r="E172" s="218"/>
      <c r="F172" s="219">
        <v>0.04</v>
      </c>
      <c r="G172" s="219">
        <v>3.3000000000000002E-2</v>
      </c>
      <c r="H172" s="220"/>
      <c r="I172" s="221">
        <v>4</v>
      </c>
      <c r="J172" s="221">
        <v>4</v>
      </c>
      <c r="K172" s="218"/>
      <c r="L172" s="222">
        <v>-160.31943000000001</v>
      </c>
      <c r="M172" s="222">
        <v>3099.4711299999999</v>
      </c>
      <c r="N172" s="222">
        <v>2939.1516999999999</v>
      </c>
      <c r="O172" s="217">
        <v>890.31633410112204</v>
      </c>
      <c r="P172" s="223">
        <v>263.185</v>
      </c>
      <c r="Q172" s="229">
        <v>3.38285363565979</v>
      </c>
      <c r="R172" s="230">
        <v>1990.38063211606</v>
      </c>
      <c r="S172" s="219">
        <v>0.01</v>
      </c>
      <c r="T172" s="219">
        <v>0.01</v>
      </c>
      <c r="U172" s="226">
        <v>0</v>
      </c>
      <c r="V172" s="227">
        <v>0</v>
      </c>
      <c r="W172" s="218"/>
      <c r="X172" s="226">
        <v>1594.5323149999999</v>
      </c>
      <c r="Y172" s="217">
        <v>483.00949056034602</v>
      </c>
      <c r="Z172" s="228">
        <v>573</v>
      </c>
      <c r="AA172" s="239">
        <v>0.84294850010531597</v>
      </c>
      <c r="AB172" s="222">
        <v>-471.10904715018398</v>
      </c>
      <c r="AC172" s="219"/>
      <c r="AD172" s="219"/>
      <c r="AE172" s="227">
        <v>298</v>
      </c>
      <c r="AF172" s="227">
        <v>676</v>
      </c>
      <c r="AG172" s="218"/>
      <c r="AH172" s="231">
        <v>162.80000000000001</v>
      </c>
      <c r="AI172" s="217">
        <v>49.314739076469799</v>
      </c>
      <c r="AJ172" s="232" t="s">
        <v>53</v>
      </c>
      <c r="AK172" s="239">
        <v>0.78277363613444095</v>
      </c>
      <c r="AL172" s="222">
        <v>-64.312401074104002</v>
      </c>
      <c r="AM172" s="219"/>
      <c r="AN172" s="219"/>
      <c r="AO172" s="227">
        <v>46</v>
      </c>
      <c r="AP172" s="227">
        <v>87</v>
      </c>
      <c r="AQ172" s="218"/>
      <c r="AR172" s="231">
        <v>66.8</v>
      </c>
      <c r="AS172" s="217">
        <v>20.234794657912701</v>
      </c>
      <c r="AT172" s="232" t="s">
        <v>54</v>
      </c>
      <c r="AU172" s="229">
        <v>1.26467466611954</v>
      </c>
      <c r="AV172" s="230">
        <v>9.1206600446719897</v>
      </c>
      <c r="AW172" s="219">
        <v>0.01</v>
      </c>
      <c r="AX172" s="219">
        <v>0.01</v>
      </c>
      <c r="AY172" s="227">
        <v>0</v>
      </c>
      <c r="AZ172" s="227">
        <v>0</v>
      </c>
      <c r="BA172" s="218"/>
      <c r="BB172" s="235">
        <v>119.8</v>
      </c>
      <c r="BC172" s="231">
        <v>36.289347305657699</v>
      </c>
      <c r="BD172" s="232" t="s">
        <v>55</v>
      </c>
      <c r="BE172" s="229">
        <v>1.1340421033018</v>
      </c>
      <c r="BF172" s="230">
        <v>4.4413200893439901</v>
      </c>
      <c r="BG172" s="219">
        <v>0.02</v>
      </c>
      <c r="BH172" s="219">
        <v>1.2999999999999999E-2</v>
      </c>
      <c r="BI172" s="227">
        <v>0</v>
      </c>
      <c r="BJ172" s="227">
        <v>7</v>
      </c>
      <c r="BK172" s="220"/>
      <c r="BL172" s="236">
        <v>0.8</v>
      </c>
      <c r="BM172" s="239">
        <v>0.75</v>
      </c>
      <c r="BN172" s="237"/>
      <c r="BO172" s="238">
        <v>0.95</v>
      </c>
      <c r="BP172" s="229">
        <v>1</v>
      </c>
      <c r="BQ172" s="237">
        <v>2.5000000000000001E-3</v>
      </c>
    </row>
    <row r="173" spans="1:69" s="207" customFormat="1" ht="22.35" customHeight="1" x14ac:dyDescent="0.2">
      <c r="A173" s="216" t="s">
        <v>220</v>
      </c>
      <c r="B173" s="216" t="s">
        <v>221</v>
      </c>
      <c r="C173" s="216" t="s">
        <v>236</v>
      </c>
      <c r="D173" s="217">
        <v>3.9852030364444402</v>
      </c>
      <c r="E173" s="218"/>
      <c r="F173" s="219">
        <v>1.4E-2</v>
      </c>
      <c r="G173" s="219">
        <v>0.01</v>
      </c>
      <c r="H173" s="220"/>
      <c r="I173" s="221">
        <v>3</v>
      </c>
      <c r="J173" s="221">
        <v>2</v>
      </c>
      <c r="K173" s="218"/>
      <c r="L173" s="222">
        <v>1912.05888</v>
      </c>
      <c r="M173" s="222">
        <v>-623.57795999999996</v>
      </c>
      <c r="N173" s="222">
        <v>1288.48092</v>
      </c>
      <c r="O173" s="217">
        <v>323.31625470946398</v>
      </c>
      <c r="P173" s="223">
        <v>254.727</v>
      </c>
      <c r="Q173" s="229">
        <v>1.2692657421846301</v>
      </c>
      <c r="R173" s="230">
        <v>179.94933526009399</v>
      </c>
      <c r="S173" s="219">
        <v>0.01</v>
      </c>
      <c r="T173" s="219">
        <v>0.01</v>
      </c>
      <c r="U173" s="226">
        <v>0</v>
      </c>
      <c r="V173" s="227">
        <v>0</v>
      </c>
      <c r="W173" s="218"/>
      <c r="X173" s="226">
        <v>1279.9856400000001</v>
      </c>
      <c r="Y173" s="217">
        <v>321.18454901660101</v>
      </c>
      <c r="Z173" s="228">
        <v>573</v>
      </c>
      <c r="AA173" s="224">
        <v>0.56053149915637301</v>
      </c>
      <c r="AB173" s="225">
        <v>-1213.6196631518701</v>
      </c>
      <c r="AC173" s="219"/>
      <c r="AD173" s="219"/>
      <c r="AE173" s="227">
        <v>1004</v>
      </c>
      <c r="AF173" s="227">
        <v>1461</v>
      </c>
      <c r="AG173" s="218"/>
      <c r="AH173" s="231">
        <v>139</v>
      </c>
      <c r="AI173" s="217">
        <v>34.879025918843602</v>
      </c>
      <c r="AJ173" s="232" t="s">
        <v>53</v>
      </c>
      <c r="AK173" s="224">
        <v>0.55363533204513604</v>
      </c>
      <c r="AL173" s="225">
        <v>-135.16602809523201</v>
      </c>
      <c r="AM173" s="219"/>
      <c r="AN173" s="219"/>
      <c r="AO173" s="227">
        <v>113</v>
      </c>
      <c r="AP173" s="227">
        <v>163</v>
      </c>
      <c r="AQ173" s="218"/>
      <c r="AR173" s="231">
        <v>49.5</v>
      </c>
      <c r="AS173" s="217">
        <v>12.4209480790126</v>
      </c>
      <c r="AT173" s="232" t="s">
        <v>54</v>
      </c>
      <c r="AU173" s="239">
        <v>0.77630925493828995</v>
      </c>
      <c r="AV173" s="222">
        <v>-20.1294674527573</v>
      </c>
      <c r="AW173" s="219"/>
      <c r="AX173" s="219"/>
      <c r="AY173" s="227">
        <v>15</v>
      </c>
      <c r="AZ173" s="227">
        <v>28</v>
      </c>
      <c r="BA173" s="218"/>
      <c r="BB173" s="235">
        <v>120.4</v>
      </c>
      <c r="BC173" s="231">
        <v>30.2117605800631</v>
      </c>
      <c r="BD173" s="232" t="s">
        <v>55</v>
      </c>
      <c r="BE173" s="233">
        <v>0.94411751812697198</v>
      </c>
      <c r="BF173" s="234">
        <v>-18.858934905514499</v>
      </c>
      <c r="BG173" s="219">
        <v>4.0000000000000001E-3</v>
      </c>
      <c r="BH173" s="219"/>
      <c r="BI173" s="227">
        <v>8</v>
      </c>
      <c r="BJ173" s="227">
        <v>33</v>
      </c>
      <c r="BK173" s="220"/>
      <c r="BL173" s="236">
        <v>0.8</v>
      </c>
      <c r="BM173" s="239">
        <v>0.73</v>
      </c>
      <c r="BN173" s="237"/>
      <c r="BO173" s="238">
        <v>0.95</v>
      </c>
      <c r="BP173" s="229">
        <v>1</v>
      </c>
      <c r="BQ173" s="237">
        <v>2.5000000000000001E-3</v>
      </c>
    </row>
    <row r="174" spans="1:69" s="207" customFormat="1" ht="22.35" customHeight="1" x14ac:dyDescent="0.2">
      <c r="A174" s="216" t="s">
        <v>220</v>
      </c>
      <c r="B174" s="216" t="s">
        <v>221</v>
      </c>
      <c r="C174" s="216" t="s">
        <v>237</v>
      </c>
      <c r="D174" s="217">
        <v>3.0016649496666701</v>
      </c>
      <c r="E174" s="218"/>
      <c r="F174" s="219">
        <v>0.03</v>
      </c>
      <c r="G174" s="219">
        <v>0.03</v>
      </c>
      <c r="H174" s="220"/>
      <c r="I174" s="221">
        <v>3</v>
      </c>
      <c r="J174" s="221">
        <v>3</v>
      </c>
      <c r="K174" s="218"/>
      <c r="L174" s="222">
        <v>1080.3042600000001</v>
      </c>
      <c r="M174" s="222">
        <v>1682.3215499999999</v>
      </c>
      <c r="N174" s="222">
        <v>2762.62581</v>
      </c>
      <c r="O174" s="217">
        <v>920.36448315352095</v>
      </c>
      <c r="P174" s="223">
        <v>242.02199999999999</v>
      </c>
      <c r="Q174" s="229">
        <v>3.8028133109945399</v>
      </c>
      <c r="R174" s="230">
        <v>1969.3217117425399</v>
      </c>
      <c r="S174" s="219">
        <v>0.01</v>
      </c>
      <c r="T174" s="219">
        <v>0.01</v>
      </c>
      <c r="U174" s="226">
        <v>0</v>
      </c>
      <c r="V174" s="227">
        <v>0</v>
      </c>
      <c r="W174" s="218"/>
      <c r="X174" s="226">
        <v>1194.6413299999999</v>
      </c>
      <c r="Y174" s="217">
        <v>397.99289728610898</v>
      </c>
      <c r="Z174" s="228">
        <v>573</v>
      </c>
      <c r="AA174" s="224">
        <v>0.69457748217471105</v>
      </c>
      <c r="AB174" s="225">
        <v>-683.54845564563004</v>
      </c>
      <c r="AC174" s="219"/>
      <c r="AD174" s="219"/>
      <c r="AE174" s="227">
        <v>526</v>
      </c>
      <c r="AF174" s="227">
        <v>870</v>
      </c>
      <c r="AG174" s="218"/>
      <c r="AH174" s="231">
        <v>124.4</v>
      </c>
      <c r="AI174" s="217">
        <v>41.443666127298599</v>
      </c>
      <c r="AJ174" s="232" t="s">
        <v>53</v>
      </c>
      <c r="AK174" s="224">
        <v>0.65783597027458096</v>
      </c>
      <c r="AL174" s="225">
        <v>-82.102541877268195</v>
      </c>
      <c r="AM174" s="219"/>
      <c r="AN174" s="219"/>
      <c r="AO174" s="227">
        <v>65</v>
      </c>
      <c r="AP174" s="227">
        <v>103</v>
      </c>
      <c r="AQ174" s="218"/>
      <c r="AR174" s="231">
        <v>25.4</v>
      </c>
      <c r="AS174" s="217">
        <v>8.4619704150593709</v>
      </c>
      <c r="AT174" s="232" t="s">
        <v>54</v>
      </c>
      <c r="AU174" s="224">
        <v>0.52887315094121101</v>
      </c>
      <c r="AV174" s="225">
        <v>-27.045090000576099</v>
      </c>
      <c r="AW174" s="219"/>
      <c r="AX174" s="219"/>
      <c r="AY174" s="227">
        <v>23</v>
      </c>
      <c r="AZ174" s="227">
        <v>33</v>
      </c>
      <c r="BA174" s="218"/>
      <c r="BB174" s="235">
        <v>121.2</v>
      </c>
      <c r="BC174" s="231">
        <v>40.3775911143778</v>
      </c>
      <c r="BD174" s="232" t="s">
        <v>55</v>
      </c>
      <c r="BE174" s="229">
        <v>1.26179972232431</v>
      </c>
      <c r="BF174" s="230">
        <v>16.3098199988479</v>
      </c>
      <c r="BG174" s="219">
        <v>0.02</v>
      </c>
      <c r="BH174" s="219">
        <v>0.02</v>
      </c>
      <c r="BI174" s="227">
        <v>0</v>
      </c>
      <c r="BJ174" s="227">
        <v>0</v>
      </c>
      <c r="BK174" s="220"/>
      <c r="BL174" s="236">
        <v>0.8</v>
      </c>
      <c r="BM174" s="239">
        <v>0.78</v>
      </c>
      <c r="BN174" s="237"/>
      <c r="BO174" s="238">
        <v>0.95</v>
      </c>
      <c r="BP174" s="229">
        <v>1</v>
      </c>
      <c r="BQ174" s="237">
        <v>2.5000000000000001E-3</v>
      </c>
    </row>
    <row r="175" spans="1:69" s="207" customFormat="1" ht="22.35" customHeight="1" x14ac:dyDescent="0.2">
      <c r="A175" s="216" t="s">
        <v>220</v>
      </c>
      <c r="B175" s="216" t="s">
        <v>221</v>
      </c>
      <c r="C175" s="216" t="s">
        <v>238</v>
      </c>
      <c r="D175" s="217">
        <v>2.70658970644444</v>
      </c>
      <c r="E175" s="218"/>
      <c r="F175" s="219">
        <v>6.8500000000000005E-2</v>
      </c>
      <c r="G175" s="219">
        <v>4.8000000000000001E-2</v>
      </c>
      <c r="H175" s="220"/>
      <c r="I175" s="221">
        <v>6</v>
      </c>
      <c r="J175" s="221">
        <v>5</v>
      </c>
      <c r="K175" s="218"/>
      <c r="L175" s="222">
        <v>1337.0304599999999</v>
      </c>
      <c r="M175" s="222">
        <v>741.23098000000005</v>
      </c>
      <c r="N175" s="222">
        <v>2078.2614400000002</v>
      </c>
      <c r="O175" s="217">
        <v>767.85241407355397</v>
      </c>
      <c r="P175" s="223">
        <v>222.28899999999999</v>
      </c>
      <c r="Q175" s="229">
        <v>3.4542978468280201</v>
      </c>
      <c r="R175" s="230">
        <v>1421.2649697726399</v>
      </c>
      <c r="S175" s="219">
        <v>0.01</v>
      </c>
      <c r="T175" s="219">
        <v>0.01</v>
      </c>
      <c r="U175" s="226">
        <v>0</v>
      </c>
      <c r="V175" s="227">
        <v>0</v>
      </c>
      <c r="W175" s="218"/>
      <c r="X175" s="226">
        <v>1766.9174949999999</v>
      </c>
      <c r="Y175" s="217">
        <v>652.82059219871201</v>
      </c>
      <c r="Z175" s="228">
        <v>573</v>
      </c>
      <c r="AA175" s="229">
        <v>1.1393029532263701</v>
      </c>
      <c r="AB175" s="230">
        <v>73.361010242411098</v>
      </c>
      <c r="AC175" s="219">
        <v>0.02</v>
      </c>
      <c r="AD175" s="219">
        <v>1.4E-2</v>
      </c>
      <c r="AE175" s="227">
        <v>0</v>
      </c>
      <c r="AF175" s="227">
        <v>95</v>
      </c>
      <c r="AG175" s="218"/>
      <c r="AH175" s="231">
        <v>177.85</v>
      </c>
      <c r="AI175" s="217">
        <v>65.709996449234794</v>
      </c>
      <c r="AJ175" s="232" t="s">
        <v>53</v>
      </c>
      <c r="AK175" s="233">
        <v>1.04301581665452</v>
      </c>
      <c r="AL175" s="234">
        <v>-8.35254544455168</v>
      </c>
      <c r="AM175" s="219">
        <v>1.4999999999999999E-2</v>
      </c>
      <c r="AN175" s="219">
        <v>4.0000000000000001E-3</v>
      </c>
      <c r="AO175" s="227">
        <v>0</v>
      </c>
      <c r="AP175" s="227">
        <v>27</v>
      </c>
      <c r="AQ175" s="218"/>
      <c r="AR175" s="231">
        <v>42.1</v>
      </c>
      <c r="AS175" s="217">
        <v>15.5546294659139</v>
      </c>
      <c r="AT175" s="232" t="s">
        <v>54</v>
      </c>
      <c r="AU175" s="233">
        <v>0.97216434161961796</v>
      </c>
      <c r="AV175" s="234">
        <v>-5.1895353509972502</v>
      </c>
      <c r="AW175" s="219">
        <v>3.5000000000000001E-3</v>
      </c>
      <c r="AX175" s="219"/>
      <c r="AY175" s="227">
        <v>2</v>
      </c>
      <c r="AZ175" s="227">
        <v>10</v>
      </c>
      <c r="BA175" s="218"/>
      <c r="BB175" s="235">
        <v>113.8</v>
      </c>
      <c r="BC175" s="231">
        <v>42.045530480308798</v>
      </c>
      <c r="BD175" s="232" t="s">
        <v>55</v>
      </c>
      <c r="BE175" s="229">
        <v>1.3139228275096499</v>
      </c>
      <c r="BF175" s="230">
        <v>19.220929298005501</v>
      </c>
      <c r="BG175" s="219">
        <v>0.02</v>
      </c>
      <c r="BH175" s="219">
        <v>0.02</v>
      </c>
      <c r="BI175" s="227">
        <v>0</v>
      </c>
      <c r="BJ175" s="227">
        <v>0</v>
      </c>
      <c r="BK175" s="220"/>
      <c r="BL175" s="236">
        <v>0.8</v>
      </c>
      <c r="BM175" s="239">
        <v>0.76</v>
      </c>
      <c r="BN175" s="237"/>
      <c r="BO175" s="238">
        <v>0.95</v>
      </c>
      <c r="BP175" s="229">
        <v>1</v>
      </c>
      <c r="BQ175" s="237">
        <v>2.5000000000000001E-3</v>
      </c>
    </row>
    <row r="176" spans="1:69" s="207" customFormat="1" ht="22.35" customHeight="1" x14ac:dyDescent="0.2">
      <c r="A176" s="216" t="s">
        <v>220</v>
      </c>
      <c r="B176" s="216" t="s">
        <v>221</v>
      </c>
      <c r="C176" s="216" t="s">
        <v>239</v>
      </c>
      <c r="D176" s="217">
        <v>4.3740007442222204</v>
      </c>
      <c r="E176" s="218"/>
      <c r="F176" s="219">
        <v>3.9E-2</v>
      </c>
      <c r="G176" s="219">
        <v>3.4000000000000002E-2</v>
      </c>
      <c r="H176" s="220"/>
      <c r="I176" s="221">
        <v>4</v>
      </c>
      <c r="J176" s="221">
        <v>4</v>
      </c>
      <c r="K176" s="218"/>
      <c r="L176" s="222">
        <v>2529.1537899999998</v>
      </c>
      <c r="M176" s="222">
        <v>2452.5042699999999</v>
      </c>
      <c r="N176" s="222">
        <v>4981.6580599999998</v>
      </c>
      <c r="O176" s="217">
        <v>1138.9248313641599</v>
      </c>
      <c r="P176" s="223">
        <v>258.548</v>
      </c>
      <c r="Q176" s="229">
        <v>4.4050808026523498</v>
      </c>
      <c r="R176" s="230">
        <v>3746.7271142964501</v>
      </c>
      <c r="S176" s="219">
        <v>0.01</v>
      </c>
      <c r="T176" s="219">
        <v>0.01</v>
      </c>
      <c r="U176" s="226">
        <v>0</v>
      </c>
      <c r="V176" s="227">
        <v>0</v>
      </c>
      <c r="W176" s="218"/>
      <c r="X176" s="226">
        <v>2054.2890950000001</v>
      </c>
      <c r="Y176" s="217">
        <v>469.65906389329803</v>
      </c>
      <c r="Z176" s="228">
        <v>573</v>
      </c>
      <c r="AA176" s="239">
        <v>0.81964932616631503</v>
      </c>
      <c r="AB176" s="222">
        <v>-682.59315467174997</v>
      </c>
      <c r="AC176" s="219"/>
      <c r="AD176" s="219"/>
      <c r="AE176" s="227">
        <v>453</v>
      </c>
      <c r="AF176" s="227">
        <v>954</v>
      </c>
      <c r="AG176" s="218"/>
      <c r="AH176" s="231">
        <v>207.6</v>
      </c>
      <c r="AI176" s="217">
        <v>47.462269016352202</v>
      </c>
      <c r="AJ176" s="232" t="s">
        <v>53</v>
      </c>
      <c r="AK176" s="239">
        <v>0.75336934946590794</v>
      </c>
      <c r="AL176" s="222">
        <v>-93.313755199511903</v>
      </c>
      <c r="AM176" s="219"/>
      <c r="AN176" s="219"/>
      <c r="AO176" s="227">
        <v>68</v>
      </c>
      <c r="AP176" s="227">
        <v>124</v>
      </c>
      <c r="AQ176" s="218"/>
      <c r="AR176" s="231">
        <v>75.3</v>
      </c>
      <c r="AS176" s="217">
        <v>17.215360582520798</v>
      </c>
      <c r="AT176" s="232" t="s">
        <v>54</v>
      </c>
      <c r="AU176" s="233">
        <v>1.0759600364075499</v>
      </c>
      <c r="AV176" s="234">
        <v>-1.12254100305063</v>
      </c>
      <c r="AW176" s="219">
        <v>8.9999999999999993E-3</v>
      </c>
      <c r="AX176" s="219">
        <v>4.0000000000000001E-3</v>
      </c>
      <c r="AY176" s="227">
        <v>0</v>
      </c>
      <c r="AZ176" s="227">
        <v>9</v>
      </c>
      <c r="BA176" s="218"/>
      <c r="BB176" s="235">
        <v>186.8</v>
      </c>
      <c r="BC176" s="231">
        <v>42.706897168856401</v>
      </c>
      <c r="BD176" s="232" t="s">
        <v>55</v>
      </c>
      <c r="BE176" s="229">
        <v>1.3345905365267601</v>
      </c>
      <c r="BF176" s="230">
        <v>33.954917993898803</v>
      </c>
      <c r="BG176" s="219">
        <v>0.02</v>
      </c>
      <c r="BH176" s="219">
        <v>0.02</v>
      </c>
      <c r="BI176" s="227">
        <v>0</v>
      </c>
      <c r="BJ176" s="227">
        <v>0</v>
      </c>
      <c r="BK176" s="220"/>
      <c r="BL176" s="236">
        <v>0.8</v>
      </c>
      <c r="BM176" s="239">
        <v>0.71</v>
      </c>
      <c r="BN176" s="237"/>
      <c r="BO176" s="238">
        <v>0.95</v>
      </c>
      <c r="BP176" s="229">
        <v>1</v>
      </c>
      <c r="BQ176" s="237">
        <v>2.5000000000000001E-3</v>
      </c>
    </row>
    <row r="177" spans="1:69" s="207" customFormat="1" ht="22.35" customHeight="1" x14ac:dyDescent="0.2">
      <c r="A177" s="216" t="s">
        <v>220</v>
      </c>
      <c r="B177" s="216" t="s">
        <v>240</v>
      </c>
      <c r="C177" s="216" t="s">
        <v>241</v>
      </c>
      <c r="D177" s="217">
        <v>3.97523895733333</v>
      </c>
      <c r="E177" s="218"/>
      <c r="F177" s="219">
        <v>1.9E-2</v>
      </c>
      <c r="G177" s="219">
        <v>0.01</v>
      </c>
      <c r="H177" s="220"/>
      <c r="I177" s="221">
        <v>3</v>
      </c>
      <c r="J177" s="221">
        <v>2</v>
      </c>
      <c r="K177" s="218"/>
      <c r="L177" s="222">
        <v>3060.0559499999999</v>
      </c>
      <c r="M177" s="222">
        <v>-364.45735000000002</v>
      </c>
      <c r="N177" s="222">
        <v>2695.5985999999998</v>
      </c>
      <c r="O177" s="217">
        <v>678.09724872696904</v>
      </c>
      <c r="P177" s="223">
        <v>241.762</v>
      </c>
      <c r="Q177" s="229">
        <v>2.8048131994563601</v>
      </c>
      <c r="R177" s="230">
        <v>1646.11920088332</v>
      </c>
      <c r="S177" s="219">
        <v>0.01</v>
      </c>
      <c r="T177" s="219">
        <v>0.01</v>
      </c>
      <c r="U177" s="226">
        <v>0</v>
      </c>
      <c r="V177" s="227">
        <v>0</v>
      </c>
      <c r="W177" s="218"/>
      <c r="X177" s="226">
        <v>2252.4365400000002</v>
      </c>
      <c r="Y177" s="217">
        <v>566.6166396978</v>
      </c>
      <c r="Z177" s="228">
        <v>573</v>
      </c>
      <c r="AA177" s="233">
        <v>0.98885975514450297</v>
      </c>
      <c r="AB177" s="234">
        <v>-234.93407942678101</v>
      </c>
      <c r="AC177" s="219">
        <v>8.9999999999999993E-3</v>
      </c>
      <c r="AD177" s="219"/>
      <c r="AE177" s="227">
        <v>26</v>
      </c>
      <c r="AF177" s="227">
        <v>481</v>
      </c>
      <c r="AG177" s="218"/>
      <c r="AH177" s="231">
        <v>181</v>
      </c>
      <c r="AI177" s="217">
        <v>45.531854045176303</v>
      </c>
      <c r="AJ177" s="232" t="s">
        <v>53</v>
      </c>
      <c r="AK177" s="224">
        <v>0.72272784198692497</v>
      </c>
      <c r="AL177" s="225">
        <v>-92.480539308703797</v>
      </c>
      <c r="AM177" s="219"/>
      <c r="AN177" s="219"/>
      <c r="AO177" s="227">
        <v>70</v>
      </c>
      <c r="AP177" s="227">
        <v>120</v>
      </c>
      <c r="AQ177" s="218"/>
      <c r="AR177" s="231">
        <v>32.799999999999997</v>
      </c>
      <c r="AS177" s="217">
        <v>8.2510763131590092</v>
      </c>
      <c r="AT177" s="232" t="s">
        <v>54</v>
      </c>
      <c r="AU177" s="224">
        <v>0.51569226957243797</v>
      </c>
      <c r="AV177" s="225">
        <v>-36.655375062527902</v>
      </c>
      <c r="AW177" s="219"/>
      <c r="AX177" s="219"/>
      <c r="AY177" s="227">
        <v>31</v>
      </c>
      <c r="AZ177" s="227">
        <v>44</v>
      </c>
      <c r="BA177" s="218"/>
      <c r="BB177" s="235">
        <v>94.2</v>
      </c>
      <c r="BC177" s="231">
        <v>23.696688679865201</v>
      </c>
      <c r="BD177" s="232" t="s">
        <v>55</v>
      </c>
      <c r="BE177" s="239">
        <v>0.74052152124578796</v>
      </c>
      <c r="BF177" s="222">
        <v>-44.710750125055903</v>
      </c>
      <c r="BG177" s="219"/>
      <c r="BH177" s="219"/>
      <c r="BI177" s="227">
        <v>34</v>
      </c>
      <c r="BJ177" s="227">
        <v>59</v>
      </c>
      <c r="BK177" s="220"/>
      <c r="BL177" s="236">
        <v>0.8</v>
      </c>
      <c r="BM177" s="239">
        <v>0.77</v>
      </c>
      <c r="BN177" s="237"/>
      <c r="BO177" s="238">
        <v>0.95</v>
      </c>
      <c r="BP177" s="229">
        <v>1</v>
      </c>
      <c r="BQ177" s="237">
        <v>2.5000000000000001E-3</v>
      </c>
    </row>
    <row r="178" spans="1:69" s="207" customFormat="1" ht="22.35" customHeight="1" x14ac:dyDescent="0.2">
      <c r="A178" s="216" t="s">
        <v>220</v>
      </c>
      <c r="B178" s="216" t="s">
        <v>240</v>
      </c>
      <c r="C178" s="216" t="s">
        <v>242</v>
      </c>
      <c r="D178" s="217">
        <v>2.6208074601111102</v>
      </c>
      <c r="E178" s="218"/>
      <c r="F178" s="219">
        <v>5.9499999999999997E-2</v>
      </c>
      <c r="G178" s="219">
        <v>5.45E-2</v>
      </c>
      <c r="H178" s="220"/>
      <c r="I178" s="221">
        <v>5</v>
      </c>
      <c r="J178" s="221">
        <v>5</v>
      </c>
      <c r="K178" s="218"/>
      <c r="L178" s="222">
        <v>999.25806</v>
      </c>
      <c r="M178" s="222">
        <v>1326.9303500000001</v>
      </c>
      <c r="N178" s="222">
        <v>2326.1884100000002</v>
      </c>
      <c r="O178" s="217">
        <v>887.58462626681501</v>
      </c>
      <c r="P178" s="223">
        <v>238.04499999999999</v>
      </c>
      <c r="Q178" s="229">
        <v>3.7286421738193001</v>
      </c>
      <c r="R178" s="230">
        <v>1644.9222478683701</v>
      </c>
      <c r="S178" s="219">
        <v>0.01</v>
      </c>
      <c r="T178" s="219">
        <v>0.01</v>
      </c>
      <c r="U178" s="226">
        <v>0</v>
      </c>
      <c r="V178" s="227">
        <v>0</v>
      </c>
      <c r="W178" s="218"/>
      <c r="X178" s="226">
        <v>1209.2613100000001</v>
      </c>
      <c r="Y178" s="217">
        <v>461.407916607782</v>
      </c>
      <c r="Z178" s="228">
        <v>573</v>
      </c>
      <c r="AA178" s="239">
        <v>0.80524941816366802</v>
      </c>
      <c r="AB178" s="222">
        <v>-430.61985071088299</v>
      </c>
      <c r="AC178" s="219"/>
      <c r="AD178" s="219"/>
      <c r="AE178" s="227">
        <v>293</v>
      </c>
      <c r="AF178" s="227">
        <v>593</v>
      </c>
      <c r="AG178" s="218"/>
      <c r="AH178" s="231">
        <v>205.8</v>
      </c>
      <c r="AI178" s="217">
        <v>78.525417502922906</v>
      </c>
      <c r="AJ178" s="232" t="s">
        <v>53</v>
      </c>
      <c r="AK178" s="229">
        <v>1.24643519845909</v>
      </c>
      <c r="AL178" s="230">
        <v>25.498929974196098</v>
      </c>
      <c r="AM178" s="219">
        <v>0.02</v>
      </c>
      <c r="AN178" s="219">
        <v>0.02</v>
      </c>
      <c r="AO178" s="227">
        <v>0</v>
      </c>
      <c r="AP178" s="227">
        <v>0</v>
      </c>
      <c r="AQ178" s="218"/>
      <c r="AR178" s="231">
        <v>45.5</v>
      </c>
      <c r="AS178" s="217">
        <v>17.3610616928231</v>
      </c>
      <c r="AT178" s="232" t="s">
        <v>54</v>
      </c>
      <c r="AU178" s="233">
        <v>1.08506635580144</v>
      </c>
      <c r="AV178" s="234">
        <v>-0.29074794306131202</v>
      </c>
      <c r="AW178" s="219">
        <v>9.4999999999999998E-3</v>
      </c>
      <c r="AX178" s="219">
        <v>4.4999999999999997E-3</v>
      </c>
      <c r="AY178" s="227">
        <v>0</v>
      </c>
      <c r="AZ178" s="227">
        <v>5</v>
      </c>
      <c r="BA178" s="218"/>
      <c r="BB178" s="235">
        <v>137.19999999999999</v>
      </c>
      <c r="BC178" s="231">
        <v>52.350278335281899</v>
      </c>
      <c r="BD178" s="232" t="s">
        <v>55</v>
      </c>
      <c r="BE178" s="229">
        <v>1.63594619797756</v>
      </c>
      <c r="BF178" s="230">
        <v>45.6185041138774</v>
      </c>
      <c r="BG178" s="219">
        <v>0.02</v>
      </c>
      <c r="BH178" s="219">
        <v>0.02</v>
      </c>
      <c r="BI178" s="227">
        <v>0</v>
      </c>
      <c r="BJ178" s="227">
        <v>0</v>
      </c>
      <c r="BK178" s="220"/>
      <c r="BL178" s="236">
        <v>0.8</v>
      </c>
      <c r="BM178" s="239">
        <v>0.71</v>
      </c>
      <c r="BN178" s="237"/>
      <c r="BO178" s="238">
        <v>0.95</v>
      </c>
      <c r="BP178" s="229">
        <v>1</v>
      </c>
      <c r="BQ178" s="237">
        <v>2.5000000000000001E-3</v>
      </c>
    </row>
    <row r="179" spans="1:69" s="207" customFormat="1" ht="22.35" customHeight="1" x14ac:dyDescent="0.2">
      <c r="A179" s="216" t="s">
        <v>220</v>
      </c>
      <c r="B179" s="216" t="s">
        <v>240</v>
      </c>
      <c r="C179" s="216" t="s">
        <v>243</v>
      </c>
      <c r="D179" s="217">
        <v>3.17144203944444</v>
      </c>
      <c r="E179" s="218"/>
      <c r="F179" s="219">
        <v>2.7E-2</v>
      </c>
      <c r="G179" s="219">
        <v>1.6E-2</v>
      </c>
      <c r="H179" s="220"/>
      <c r="I179" s="221">
        <v>3</v>
      </c>
      <c r="J179" s="221">
        <v>3</v>
      </c>
      <c r="K179" s="218"/>
      <c r="L179" s="222">
        <v>2236.6645600000002</v>
      </c>
      <c r="M179" s="222">
        <v>2273.11411</v>
      </c>
      <c r="N179" s="222">
        <v>4509.7786699999997</v>
      </c>
      <c r="O179" s="217">
        <v>1421.99624458216</v>
      </c>
      <c r="P179" s="223">
        <v>247.75800000000001</v>
      </c>
      <c r="Q179" s="229">
        <v>5.7394564235349002</v>
      </c>
      <c r="R179" s="230">
        <v>3651.73952060493</v>
      </c>
      <c r="S179" s="219">
        <v>0.01</v>
      </c>
      <c r="T179" s="219">
        <v>0.01</v>
      </c>
      <c r="U179" s="226">
        <v>0</v>
      </c>
      <c r="V179" s="227">
        <v>0</v>
      </c>
      <c r="W179" s="218"/>
      <c r="X179" s="226">
        <v>1933.2929200000001</v>
      </c>
      <c r="Y179" s="217">
        <v>609.59427791991504</v>
      </c>
      <c r="Z179" s="228">
        <v>573</v>
      </c>
      <c r="AA179" s="233">
        <v>1.06386435937158</v>
      </c>
      <c r="AB179" s="234">
        <v>-51.1291071530175</v>
      </c>
      <c r="AC179" s="219">
        <v>1.7000000000000001E-2</v>
      </c>
      <c r="AD179" s="219">
        <v>6.0000000000000001E-3</v>
      </c>
      <c r="AE179" s="227">
        <v>0</v>
      </c>
      <c r="AF179" s="227">
        <v>248</v>
      </c>
      <c r="AG179" s="218"/>
      <c r="AH179" s="231">
        <v>161</v>
      </c>
      <c r="AI179" s="217">
        <v>50.765550181141897</v>
      </c>
      <c r="AJ179" s="232" t="s">
        <v>53</v>
      </c>
      <c r="AK179" s="239">
        <v>0.80580238382764902</v>
      </c>
      <c r="AL179" s="222">
        <v>-57.182526545619702</v>
      </c>
      <c r="AM179" s="219"/>
      <c r="AN179" s="219"/>
      <c r="AO179" s="227">
        <v>39</v>
      </c>
      <c r="AP179" s="227">
        <v>79</v>
      </c>
      <c r="AQ179" s="218"/>
      <c r="AR179" s="231">
        <v>28</v>
      </c>
      <c r="AS179" s="217">
        <v>8.8287913358507701</v>
      </c>
      <c r="AT179" s="232" t="s">
        <v>54</v>
      </c>
      <c r="AU179" s="224">
        <v>0.55179945849067302</v>
      </c>
      <c r="AV179" s="225">
        <v>-27.4114353131733</v>
      </c>
      <c r="AW179" s="219"/>
      <c r="AX179" s="219"/>
      <c r="AY179" s="227">
        <v>23</v>
      </c>
      <c r="AZ179" s="227">
        <v>33</v>
      </c>
      <c r="BA179" s="218"/>
      <c r="BB179" s="235">
        <v>92</v>
      </c>
      <c r="BC179" s="231">
        <v>29.008885817795399</v>
      </c>
      <c r="BD179" s="232" t="s">
        <v>55</v>
      </c>
      <c r="BE179" s="239">
        <v>0.90652768180610499</v>
      </c>
      <c r="BF179" s="222">
        <v>-18.8228706263465</v>
      </c>
      <c r="BG179" s="219">
        <v>0</v>
      </c>
      <c r="BH179" s="219"/>
      <c r="BI179" s="227">
        <v>10</v>
      </c>
      <c r="BJ179" s="227">
        <v>30</v>
      </c>
      <c r="BK179" s="220"/>
      <c r="BL179" s="236">
        <v>0.8</v>
      </c>
      <c r="BM179" s="224">
        <v>0.69</v>
      </c>
      <c r="BN179" s="237"/>
      <c r="BO179" s="238">
        <v>0.95</v>
      </c>
      <c r="BP179" s="229">
        <v>1</v>
      </c>
      <c r="BQ179" s="237">
        <v>2.5000000000000001E-3</v>
      </c>
    </row>
    <row r="180" spans="1:69" s="207" customFormat="1" ht="22.35" customHeight="1" x14ac:dyDescent="0.2">
      <c r="A180" s="216" t="s">
        <v>220</v>
      </c>
      <c r="B180" s="216" t="s">
        <v>240</v>
      </c>
      <c r="C180" s="216" t="s">
        <v>244</v>
      </c>
      <c r="D180" s="217">
        <v>3.4906875204444399</v>
      </c>
      <c r="E180" s="218"/>
      <c r="F180" s="219">
        <v>0.01</v>
      </c>
      <c r="G180" s="219">
        <v>0.01</v>
      </c>
      <c r="H180" s="220"/>
      <c r="I180" s="221">
        <v>3</v>
      </c>
      <c r="J180" s="221">
        <v>3</v>
      </c>
      <c r="K180" s="218"/>
      <c r="L180" s="222">
        <v>955.09996999999998</v>
      </c>
      <c r="M180" s="222">
        <v>498.13069000000002</v>
      </c>
      <c r="N180" s="222">
        <v>1453.2306599999999</v>
      </c>
      <c r="O180" s="217">
        <v>416.31645671193502</v>
      </c>
      <c r="P180" s="223">
        <v>247.167</v>
      </c>
      <c r="Q180" s="229">
        <v>1.68435291406998</v>
      </c>
      <c r="R180" s="230">
        <v>511.07188349666598</v>
      </c>
      <c r="S180" s="219">
        <v>0.01</v>
      </c>
      <c r="T180" s="219">
        <v>0.01</v>
      </c>
      <c r="U180" s="226">
        <v>0</v>
      </c>
      <c r="V180" s="227">
        <v>0</v>
      </c>
      <c r="W180" s="218"/>
      <c r="X180" s="226">
        <v>1321.425915</v>
      </c>
      <c r="Y180" s="217">
        <v>378.55749254569503</v>
      </c>
      <c r="Z180" s="228">
        <v>573</v>
      </c>
      <c r="AA180" s="224">
        <v>0.66065880025426804</v>
      </c>
      <c r="AB180" s="225">
        <v>-862.75311754241295</v>
      </c>
      <c r="AC180" s="219"/>
      <c r="AD180" s="219"/>
      <c r="AE180" s="227">
        <v>679</v>
      </c>
      <c r="AF180" s="227">
        <v>1079</v>
      </c>
      <c r="AG180" s="218"/>
      <c r="AH180" s="231">
        <v>180.4</v>
      </c>
      <c r="AI180" s="217">
        <v>51.680363522493401</v>
      </c>
      <c r="AJ180" s="232" t="s">
        <v>53</v>
      </c>
      <c r="AK180" s="239">
        <v>0.82032323051576805</v>
      </c>
      <c r="AL180" s="222">
        <v>-59.745338656495697</v>
      </c>
      <c r="AM180" s="219"/>
      <c r="AN180" s="219"/>
      <c r="AO180" s="227">
        <v>40</v>
      </c>
      <c r="AP180" s="227">
        <v>84</v>
      </c>
      <c r="AQ180" s="218"/>
      <c r="AR180" s="231">
        <v>24.8</v>
      </c>
      <c r="AS180" s="217">
        <v>7.1046176017618397</v>
      </c>
      <c r="AT180" s="232" t="s">
        <v>54</v>
      </c>
      <c r="AU180" s="224">
        <v>0.44403860011011498</v>
      </c>
      <c r="AV180" s="225">
        <v>-36.189292357205296</v>
      </c>
      <c r="AW180" s="219"/>
      <c r="AX180" s="219"/>
      <c r="AY180" s="227">
        <v>32</v>
      </c>
      <c r="AZ180" s="227">
        <v>43</v>
      </c>
      <c r="BA180" s="218"/>
      <c r="BB180" s="235">
        <v>79.2</v>
      </c>
      <c r="BC180" s="231">
        <v>22.6889400830459</v>
      </c>
      <c r="BD180" s="232" t="s">
        <v>55</v>
      </c>
      <c r="BE180" s="224">
        <v>0.70902937759518403</v>
      </c>
      <c r="BF180" s="225">
        <v>-42.778584714410499</v>
      </c>
      <c r="BG180" s="219"/>
      <c r="BH180" s="219"/>
      <c r="BI180" s="227">
        <v>33</v>
      </c>
      <c r="BJ180" s="227">
        <v>55</v>
      </c>
      <c r="BK180" s="220"/>
      <c r="BL180" s="236">
        <v>0.8</v>
      </c>
      <c r="BM180" s="233">
        <v>0.86</v>
      </c>
      <c r="BN180" s="237">
        <v>2.2499999999999998E-3</v>
      </c>
      <c r="BO180" s="238">
        <v>0.95</v>
      </c>
      <c r="BP180" s="229">
        <v>1</v>
      </c>
      <c r="BQ180" s="237">
        <v>2.5000000000000001E-3</v>
      </c>
    </row>
    <row r="181" spans="1:69" s="207" customFormat="1" ht="22.35" customHeight="1" x14ac:dyDescent="0.2">
      <c r="A181" s="216" t="s">
        <v>220</v>
      </c>
      <c r="B181" s="216" t="s">
        <v>240</v>
      </c>
      <c r="C181" s="216" t="s">
        <v>245</v>
      </c>
      <c r="D181" s="217">
        <v>2.5343313424444398</v>
      </c>
      <c r="E181" s="218"/>
      <c r="F181" s="219">
        <v>7.0000000000000007E-2</v>
      </c>
      <c r="G181" s="219">
        <v>5.5E-2</v>
      </c>
      <c r="H181" s="220"/>
      <c r="I181" s="221">
        <v>5</v>
      </c>
      <c r="J181" s="221">
        <v>5</v>
      </c>
      <c r="K181" s="218"/>
      <c r="L181" s="222">
        <v>1950.9815100000001</v>
      </c>
      <c r="M181" s="222">
        <v>677.34222999999997</v>
      </c>
      <c r="N181" s="222">
        <v>2628.3237399999998</v>
      </c>
      <c r="O181" s="217">
        <v>1037.0876514769</v>
      </c>
      <c r="P181" s="223">
        <v>233.029</v>
      </c>
      <c r="Q181" s="229">
        <v>4.4504660427539102</v>
      </c>
      <c r="R181" s="230">
        <v>1983.4183533488499</v>
      </c>
      <c r="S181" s="219">
        <v>0.01</v>
      </c>
      <c r="T181" s="219">
        <v>0.01</v>
      </c>
      <c r="U181" s="226">
        <v>0</v>
      </c>
      <c r="V181" s="227">
        <v>0</v>
      </c>
      <c r="W181" s="218"/>
      <c r="X181" s="226">
        <v>1588.9842599999999</v>
      </c>
      <c r="Y181" s="217">
        <v>626.98362814207803</v>
      </c>
      <c r="Z181" s="228">
        <v>573</v>
      </c>
      <c r="AA181" s="229">
        <v>1.0942122655184601</v>
      </c>
      <c r="AB181" s="230">
        <v>3.21258973103477</v>
      </c>
      <c r="AC181" s="219">
        <v>0.02</v>
      </c>
      <c r="AD181" s="219">
        <v>8.9999999999999993E-3</v>
      </c>
      <c r="AE181" s="227">
        <v>0</v>
      </c>
      <c r="AF181" s="227">
        <v>154</v>
      </c>
      <c r="AG181" s="218"/>
      <c r="AH181" s="231">
        <v>185.4</v>
      </c>
      <c r="AI181" s="217">
        <v>73.155390889486299</v>
      </c>
      <c r="AJ181" s="232" t="s">
        <v>53</v>
      </c>
      <c r="AK181" s="229">
        <v>1.1611966807855001</v>
      </c>
      <c r="AL181" s="230">
        <v>11.048140965192299</v>
      </c>
      <c r="AM181" s="219">
        <v>0.02</v>
      </c>
      <c r="AN181" s="219">
        <v>1.6E-2</v>
      </c>
      <c r="AO181" s="227">
        <v>0</v>
      </c>
      <c r="AP181" s="227">
        <v>7</v>
      </c>
      <c r="AQ181" s="218"/>
      <c r="AR181" s="231">
        <v>26.7</v>
      </c>
      <c r="AS181" s="217">
        <v>10.5353232834374</v>
      </c>
      <c r="AT181" s="232" t="s">
        <v>54</v>
      </c>
      <c r="AU181" s="224">
        <v>0.65845770521483404</v>
      </c>
      <c r="AV181" s="225">
        <v>-17.579837215189301</v>
      </c>
      <c r="AW181" s="219"/>
      <c r="AX181" s="219"/>
      <c r="AY181" s="227">
        <v>14</v>
      </c>
      <c r="AZ181" s="227">
        <v>22</v>
      </c>
      <c r="BA181" s="218"/>
      <c r="BB181" s="235">
        <v>116.6</v>
      </c>
      <c r="BC181" s="231">
        <v>46.0081908183069</v>
      </c>
      <c r="BD181" s="232" t="s">
        <v>55</v>
      </c>
      <c r="BE181" s="229">
        <v>1.43775596307209</v>
      </c>
      <c r="BF181" s="230">
        <v>28.040325569621501</v>
      </c>
      <c r="BG181" s="219">
        <v>0.02</v>
      </c>
      <c r="BH181" s="219">
        <v>0.02</v>
      </c>
      <c r="BI181" s="227">
        <v>0</v>
      </c>
      <c r="BJ181" s="227">
        <v>0</v>
      </c>
      <c r="BK181" s="220"/>
      <c r="BL181" s="236">
        <v>0.8</v>
      </c>
      <c r="BM181" s="239">
        <v>0.73</v>
      </c>
      <c r="BN181" s="237"/>
      <c r="BO181" s="238">
        <v>0.95</v>
      </c>
      <c r="BP181" s="229">
        <v>1</v>
      </c>
      <c r="BQ181" s="237">
        <v>2.5000000000000001E-3</v>
      </c>
    </row>
    <row r="182" spans="1:69" s="207" customFormat="1" ht="22.35" customHeight="1" x14ac:dyDescent="0.2">
      <c r="A182" s="216" t="s">
        <v>220</v>
      </c>
      <c r="B182" s="216" t="s">
        <v>240</v>
      </c>
      <c r="C182" s="216" t="s">
        <v>246</v>
      </c>
      <c r="D182" s="217">
        <v>3.7290475793333302</v>
      </c>
      <c r="E182" s="218"/>
      <c r="F182" s="219">
        <v>1.6E-2</v>
      </c>
      <c r="G182" s="219">
        <v>0.01</v>
      </c>
      <c r="H182" s="220"/>
      <c r="I182" s="221">
        <v>3</v>
      </c>
      <c r="J182" s="221">
        <v>2</v>
      </c>
      <c r="K182" s="218"/>
      <c r="L182" s="222">
        <v>1657.7635299999999</v>
      </c>
      <c r="M182" s="222">
        <v>2326.5126500000001</v>
      </c>
      <c r="N182" s="222">
        <v>3984.2761799999998</v>
      </c>
      <c r="O182" s="217">
        <v>1068.4433746786101</v>
      </c>
      <c r="P182" s="223">
        <v>254.047</v>
      </c>
      <c r="Q182" s="229">
        <v>4.2056917604955402</v>
      </c>
      <c r="R182" s="230">
        <v>2949.7663213775099</v>
      </c>
      <c r="S182" s="219">
        <v>0.01</v>
      </c>
      <c r="T182" s="219">
        <v>0.01</v>
      </c>
      <c r="U182" s="226">
        <v>0</v>
      </c>
      <c r="V182" s="227">
        <v>0</v>
      </c>
      <c r="W182" s="218"/>
      <c r="X182" s="226">
        <v>1846.50242</v>
      </c>
      <c r="Y182" s="217">
        <v>495.16729961651799</v>
      </c>
      <c r="Z182" s="228">
        <v>573</v>
      </c>
      <c r="AA182" s="239">
        <v>0.86416631695727397</v>
      </c>
      <c r="AB182" s="222">
        <v>-486.82231515013399</v>
      </c>
      <c r="AC182" s="219"/>
      <c r="AD182" s="219"/>
      <c r="AE182" s="227">
        <v>291</v>
      </c>
      <c r="AF182" s="227">
        <v>718</v>
      </c>
      <c r="AG182" s="218"/>
      <c r="AH182" s="231">
        <v>204.3</v>
      </c>
      <c r="AI182" s="217">
        <v>54.786107083279397</v>
      </c>
      <c r="AJ182" s="232" t="s">
        <v>53</v>
      </c>
      <c r="AK182" s="239">
        <v>0.86962074735364203</v>
      </c>
      <c r="AL182" s="222">
        <v>-52.243557267815802</v>
      </c>
      <c r="AM182" s="219"/>
      <c r="AN182" s="219"/>
      <c r="AO182" s="227">
        <v>31</v>
      </c>
      <c r="AP182" s="227">
        <v>78</v>
      </c>
      <c r="AQ182" s="218"/>
      <c r="AR182" s="231">
        <v>26.8</v>
      </c>
      <c r="AS182" s="217">
        <v>7.1868216829754701</v>
      </c>
      <c r="AT182" s="232" t="s">
        <v>54</v>
      </c>
      <c r="AU182" s="224">
        <v>0.44917635518596699</v>
      </c>
      <c r="AV182" s="225">
        <v>-38.353919306111997</v>
      </c>
      <c r="AW182" s="219"/>
      <c r="AX182" s="219"/>
      <c r="AY182" s="227">
        <v>33</v>
      </c>
      <c r="AZ182" s="227">
        <v>45</v>
      </c>
      <c r="BA182" s="218"/>
      <c r="BB182" s="235">
        <v>115</v>
      </c>
      <c r="BC182" s="231">
        <v>30.838973639633501</v>
      </c>
      <c r="BD182" s="232" t="s">
        <v>55</v>
      </c>
      <c r="BE182" s="233">
        <v>0.96371792623854802</v>
      </c>
      <c r="BF182" s="234">
        <v>-15.3078386122239</v>
      </c>
      <c r="BG182" s="219">
        <v>6.0000000000000001E-3</v>
      </c>
      <c r="BH182" s="219"/>
      <c r="BI182" s="227">
        <v>5</v>
      </c>
      <c r="BJ182" s="227">
        <v>29</v>
      </c>
      <c r="BK182" s="220"/>
      <c r="BL182" s="236">
        <v>0.8</v>
      </c>
      <c r="BM182" s="239">
        <v>0.79</v>
      </c>
      <c r="BN182" s="237"/>
      <c r="BO182" s="238">
        <v>0.95</v>
      </c>
      <c r="BP182" s="229">
        <v>1</v>
      </c>
      <c r="BQ182" s="237">
        <v>2.5000000000000001E-3</v>
      </c>
    </row>
    <row r="183" spans="1:69" s="207" customFormat="1" ht="22.35" customHeight="1" x14ac:dyDescent="0.2">
      <c r="A183" s="216" t="s">
        <v>220</v>
      </c>
      <c r="B183" s="216" t="s">
        <v>240</v>
      </c>
      <c r="C183" s="216" t="s">
        <v>247</v>
      </c>
      <c r="D183" s="217">
        <v>4.4497067784444404</v>
      </c>
      <c r="E183" s="218"/>
      <c r="F183" s="219">
        <v>0.01</v>
      </c>
      <c r="G183" s="219">
        <v>8.5000000000000006E-3</v>
      </c>
      <c r="H183" s="220"/>
      <c r="I183" s="221">
        <v>2</v>
      </c>
      <c r="J183" s="221">
        <v>2</v>
      </c>
      <c r="K183" s="218"/>
      <c r="L183" s="222">
        <v>1618.9907000000001</v>
      </c>
      <c r="M183" s="222">
        <v>-487.3759</v>
      </c>
      <c r="N183" s="222">
        <v>1131.6148000000001</v>
      </c>
      <c r="O183" s="217">
        <v>254.31221793800901</v>
      </c>
      <c r="P183" s="223">
        <v>217.155</v>
      </c>
      <c r="Q183" s="229">
        <v>1.1711091982133</v>
      </c>
      <c r="R183" s="230">
        <v>76.441325583372205</v>
      </c>
      <c r="S183" s="219">
        <v>0.01</v>
      </c>
      <c r="T183" s="219">
        <v>8.5000000000000006E-3</v>
      </c>
      <c r="U183" s="226">
        <v>0</v>
      </c>
      <c r="V183" s="227">
        <v>28</v>
      </c>
      <c r="W183" s="218"/>
      <c r="X183" s="226">
        <v>2197.5763149999998</v>
      </c>
      <c r="Y183" s="217">
        <v>493.86991647306701</v>
      </c>
      <c r="Z183" s="228">
        <v>573</v>
      </c>
      <c r="AA183" s="239">
        <v>0.86190212298964597</v>
      </c>
      <c r="AB183" s="222">
        <v>-586.676411581141</v>
      </c>
      <c r="AC183" s="219"/>
      <c r="AD183" s="219"/>
      <c r="AE183" s="227">
        <v>353</v>
      </c>
      <c r="AF183" s="227">
        <v>863</v>
      </c>
      <c r="AG183" s="218"/>
      <c r="AH183" s="231">
        <v>185.75</v>
      </c>
      <c r="AI183" s="217">
        <v>41.744323670903903</v>
      </c>
      <c r="AJ183" s="232" t="s">
        <v>53</v>
      </c>
      <c r="AK183" s="224">
        <v>0.66260831223657002</v>
      </c>
      <c r="AL183" s="225">
        <v>-120.372027529864</v>
      </c>
      <c r="AM183" s="219"/>
      <c r="AN183" s="219"/>
      <c r="AO183" s="227">
        <v>95</v>
      </c>
      <c r="AP183" s="227">
        <v>151</v>
      </c>
      <c r="AQ183" s="218"/>
      <c r="AR183" s="231">
        <v>29.4</v>
      </c>
      <c r="AS183" s="217">
        <v>6.60717693633688</v>
      </c>
      <c r="AT183" s="232" t="s">
        <v>54</v>
      </c>
      <c r="AU183" s="224">
        <v>0.412948558521055</v>
      </c>
      <c r="AV183" s="225">
        <v>-48.345276832981199</v>
      </c>
      <c r="AW183" s="219"/>
      <c r="AX183" s="219"/>
      <c r="AY183" s="227">
        <v>42</v>
      </c>
      <c r="AZ183" s="227">
        <v>57</v>
      </c>
      <c r="BA183" s="218"/>
      <c r="BB183" s="235">
        <v>117.8</v>
      </c>
      <c r="BC183" s="231">
        <v>26.4736545272273</v>
      </c>
      <c r="BD183" s="232" t="s">
        <v>55</v>
      </c>
      <c r="BE183" s="239">
        <v>0.82730170397585501</v>
      </c>
      <c r="BF183" s="222">
        <v>-37.690553665962497</v>
      </c>
      <c r="BG183" s="219"/>
      <c r="BH183" s="219"/>
      <c r="BI183" s="227">
        <v>25</v>
      </c>
      <c r="BJ183" s="227">
        <v>54</v>
      </c>
      <c r="BK183" s="220"/>
      <c r="BL183" s="236">
        <v>0.8</v>
      </c>
      <c r="BM183" s="239">
        <v>0.75</v>
      </c>
      <c r="BN183" s="237"/>
      <c r="BO183" s="238">
        <v>0.95</v>
      </c>
      <c r="BP183" s="229">
        <v>1</v>
      </c>
      <c r="BQ183" s="237">
        <v>2.5000000000000001E-3</v>
      </c>
    </row>
    <row r="184" spans="1:69" s="207" customFormat="1" ht="22.35" customHeight="1" x14ac:dyDescent="0.2">
      <c r="A184" s="216" t="s">
        <v>220</v>
      </c>
      <c r="B184" s="216" t="s">
        <v>240</v>
      </c>
      <c r="C184" s="216" t="s">
        <v>248</v>
      </c>
      <c r="D184" s="217">
        <v>4.5199524895555596</v>
      </c>
      <c r="E184" s="218"/>
      <c r="F184" s="219">
        <v>1.4E-2</v>
      </c>
      <c r="G184" s="219">
        <v>0.01</v>
      </c>
      <c r="H184" s="220"/>
      <c r="I184" s="221">
        <v>3</v>
      </c>
      <c r="J184" s="221">
        <v>2</v>
      </c>
      <c r="K184" s="218"/>
      <c r="L184" s="222">
        <v>1371.45063</v>
      </c>
      <c r="M184" s="222">
        <v>1653.1752899999999</v>
      </c>
      <c r="N184" s="222">
        <v>3024.62592</v>
      </c>
      <c r="O184" s="217">
        <v>669.17206032344995</v>
      </c>
      <c r="P184" s="223">
        <v>287.5</v>
      </c>
      <c r="Q184" s="229">
        <v>2.3275549924293899</v>
      </c>
      <c r="R184" s="230">
        <v>1605.5868359040301</v>
      </c>
      <c r="S184" s="219">
        <v>0.01</v>
      </c>
      <c r="T184" s="219">
        <v>0.01</v>
      </c>
      <c r="U184" s="226">
        <v>0</v>
      </c>
      <c r="V184" s="227">
        <v>0</v>
      </c>
      <c r="W184" s="218"/>
      <c r="X184" s="226">
        <v>1735.282305</v>
      </c>
      <c r="Y184" s="217">
        <v>383.916049783662</v>
      </c>
      <c r="Z184" s="228">
        <v>573</v>
      </c>
      <c r="AA184" s="224">
        <v>0.67001055808667098</v>
      </c>
      <c r="AB184" s="225">
        <v>-1092.92428695475</v>
      </c>
      <c r="AC184" s="219"/>
      <c r="AD184" s="219"/>
      <c r="AE184" s="227">
        <v>855</v>
      </c>
      <c r="AF184" s="227">
        <v>1373</v>
      </c>
      <c r="AG184" s="218"/>
      <c r="AH184" s="231">
        <v>171.6</v>
      </c>
      <c r="AI184" s="217">
        <v>37.965000826119997</v>
      </c>
      <c r="AJ184" s="232" t="s">
        <v>53</v>
      </c>
      <c r="AK184" s="224">
        <v>0.60261906073206395</v>
      </c>
      <c r="AL184" s="225">
        <v>-139.354651471464</v>
      </c>
      <c r="AM184" s="219"/>
      <c r="AN184" s="219"/>
      <c r="AO184" s="227">
        <v>114</v>
      </c>
      <c r="AP184" s="227">
        <v>171</v>
      </c>
      <c r="AQ184" s="218"/>
      <c r="AR184" s="231">
        <v>42.4</v>
      </c>
      <c r="AS184" s="217">
        <v>9.3806295747522697</v>
      </c>
      <c r="AT184" s="232" t="s">
        <v>54</v>
      </c>
      <c r="AU184" s="224">
        <v>0.58628934842201696</v>
      </c>
      <c r="AV184" s="225">
        <v>-36.572609897514702</v>
      </c>
      <c r="AW184" s="219"/>
      <c r="AX184" s="219"/>
      <c r="AY184" s="227">
        <v>30</v>
      </c>
      <c r="AZ184" s="227">
        <v>45</v>
      </c>
      <c r="BA184" s="218"/>
      <c r="BB184" s="235">
        <v>137</v>
      </c>
      <c r="BC184" s="231">
        <v>30.310053107100501</v>
      </c>
      <c r="BD184" s="232" t="s">
        <v>55</v>
      </c>
      <c r="BE184" s="233">
        <v>0.94718915959688998</v>
      </c>
      <c r="BF184" s="234">
        <v>-20.945219795029502</v>
      </c>
      <c r="BG184" s="219">
        <v>4.0000000000000001E-3</v>
      </c>
      <c r="BH184" s="219"/>
      <c r="BI184" s="227">
        <v>8</v>
      </c>
      <c r="BJ184" s="227">
        <v>37</v>
      </c>
      <c r="BK184" s="220"/>
      <c r="BL184" s="236">
        <v>0.8</v>
      </c>
      <c r="BM184" s="224">
        <v>0.68</v>
      </c>
      <c r="BN184" s="237"/>
      <c r="BO184" s="238">
        <v>0.95</v>
      </c>
      <c r="BP184" s="229">
        <v>1</v>
      </c>
      <c r="BQ184" s="237">
        <v>2.5000000000000001E-3</v>
      </c>
    </row>
    <row r="185" spans="1:69" s="207" customFormat="1" ht="22.35" customHeight="1" x14ac:dyDescent="0.2">
      <c r="A185" s="216" t="s">
        <v>220</v>
      </c>
      <c r="B185" s="216" t="s">
        <v>240</v>
      </c>
      <c r="C185" s="216" t="s">
        <v>249</v>
      </c>
      <c r="D185" s="217">
        <v>3.0343497082222202</v>
      </c>
      <c r="E185" s="218"/>
      <c r="F185" s="219">
        <v>0.01</v>
      </c>
      <c r="G185" s="219">
        <v>0.01</v>
      </c>
      <c r="H185" s="220"/>
      <c r="I185" s="221">
        <v>2</v>
      </c>
      <c r="J185" s="221">
        <v>2</v>
      </c>
      <c r="K185" s="218"/>
      <c r="L185" s="222">
        <v>1776.29377</v>
      </c>
      <c r="M185" s="222">
        <v>1537.1536900000001</v>
      </c>
      <c r="N185" s="222">
        <v>3313.4474599999999</v>
      </c>
      <c r="O185" s="217">
        <v>1091.97942841641</v>
      </c>
      <c r="P185" s="223">
        <v>243.29900000000001</v>
      </c>
      <c r="Q185" s="229">
        <v>4.4882199615140603</v>
      </c>
      <c r="R185" s="230">
        <v>2507.2738193704499</v>
      </c>
      <c r="S185" s="219">
        <v>0.01</v>
      </c>
      <c r="T185" s="219">
        <v>0.01</v>
      </c>
      <c r="U185" s="226">
        <v>0</v>
      </c>
      <c r="V185" s="227">
        <v>0</v>
      </c>
      <c r="W185" s="218"/>
      <c r="X185" s="226">
        <v>1070.296705</v>
      </c>
      <c r="Y185" s="217">
        <v>352.72687986483601</v>
      </c>
      <c r="Z185" s="228">
        <v>573</v>
      </c>
      <c r="AA185" s="224">
        <v>0.61557919697179098</v>
      </c>
      <c r="AB185" s="225">
        <v>-828.34445702997505</v>
      </c>
      <c r="AC185" s="219"/>
      <c r="AD185" s="219"/>
      <c r="AE185" s="227">
        <v>669</v>
      </c>
      <c r="AF185" s="227">
        <v>1017</v>
      </c>
      <c r="AG185" s="218"/>
      <c r="AH185" s="231">
        <v>112.8</v>
      </c>
      <c r="AI185" s="217">
        <v>37.174357225320499</v>
      </c>
      <c r="AJ185" s="232" t="s">
        <v>53</v>
      </c>
      <c r="AK185" s="224">
        <v>0.59006916230667505</v>
      </c>
      <c r="AL185" s="225">
        <v>-95.951122526855897</v>
      </c>
      <c r="AM185" s="219"/>
      <c r="AN185" s="219"/>
      <c r="AO185" s="227">
        <v>79</v>
      </c>
      <c r="AP185" s="227">
        <v>117</v>
      </c>
      <c r="AQ185" s="218"/>
      <c r="AR185" s="231">
        <v>36.799999999999997</v>
      </c>
      <c r="AS185" s="217">
        <v>12.1278044848563</v>
      </c>
      <c r="AT185" s="232" t="s">
        <v>54</v>
      </c>
      <c r="AU185" s="239">
        <v>0.75798778030352099</v>
      </c>
      <c r="AV185" s="222">
        <v>-16.2161581020586</v>
      </c>
      <c r="AW185" s="219"/>
      <c r="AX185" s="219"/>
      <c r="AY185" s="227">
        <v>12</v>
      </c>
      <c r="AZ185" s="227">
        <v>22</v>
      </c>
      <c r="BA185" s="218"/>
      <c r="BB185" s="235">
        <v>76</v>
      </c>
      <c r="BC185" s="231">
        <v>25.0465527404642</v>
      </c>
      <c r="BD185" s="232" t="s">
        <v>55</v>
      </c>
      <c r="BE185" s="239">
        <v>0.78270477313950604</v>
      </c>
      <c r="BF185" s="222">
        <v>-30.032316204117301</v>
      </c>
      <c r="BG185" s="219"/>
      <c r="BH185" s="219"/>
      <c r="BI185" s="227">
        <v>22</v>
      </c>
      <c r="BJ185" s="227">
        <v>41</v>
      </c>
      <c r="BK185" s="220"/>
      <c r="BL185" s="236">
        <v>0.8</v>
      </c>
      <c r="BM185" s="239">
        <v>0.7</v>
      </c>
      <c r="BN185" s="237"/>
      <c r="BO185" s="238">
        <v>0.95</v>
      </c>
      <c r="BP185" s="229">
        <v>1</v>
      </c>
      <c r="BQ185" s="237">
        <v>2.5000000000000001E-3</v>
      </c>
    </row>
    <row r="186" spans="1:69" s="207" customFormat="1" ht="22.35" customHeight="1" x14ac:dyDescent="0.2">
      <c r="A186" s="216" t="s">
        <v>220</v>
      </c>
      <c r="B186" s="216" t="s">
        <v>240</v>
      </c>
      <c r="C186" s="216" t="s">
        <v>250</v>
      </c>
      <c r="D186" s="217">
        <v>3.9243355210000002</v>
      </c>
      <c r="E186" s="218"/>
      <c r="F186" s="219">
        <v>0.04</v>
      </c>
      <c r="G186" s="219">
        <v>3.4500000000000003E-2</v>
      </c>
      <c r="H186" s="220"/>
      <c r="I186" s="221">
        <v>5</v>
      </c>
      <c r="J186" s="221">
        <v>5</v>
      </c>
      <c r="K186" s="218"/>
      <c r="L186" s="222">
        <v>3829.44112</v>
      </c>
      <c r="M186" s="222">
        <v>3152.0190299999999</v>
      </c>
      <c r="N186" s="222">
        <v>6981.4601499999999</v>
      </c>
      <c r="O186" s="217">
        <v>1779.0171387335899</v>
      </c>
      <c r="P186" s="223">
        <v>285.27300000000002</v>
      </c>
      <c r="Q186" s="229">
        <v>6.2361917837776097</v>
      </c>
      <c r="R186" s="230">
        <v>5758.9585419462001</v>
      </c>
      <c r="S186" s="219">
        <v>0.01</v>
      </c>
      <c r="T186" s="219">
        <v>0.01</v>
      </c>
      <c r="U186" s="226">
        <v>0</v>
      </c>
      <c r="V186" s="227">
        <v>0</v>
      </c>
      <c r="W186" s="218"/>
      <c r="X186" s="226">
        <v>1871.66551</v>
      </c>
      <c r="Y186" s="217">
        <v>476.93819755836302</v>
      </c>
      <c r="Z186" s="228">
        <v>573</v>
      </c>
      <c r="AA186" s="239">
        <v>0.83235287532000501</v>
      </c>
      <c r="AB186" s="222">
        <v>-583.85401485803595</v>
      </c>
      <c r="AC186" s="219"/>
      <c r="AD186" s="219"/>
      <c r="AE186" s="227">
        <v>377</v>
      </c>
      <c r="AF186" s="227">
        <v>827</v>
      </c>
      <c r="AG186" s="218"/>
      <c r="AH186" s="231">
        <v>183.9</v>
      </c>
      <c r="AI186" s="217">
        <v>46.861436545348802</v>
      </c>
      <c r="AJ186" s="232" t="s">
        <v>53</v>
      </c>
      <c r="AK186" s="239">
        <v>0.74383232611664796</v>
      </c>
      <c r="AL186" s="222">
        <v>-86.078586502716007</v>
      </c>
      <c r="AM186" s="219"/>
      <c r="AN186" s="219"/>
      <c r="AO186" s="227">
        <v>64</v>
      </c>
      <c r="AP186" s="227">
        <v>113</v>
      </c>
      <c r="AQ186" s="218"/>
      <c r="AR186" s="231">
        <v>68.599999999999994</v>
      </c>
      <c r="AS186" s="217">
        <v>17.480666378525999</v>
      </c>
      <c r="AT186" s="232" t="s">
        <v>54</v>
      </c>
      <c r="AU186" s="229">
        <v>1.0925416486578701</v>
      </c>
      <c r="AV186" s="230">
        <v>3.4009777088002097E-2</v>
      </c>
      <c r="AW186" s="219">
        <v>0.01</v>
      </c>
      <c r="AX186" s="219">
        <v>4.4999999999999997E-3</v>
      </c>
      <c r="AY186" s="227">
        <v>0</v>
      </c>
      <c r="AZ186" s="227">
        <v>7</v>
      </c>
      <c r="BA186" s="218"/>
      <c r="BB186" s="235">
        <v>206.6</v>
      </c>
      <c r="BC186" s="231">
        <v>52.645855303257598</v>
      </c>
      <c r="BD186" s="232" t="s">
        <v>55</v>
      </c>
      <c r="BE186" s="229">
        <v>1.6451829782267999</v>
      </c>
      <c r="BF186" s="230">
        <v>69.468019554175996</v>
      </c>
      <c r="BG186" s="219">
        <v>0.02</v>
      </c>
      <c r="BH186" s="219">
        <v>0.02</v>
      </c>
      <c r="BI186" s="227">
        <v>0</v>
      </c>
      <c r="BJ186" s="227">
        <v>0</v>
      </c>
      <c r="BK186" s="220"/>
      <c r="BL186" s="236">
        <v>0.8</v>
      </c>
      <c r="BM186" s="233">
        <v>0.81</v>
      </c>
      <c r="BN186" s="237">
        <v>3.7500000000000001E-4</v>
      </c>
      <c r="BO186" s="238">
        <v>0.95</v>
      </c>
      <c r="BP186" s="229">
        <v>1</v>
      </c>
      <c r="BQ186" s="237">
        <v>2.5000000000000001E-3</v>
      </c>
    </row>
    <row r="187" spans="1:69" s="207" customFormat="1" ht="22.35" customHeight="1" x14ac:dyDescent="0.2">
      <c r="A187" s="216" t="s">
        <v>220</v>
      </c>
      <c r="B187" s="216" t="s">
        <v>240</v>
      </c>
      <c r="C187" s="216" t="s">
        <v>251</v>
      </c>
      <c r="D187" s="217">
        <v>1.82888188633333</v>
      </c>
      <c r="E187" s="218"/>
      <c r="F187" s="219">
        <v>7.0000000000000007E-2</v>
      </c>
      <c r="G187" s="219">
        <v>6.7000000000000004E-2</v>
      </c>
      <c r="H187" s="220"/>
      <c r="I187" s="221">
        <v>5</v>
      </c>
      <c r="J187" s="221">
        <v>5</v>
      </c>
      <c r="K187" s="218"/>
      <c r="L187" s="222">
        <v>487.84399000000002</v>
      </c>
      <c r="M187" s="222">
        <v>17.241050000000001</v>
      </c>
      <c r="N187" s="222">
        <v>505.08503999999999</v>
      </c>
      <c r="O187" s="217">
        <v>276.17149241530802</v>
      </c>
      <c r="P187" s="223">
        <v>243.29900000000001</v>
      </c>
      <c r="Q187" s="229">
        <v>1.1351114982606101</v>
      </c>
      <c r="R187" s="230">
        <v>19.183113603190002</v>
      </c>
      <c r="S187" s="219">
        <v>0.01</v>
      </c>
      <c r="T187" s="219">
        <v>7.0000000000000001E-3</v>
      </c>
      <c r="U187" s="226">
        <v>0</v>
      </c>
      <c r="V187" s="227">
        <v>29</v>
      </c>
      <c r="W187" s="218"/>
      <c r="X187" s="226">
        <v>1254.1994549999999</v>
      </c>
      <c r="Y187" s="217">
        <v>685.77389517182201</v>
      </c>
      <c r="Z187" s="228">
        <v>573</v>
      </c>
      <c r="AA187" s="229">
        <v>1.1968130805791</v>
      </c>
      <c r="AB187" s="230">
        <v>109.83879661105399</v>
      </c>
      <c r="AC187" s="219">
        <v>0.02</v>
      </c>
      <c r="AD187" s="219">
        <v>0.02</v>
      </c>
      <c r="AE187" s="227">
        <v>0</v>
      </c>
      <c r="AF187" s="227">
        <v>4</v>
      </c>
      <c r="AG187" s="218"/>
      <c r="AH187" s="231">
        <v>157.19999999999999</v>
      </c>
      <c r="AI187" s="217">
        <v>85.954156566756296</v>
      </c>
      <c r="AJ187" s="232" t="s">
        <v>53</v>
      </c>
      <c r="AK187" s="229">
        <v>1.36435169153581</v>
      </c>
      <c r="AL187" s="230">
        <v>31.3802417478122</v>
      </c>
      <c r="AM187" s="219">
        <v>0.02</v>
      </c>
      <c r="AN187" s="219">
        <v>0.02</v>
      </c>
      <c r="AO187" s="227">
        <v>0</v>
      </c>
      <c r="AP187" s="227">
        <v>0</v>
      </c>
      <c r="AQ187" s="218"/>
      <c r="AR187" s="231">
        <v>17.600000000000001</v>
      </c>
      <c r="AS187" s="217">
        <v>9.6233661296113997</v>
      </c>
      <c r="AT187" s="232" t="s">
        <v>54</v>
      </c>
      <c r="AU187" s="224">
        <v>0.60146038310071204</v>
      </c>
      <c r="AV187" s="225">
        <v>-14.3542243180159</v>
      </c>
      <c r="AW187" s="219"/>
      <c r="AX187" s="219"/>
      <c r="AY187" s="227">
        <v>12</v>
      </c>
      <c r="AZ187" s="227">
        <v>18</v>
      </c>
      <c r="BA187" s="218"/>
      <c r="BB187" s="235">
        <v>85</v>
      </c>
      <c r="BC187" s="231">
        <v>46.476484148691398</v>
      </c>
      <c r="BD187" s="232" t="s">
        <v>55</v>
      </c>
      <c r="BE187" s="229">
        <v>1.45239012964661</v>
      </c>
      <c r="BF187" s="230">
        <v>21.091551363968101</v>
      </c>
      <c r="BG187" s="219">
        <v>0.02</v>
      </c>
      <c r="BH187" s="219">
        <v>0.02</v>
      </c>
      <c r="BI187" s="227">
        <v>0</v>
      </c>
      <c r="BJ187" s="227">
        <v>0</v>
      </c>
      <c r="BK187" s="220"/>
      <c r="BL187" s="236">
        <v>0.8</v>
      </c>
      <c r="BM187" s="239">
        <v>0.75</v>
      </c>
      <c r="BN187" s="237"/>
      <c r="BO187" s="238">
        <v>0.95</v>
      </c>
      <c r="BP187" s="229">
        <v>1</v>
      </c>
      <c r="BQ187" s="237">
        <v>2.5000000000000001E-3</v>
      </c>
    </row>
    <row r="188" spans="1:69" s="207" customFormat="1" ht="22.35" customHeight="1" x14ac:dyDescent="0.2">
      <c r="A188" s="216" t="s">
        <v>220</v>
      </c>
      <c r="B188" s="216" t="s">
        <v>240</v>
      </c>
      <c r="C188" s="216" t="s">
        <v>252</v>
      </c>
      <c r="D188" s="217">
        <v>3.0121534749999999</v>
      </c>
      <c r="E188" s="218"/>
      <c r="F188" s="219">
        <v>3.5000000000000003E-2</v>
      </c>
      <c r="G188" s="219">
        <v>1.9E-2</v>
      </c>
      <c r="H188" s="220"/>
      <c r="I188" s="221">
        <v>4</v>
      </c>
      <c r="J188" s="221">
        <v>3</v>
      </c>
      <c r="K188" s="218"/>
      <c r="L188" s="222">
        <v>1238.89231</v>
      </c>
      <c r="M188" s="222">
        <v>459.20697999999999</v>
      </c>
      <c r="N188" s="222">
        <v>1698.0992900000001</v>
      </c>
      <c r="O188" s="217">
        <v>563.74925915751999</v>
      </c>
      <c r="P188" s="223">
        <v>262.53800000000001</v>
      </c>
      <c r="Q188" s="229">
        <v>2.1473053773454498</v>
      </c>
      <c r="R188" s="230">
        <v>834.54050407065097</v>
      </c>
      <c r="S188" s="219">
        <v>0.01</v>
      </c>
      <c r="T188" s="219">
        <v>0.01</v>
      </c>
      <c r="U188" s="226">
        <v>0</v>
      </c>
      <c r="V188" s="227">
        <v>0</v>
      </c>
      <c r="W188" s="218"/>
      <c r="X188" s="226">
        <v>1875.136645</v>
      </c>
      <c r="Y188" s="217">
        <v>622.52360663661102</v>
      </c>
      <c r="Z188" s="228">
        <v>573</v>
      </c>
      <c r="AA188" s="233">
        <v>1.0864286328736701</v>
      </c>
      <c r="AB188" s="234">
        <v>-9.6159787631002001</v>
      </c>
      <c r="AC188" s="219">
        <v>1.9E-2</v>
      </c>
      <c r="AD188" s="219">
        <v>8.9999999999999993E-3</v>
      </c>
      <c r="AE188" s="227">
        <v>0</v>
      </c>
      <c r="AF188" s="227">
        <v>197</v>
      </c>
      <c r="AG188" s="218"/>
      <c r="AH188" s="231">
        <v>157.69999999999999</v>
      </c>
      <c r="AI188" s="217">
        <v>52.354570014066098</v>
      </c>
      <c r="AJ188" s="232" t="s">
        <v>53</v>
      </c>
      <c r="AK188" s="239">
        <v>0.83102492085819202</v>
      </c>
      <c r="AL188" s="222">
        <v>-49.524110466099998</v>
      </c>
      <c r="AM188" s="219"/>
      <c r="AN188" s="219"/>
      <c r="AO188" s="227">
        <v>33</v>
      </c>
      <c r="AP188" s="227">
        <v>71</v>
      </c>
      <c r="AQ188" s="218"/>
      <c r="AR188" s="231">
        <v>17</v>
      </c>
      <c r="AS188" s="217">
        <v>5.64380272821258</v>
      </c>
      <c r="AT188" s="232" t="s">
        <v>54</v>
      </c>
      <c r="AU188" s="224">
        <v>0.35273767051328597</v>
      </c>
      <c r="AV188" s="225">
        <v>-35.628345515200003</v>
      </c>
      <c r="AW188" s="219"/>
      <c r="AX188" s="219"/>
      <c r="AY188" s="227">
        <v>32</v>
      </c>
      <c r="AZ188" s="227">
        <v>41</v>
      </c>
      <c r="BA188" s="218"/>
      <c r="BB188" s="235">
        <v>93</v>
      </c>
      <c r="BC188" s="231">
        <v>30.874920807280599</v>
      </c>
      <c r="BD188" s="232" t="s">
        <v>55</v>
      </c>
      <c r="BE188" s="233">
        <v>0.96484127522751795</v>
      </c>
      <c r="BF188" s="234">
        <v>-12.256691030400001</v>
      </c>
      <c r="BG188" s="219">
        <v>6.0000000000000001E-3</v>
      </c>
      <c r="BH188" s="219"/>
      <c r="BI188" s="227">
        <v>4</v>
      </c>
      <c r="BJ188" s="227">
        <v>23</v>
      </c>
      <c r="BK188" s="220"/>
      <c r="BL188" s="236">
        <v>0.8</v>
      </c>
      <c r="BM188" s="239">
        <v>0.74</v>
      </c>
      <c r="BN188" s="237"/>
      <c r="BO188" s="238">
        <v>0.95</v>
      </c>
      <c r="BP188" s="229">
        <v>1</v>
      </c>
      <c r="BQ188" s="237">
        <v>2.5000000000000001E-3</v>
      </c>
    </row>
    <row r="189" spans="1:69" s="207" customFormat="1" ht="22.35" customHeight="1" x14ac:dyDescent="0.2">
      <c r="A189" s="216" t="s">
        <v>220</v>
      </c>
      <c r="B189" s="216" t="s">
        <v>240</v>
      </c>
      <c r="C189" s="216" t="s">
        <v>253</v>
      </c>
      <c r="D189" s="217">
        <v>2.69738168433333</v>
      </c>
      <c r="E189" s="218"/>
      <c r="F189" s="219">
        <v>0.04</v>
      </c>
      <c r="G189" s="219">
        <v>1.7999999999999999E-2</v>
      </c>
      <c r="H189" s="220"/>
      <c r="I189" s="221">
        <v>6</v>
      </c>
      <c r="J189" s="221">
        <v>5</v>
      </c>
      <c r="K189" s="218"/>
      <c r="L189" s="222">
        <v>2734.70064</v>
      </c>
      <c r="M189" s="222">
        <v>1755.0765899999999</v>
      </c>
      <c r="N189" s="222">
        <v>4489.7772299999997</v>
      </c>
      <c r="O189" s="217">
        <v>1664.49459343373</v>
      </c>
      <c r="P189" s="223">
        <v>243.27799999999999</v>
      </c>
      <c r="Q189" s="229">
        <v>6.8419445795909599</v>
      </c>
      <c r="R189" s="230">
        <v>3773.1919554298402</v>
      </c>
      <c r="S189" s="219">
        <v>0.01</v>
      </c>
      <c r="T189" s="219">
        <v>0.01</v>
      </c>
      <c r="U189" s="226">
        <v>0</v>
      </c>
      <c r="V189" s="227">
        <v>0</v>
      </c>
      <c r="W189" s="218"/>
      <c r="X189" s="226">
        <v>1580.3884499999999</v>
      </c>
      <c r="Y189" s="217">
        <v>585.89722736647002</v>
      </c>
      <c r="Z189" s="228">
        <v>573</v>
      </c>
      <c r="AA189" s="233">
        <v>1.0225082502032601</v>
      </c>
      <c r="AB189" s="234">
        <v>-107.406427994314</v>
      </c>
      <c r="AC189" s="219">
        <v>1.2E-2</v>
      </c>
      <c r="AD189" s="219">
        <v>2E-3</v>
      </c>
      <c r="AE189" s="227">
        <v>0</v>
      </c>
      <c r="AF189" s="227">
        <v>275</v>
      </c>
      <c r="AG189" s="218"/>
      <c r="AH189" s="231">
        <v>157.85</v>
      </c>
      <c r="AI189" s="217">
        <v>58.519712251628597</v>
      </c>
      <c r="AJ189" s="232" t="s">
        <v>53</v>
      </c>
      <c r="AK189" s="233">
        <v>0.92888432145442201</v>
      </c>
      <c r="AL189" s="234">
        <v>-27.7190703553958</v>
      </c>
      <c r="AM189" s="219">
        <v>2E-3</v>
      </c>
      <c r="AN189" s="219"/>
      <c r="AO189" s="227">
        <v>13</v>
      </c>
      <c r="AP189" s="227">
        <v>47</v>
      </c>
      <c r="AQ189" s="218"/>
      <c r="AR189" s="231">
        <v>24.5</v>
      </c>
      <c r="AS189" s="217">
        <v>9.0828821676585392</v>
      </c>
      <c r="AT189" s="232" t="s">
        <v>54</v>
      </c>
      <c r="AU189" s="224">
        <v>0.56768013547865903</v>
      </c>
      <c r="AV189" s="225">
        <v>-22.6286527886719</v>
      </c>
      <c r="AW189" s="219"/>
      <c r="AX189" s="219"/>
      <c r="AY189" s="227">
        <v>19</v>
      </c>
      <c r="AZ189" s="227">
        <v>28</v>
      </c>
      <c r="BA189" s="218"/>
      <c r="BB189" s="235">
        <v>91.4</v>
      </c>
      <c r="BC189" s="231">
        <v>33.884711433632297</v>
      </c>
      <c r="BD189" s="232" t="s">
        <v>55</v>
      </c>
      <c r="BE189" s="233">
        <v>1.05889723230101</v>
      </c>
      <c r="BF189" s="234">
        <v>-2.85730557734388</v>
      </c>
      <c r="BG189" s="219">
        <v>1.6E-2</v>
      </c>
      <c r="BH189" s="219">
        <v>6.0000000000000001E-3</v>
      </c>
      <c r="BI189" s="227">
        <v>0</v>
      </c>
      <c r="BJ189" s="227">
        <v>13</v>
      </c>
      <c r="BK189" s="220"/>
      <c r="BL189" s="236">
        <v>0.8</v>
      </c>
      <c r="BM189" s="233">
        <v>0.86</v>
      </c>
      <c r="BN189" s="237">
        <v>2.2499999999999998E-3</v>
      </c>
      <c r="BO189" s="238">
        <v>0.95</v>
      </c>
      <c r="BP189" s="229">
        <v>1</v>
      </c>
      <c r="BQ189" s="237">
        <v>2.5000000000000001E-3</v>
      </c>
    </row>
    <row r="190" spans="1:69" s="207" customFormat="1" ht="22.35" customHeight="1" x14ac:dyDescent="0.2">
      <c r="A190" s="216" t="s">
        <v>220</v>
      </c>
      <c r="B190" s="216" t="s">
        <v>240</v>
      </c>
      <c r="C190" s="216" t="s">
        <v>254</v>
      </c>
      <c r="D190" s="217">
        <v>2.5112282917777802</v>
      </c>
      <c r="E190" s="218"/>
      <c r="F190" s="219">
        <v>7.0000000000000007E-2</v>
      </c>
      <c r="G190" s="219">
        <v>7.0000000000000007E-2</v>
      </c>
      <c r="H190" s="220"/>
      <c r="I190" s="221">
        <v>5</v>
      </c>
      <c r="J190" s="221">
        <v>5</v>
      </c>
      <c r="K190" s="218"/>
      <c r="L190" s="222">
        <v>322.61516</v>
      </c>
      <c r="M190" s="222">
        <v>-93.955659999999995</v>
      </c>
      <c r="N190" s="222">
        <v>228.65950000000001</v>
      </c>
      <c r="O190" s="217">
        <v>91.054843858152296</v>
      </c>
      <c r="P190" s="223">
        <v>233.029</v>
      </c>
      <c r="Q190" s="224">
        <v>0.39074468782062399</v>
      </c>
      <c r="R190" s="225">
        <v>-410.36690722431501</v>
      </c>
      <c r="S190" s="219"/>
      <c r="T190" s="219"/>
      <c r="U190" s="226">
        <v>357</v>
      </c>
      <c r="V190" s="227">
        <v>474</v>
      </c>
      <c r="W190" s="218"/>
      <c r="X190" s="226">
        <v>2053.2168799999999</v>
      </c>
      <c r="Y190" s="217">
        <v>817.61458594688895</v>
      </c>
      <c r="Z190" s="228">
        <v>573</v>
      </c>
      <c r="AA190" s="229">
        <v>1.42690154615513</v>
      </c>
      <c r="AB190" s="230">
        <v>481.90115818197398</v>
      </c>
      <c r="AC190" s="219">
        <v>0.02</v>
      </c>
      <c r="AD190" s="219">
        <v>0.02</v>
      </c>
      <c r="AE190" s="227">
        <v>0</v>
      </c>
      <c r="AF190" s="227">
        <v>0</v>
      </c>
      <c r="AG190" s="218"/>
      <c r="AH190" s="231">
        <v>198.8</v>
      </c>
      <c r="AI190" s="217">
        <v>79.164447394491205</v>
      </c>
      <c r="AJ190" s="232" t="s">
        <v>53</v>
      </c>
      <c r="AK190" s="229">
        <v>1.2565785300712899</v>
      </c>
      <c r="AL190" s="230">
        <v>26.037538438855801</v>
      </c>
      <c r="AM190" s="219">
        <v>0.02</v>
      </c>
      <c r="AN190" s="219">
        <v>0.02</v>
      </c>
      <c r="AO190" s="227">
        <v>0</v>
      </c>
      <c r="AP190" s="227">
        <v>0</v>
      </c>
      <c r="AQ190" s="218"/>
      <c r="AR190" s="231">
        <v>49.4</v>
      </c>
      <c r="AS190" s="217">
        <v>19.671648396820199</v>
      </c>
      <c r="AT190" s="232" t="s">
        <v>54</v>
      </c>
      <c r="AU190" s="229">
        <v>1.22947802480127</v>
      </c>
      <c r="AV190" s="230">
        <v>5.5238192860586199</v>
      </c>
      <c r="AW190" s="219">
        <v>0.01</v>
      </c>
      <c r="AX190" s="219">
        <v>0.01</v>
      </c>
      <c r="AY190" s="227">
        <v>0</v>
      </c>
      <c r="AZ190" s="227">
        <v>0</v>
      </c>
      <c r="BA190" s="218"/>
      <c r="BB190" s="235">
        <v>138.19999999999999</v>
      </c>
      <c r="BC190" s="231">
        <v>55.0328301303757</v>
      </c>
      <c r="BD190" s="232" t="s">
        <v>55</v>
      </c>
      <c r="BE190" s="229">
        <v>1.71977594157424</v>
      </c>
      <c r="BF190" s="230">
        <v>50.447638572117299</v>
      </c>
      <c r="BG190" s="219">
        <v>0.02</v>
      </c>
      <c r="BH190" s="219">
        <v>0.02</v>
      </c>
      <c r="BI190" s="227">
        <v>0</v>
      </c>
      <c r="BJ190" s="227">
        <v>0</v>
      </c>
      <c r="BK190" s="220"/>
      <c r="BL190" s="236">
        <v>0.8</v>
      </c>
      <c r="BM190" s="239">
        <v>0.78</v>
      </c>
      <c r="BN190" s="237"/>
      <c r="BO190" s="238">
        <v>0.95</v>
      </c>
      <c r="BP190" s="229">
        <v>1</v>
      </c>
      <c r="BQ190" s="237">
        <v>2.5000000000000001E-3</v>
      </c>
    </row>
    <row r="191" spans="1:69" s="207" customFormat="1" ht="22.35" customHeight="1" x14ac:dyDescent="0.2">
      <c r="A191" s="216" t="s">
        <v>220</v>
      </c>
      <c r="B191" s="216" t="s">
        <v>240</v>
      </c>
      <c r="C191" s="216" t="s">
        <v>255</v>
      </c>
      <c r="D191" s="217">
        <v>3.5167137564444402</v>
      </c>
      <c r="E191" s="218"/>
      <c r="F191" s="219">
        <v>0.01</v>
      </c>
      <c r="G191" s="219">
        <v>0.01</v>
      </c>
      <c r="H191" s="220"/>
      <c r="I191" s="221">
        <v>3</v>
      </c>
      <c r="J191" s="221">
        <v>3</v>
      </c>
      <c r="K191" s="218"/>
      <c r="L191" s="222">
        <v>1691.1969899999999</v>
      </c>
      <c r="M191" s="222">
        <v>264.1585</v>
      </c>
      <c r="N191" s="222">
        <v>1955.3554899999999</v>
      </c>
      <c r="O191" s="217">
        <v>556.01781248666396</v>
      </c>
      <c r="P191" s="223">
        <v>232.833</v>
      </c>
      <c r="Q191" s="229">
        <v>2.38805415248983</v>
      </c>
      <c r="R191" s="230">
        <v>1061.21823065278</v>
      </c>
      <c r="S191" s="219">
        <v>0.01</v>
      </c>
      <c r="T191" s="219">
        <v>0.01</v>
      </c>
      <c r="U191" s="226">
        <v>0</v>
      </c>
      <c r="V191" s="227">
        <v>0</v>
      </c>
      <c r="W191" s="218"/>
      <c r="X191" s="226">
        <v>1460.09935</v>
      </c>
      <c r="Y191" s="217">
        <v>415.188568396942</v>
      </c>
      <c r="Z191" s="228">
        <v>573</v>
      </c>
      <c r="AA191" s="239">
        <v>0.72458737940129403</v>
      </c>
      <c r="AB191" s="222">
        <v>-740.36471482738898</v>
      </c>
      <c r="AC191" s="219"/>
      <c r="AD191" s="219"/>
      <c r="AE191" s="227">
        <v>555</v>
      </c>
      <c r="AF191" s="227">
        <v>958</v>
      </c>
      <c r="AG191" s="218"/>
      <c r="AH191" s="231">
        <v>134.80000000000001</v>
      </c>
      <c r="AI191" s="217">
        <v>38.331240281634102</v>
      </c>
      <c r="AJ191" s="232" t="s">
        <v>53</v>
      </c>
      <c r="AK191" s="224">
        <v>0.60843238542276301</v>
      </c>
      <c r="AL191" s="225">
        <v>-107.135839588352</v>
      </c>
      <c r="AM191" s="219"/>
      <c r="AN191" s="219"/>
      <c r="AO191" s="227">
        <v>87</v>
      </c>
      <c r="AP191" s="227">
        <v>132</v>
      </c>
      <c r="AQ191" s="218"/>
      <c r="AR191" s="231">
        <v>31.4</v>
      </c>
      <c r="AS191" s="217">
        <v>8.9287903920126901</v>
      </c>
      <c r="AT191" s="232" t="s">
        <v>54</v>
      </c>
      <c r="AU191" s="224">
        <v>0.55804939950079302</v>
      </c>
      <c r="AV191" s="225">
        <v>-30.0440227525973</v>
      </c>
      <c r="AW191" s="219"/>
      <c r="AX191" s="219"/>
      <c r="AY191" s="227">
        <v>25</v>
      </c>
      <c r="AZ191" s="227">
        <v>37</v>
      </c>
      <c r="BA191" s="218"/>
      <c r="BB191" s="235">
        <v>101.4</v>
      </c>
      <c r="BC191" s="231">
        <v>28.833737125798901</v>
      </c>
      <c r="BD191" s="232" t="s">
        <v>55</v>
      </c>
      <c r="BE191" s="239">
        <v>0.901054285181217</v>
      </c>
      <c r="BF191" s="222">
        <v>-21.488045505194499</v>
      </c>
      <c r="BG191" s="219"/>
      <c r="BH191" s="219"/>
      <c r="BI191" s="227">
        <v>12</v>
      </c>
      <c r="BJ191" s="227">
        <v>34</v>
      </c>
      <c r="BK191" s="220"/>
      <c r="BL191" s="236">
        <v>0.8</v>
      </c>
      <c r="BM191" s="233">
        <v>0.86</v>
      </c>
      <c r="BN191" s="237">
        <v>2.2499999999999998E-3</v>
      </c>
      <c r="BO191" s="238">
        <v>0.95</v>
      </c>
      <c r="BP191" s="229">
        <v>1</v>
      </c>
      <c r="BQ191" s="237">
        <v>2.5000000000000001E-3</v>
      </c>
    </row>
    <row r="192" spans="1:69" s="207" customFormat="1" ht="22.35" customHeight="1" x14ac:dyDescent="0.2">
      <c r="A192" s="216" t="s">
        <v>220</v>
      </c>
      <c r="B192" s="216" t="s">
        <v>240</v>
      </c>
      <c r="C192" s="216" t="s">
        <v>256</v>
      </c>
      <c r="D192" s="217">
        <v>7.4460326411111097</v>
      </c>
      <c r="E192" s="218"/>
      <c r="F192" s="219">
        <v>3.6499999999999998E-2</v>
      </c>
      <c r="G192" s="219">
        <v>1.7999999999999999E-2</v>
      </c>
      <c r="H192" s="220"/>
      <c r="I192" s="221">
        <v>5</v>
      </c>
      <c r="J192" s="221">
        <v>3</v>
      </c>
      <c r="K192" s="218"/>
      <c r="L192" s="222">
        <v>5412.3044399999999</v>
      </c>
      <c r="M192" s="222">
        <v>3870.77934</v>
      </c>
      <c r="N192" s="222">
        <v>9283.0837800000008</v>
      </c>
      <c r="O192" s="217">
        <v>1246.71542919999</v>
      </c>
      <c r="P192" s="223">
        <v>247.167</v>
      </c>
      <c r="Q192" s="229">
        <v>5.0440205577604997</v>
      </c>
      <c r="R192" s="230">
        <v>7273.35218361238</v>
      </c>
      <c r="S192" s="219">
        <v>0.01</v>
      </c>
      <c r="T192" s="219">
        <v>0.01</v>
      </c>
      <c r="U192" s="226">
        <v>0</v>
      </c>
      <c r="V192" s="227">
        <v>0</v>
      </c>
      <c r="W192" s="218"/>
      <c r="X192" s="226">
        <v>4153.0347099999999</v>
      </c>
      <c r="Y192" s="217">
        <v>557.75134359070898</v>
      </c>
      <c r="Z192" s="228">
        <v>573</v>
      </c>
      <c r="AA192" s="233">
        <v>0.97338803418971898</v>
      </c>
      <c r="AB192" s="234">
        <v>-506.06705006547998</v>
      </c>
      <c r="AC192" s="219">
        <v>7.0000000000000001E-3</v>
      </c>
      <c r="AD192" s="219"/>
      <c r="AE192" s="227">
        <v>114</v>
      </c>
      <c r="AF192" s="227">
        <v>967</v>
      </c>
      <c r="AG192" s="218"/>
      <c r="AH192" s="231">
        <v>414</v>
      </c>
      <c r="AI192" s="217">
        <v>55.600078586040397</v>
      </c>
      <c r="AJ192" s="232" t="s">
        <v>53</v>
      </c>
      <c r="AK192" s="239">
        <v>0.88254092993715005</v>
      </c>
      <c r="AL192" s="222">
        <v>-98.257261577879902</v>
      </c>
      <c r="AM192" s="219"/>
      <c r="AN192" s="219"/>
      <c r="AO192" s="227">
        <v>56</v>
      </c>
      <c r="AP192" s="227">
        <v>149</v>
      </c>
      <c r="AQ192" s="218"/>
      <c r="AR192" s="231">
        <v>109.8</v>
      </c>
      <c r="AS192" s="217">
        <v>14.746107798906401</v>
      </c>
      <c r="AT192" s="232" t="s">
        <v>54</v>
      </c>
      <c r="AU192" s="233">
        <v>0.92163173743164795</v>
      </c>
      <c r="AV192" s="234">
        <v>-20.297082305493301</v>
      </c>
      <c r="AW192" s="219">
        <v>5.0000000000000001E-4</v>
      </c>
      <c r="AX192" s="219"/>
      <c r="AY192" s="227">
        <v>10</v>
      </c>
      <c r="AZ192" s="227">
        <v>34</v>
      </c>
      <c r="BA192" s="218"/>
      <c r="BB192" s="235">
        <v>258.39999999999998</v>
      </c>
      <c r="BC192" s="231">
        <v>34.703044218919899</v>
      </c>
      <c r="BD192" s="232" t="s">
        <v>55</v>
      </c>
      <c r="BE192" s="233">
        <v>1.08447013184125</v>
      </c>
      <c r="BF192" s="234">
        <v>-1.79416461098668</v>
      </c>
      <c r="BG192" s="219">
        <v>1.9E-2</v>
      </c>
      <c r="BH192" s="219">
        <v>8.0000000000000002E-3</v>
      </c>
      <c r="BI192" s="227">
        <v>0</v>
      </c>
      <c r="BJ192" s="227">
        <v>28</v>
      </c>
      <c r="BK192" s="220"/>
      <c r="BL192" s="236">
        <v>0.8</v>
      </c>
      <c r="BM192" s="239">
        <v>0.79</v>
      </c>
      <c r="BN192" s="237"/>
      <c r="BO192" s="238">
        <v>0.95</v>
      </c>
      <c r="BP192" s="229">
        <v>1</v>
      </c>
      <c r="BQ192" s="237">
        <v>2.5000000000000001E-3</v>
      </c>
    </row>
    <row r="193" spans="1:69" s="207" customFormat="1" ht="22.35" customHeight="1" x14ac:dyDescent="0.2">
      <c r="A193" s="216" t="s">
        <v>220</v>
      </c>
      <c r="B193" s="216" t="s">
        <v>240</v>
      </c>
      <c r="C193" s="216" t="s">
        <v>257</v>
      </c>
      <c r="D193" s="217">
        <v>10.895669111222199</v>
      </c>
      <c r="E193" s="218"/>
      <c r="F193" s="219">
        <v>0.08</v>
      </c>
      <c r="G193" s="219">
        <v>0.08</v>
      </c>
      <c r="H193" s="220"/>
      <c r="I193" s="221">
        <v>6</v>
      </c>
      <c r="J193" s="221">
        <v>6</v>
      </c>
      <c r="K193" s="218"/>
      <c r="L193" s="222">
        <v>10301.43117</v>
      </c>
      <c r="M193" s="222">
        <v>8405.4289700000008</v>
      </c>
      <c r="N193" s="222">
        <v>18706.860140000001</v>
      </c>
      <c r="O193" s="217">
        <v>1716.90787862973</v>
      </c>
      <c r="P193" s="223">
        <v>236.7</v>
      </c>
      <c r="Q193" s="229">
        <v>7.2535187098847898</v>
      </c>
      <c r="R193" s="230">
        <v>15890.586812540099</v>
      </c>
      <c r="S193" s="219">
        <v>0.01</v>
      </c>
      <c r="T193" s="219">
        <v>0.01</v>
      </c>
      <c r="U193" s="226">
        <v>0</v>
      </c>
      <c r="V193" s="227">
        <v>0</v>
      </c>
      <c r="W193" s="218"/>
      <c r="X193" s="226">
        <v>16623.468495000001</v>
      </c>
      <c r="Y193" s="217">
        <v>1525.6950560180201</v>
      </c>
      <c r="Z193" s="228">
        <v>573</v>
      </c>
      <c r="AA193" s="229">
        <v>2.6626440768202801</v>
      </c>
      <c r="AB193" s="230">
        <v>9805.8740014024806</v>
      </c>
      <c r="AC193" s="219">
        <v>0.02</v>
      </c>
      <c r="AD193" s="219">
        <v>0.02</v>
      </c>
      <c r="AE193" s="227">
        <v>0</v>
      </c>
      <c r="AF193" s="227">
        <v>0</v>
      </c>
      <c r="AG193" s="218"/>
      <c r="AH193" s="231">
        <v>2091.9</v>
      </c>
      <c r="AI193" s="217">
        <v>191.99371591097599</v>
      </c>
      <c r="AJ193" s="232" t="s">
        <v>53</v>
      </c>
      <c r="AK193" s="229">
        <v>3.04751930017422</v>
      </c>
      <c r="AL193" s="230">
        <v>1342.3215478243601</v>
      </c>
      <c r="AM193" s="219">
        <v>0.02</v>
      </c>
      <c r="AN193" s="219">
        <v>0.02</v>
      </c>
      <c r="AO193" s="227">
        <v>0</v>
      </c>
      <c r="AP193" s="227">
        <v>0</v>
      </c>
      <c r="AQ193" s="218"/>
      <c r="AR193" s="231">
        <v>719.7</v>
      </c>
      <c r="AS193" s="217">
        <v>66.053768029604498</v>
      </c>
      <c r="AT193" s="232" t="s">
        <v>54</v>
      </c>
      <c r="AU193" s="229">
        <v>4.1283605018502803</v>
      </c>
      <c r="AV193" s="230">
        <v>529.33086928872501</v>
      </c>
      <c r="AW193" s="219">
        <v>0.01</v>
      </c>
      <c r="AX193" s="219">
        <v>0.01</v>
      </c>
      <c r="AY193" s="227">
        <v>0</v>
      </c>
      <c r="AZ193" s="227">
        <v>0</v>
      </c>
      <c r="BA193" s="218"/>
      <c r="BB193" s="235">
        <v>1267.4000000000001</v>
      </c>
      <c r="BC193" s="231">
        <v>116.32144727069701</v>
      </c>
      <c r="BD193" s="232" t="s">
        <v>55</v>
      </c>
      <c r="BE193" s="229">
        <v>3.6350452272092801</v>
      </c>
      <c r="BF193" s="230">
        <v>886.66173857745105</v>
      </c>
      <c r="BG193" s="219">
        <v>0.02</v>
      </c>
      <c r="BH193" s="219">
        <v>0.02</v>
      </c>
      <c r="BI193" s="227">
        <v>0</v>
      </c>
      <c r="BJ193" s="227">
        <v>0</v>
      </c>
      <c r="BK193" s="220"/>
      <c r="BL193" s="236">
        <v>0.8</v>
      </c>
      <c r="BM193" s="239">
        <v>0.77</v>
      </c>
      <c r="BN193" s="237"/>
      <c r="BO193" s="238">
        <v>0.95</v>
      </c>
      <c r="BP193" s="229">
        <v>1</v>
      </c>
      <c r="BQ193" s="237">
        <v>2.5000000000000001E-3</v>
      </c>
    </row>
    <row r="194" spans="1:69" s="207" customFormat="1" ht="22.35" customHeight="1" x14ac:dyDescent="0.2">
      <c r="A194" s="216" t="s">
        <v>220</v>
      </c>
      <c r="B194" s="216" t="s">
        <v>240</v>
      </c>
      <c r="C194" s="216" t="s">
        <v>258</v>
      </c>
      <c r="D194" s="217">
        <v>1.7385762385555601</v>
      </c>
      <c r="E194" s="218"/>
      <c r="F194" s="219">
        <v>2.4E-2</v>
      </c>
      <c r="G194" s="219">
        <v>8.0000000000000002E-3</v>
      </c>
      <c r="H194" s="220"/>
      <c r="I194" s="221">
        <v>3</v>
      </c>
      <c r="J194" s="221">
        <v>3</v>
      </c>
      <c r="K194" s="218"/>
      <c r="L194" s="222">
        <v>677.33524</v>
      </c>
      <c r="M194" s="222">
        <v>-241.26714999999999</v>
      </c>
      <c r="N194" s="222">
        <v>436.06808999999998</v>
      </c>
      <c r="O194" s="217">
        <v>250.81907846750201</v>
      </c>
      <c r="P194" s="223">
        <v>236.7</v>
      </c>
      <c r="Q194" s="233">
        <v>1.05964967666879</v>
      </c>
      <c r="R194" s="234">
        <v>-13.312837267382299</v>
      </c>
      <c r="S194" s="219">
        <v>8.0000000000000002E-3</v>
      </c>
      <c r="T194" s="219">
        <v>3.0000000000000001E-3</v>
      </c>
      <c r="U194" s="226">
        <v>0</v>
      </c>
      <c r="V194" s="227">
        <v>58</v>
      </c>
      <c r="W194" s="218"/>
      <c r="X194" s="226">
        <v>1047.613605</v>
      </c>
      <c r="Y194" s="217">
        <v>602.56983948565801</v>
      </c>
      <c r="Z194" s="228">
        <v>573</v>
      </c>
      <c r="AA194" s="233">
        <v>1.05160530451249</v>
      </c>
      <c r="AB194" s="234">
        <v>-40.2413646840307</v>
      </c>
      <c r="AC194" s="219">
        <v>1.6E-2</v>
      </c>
      <c r="AD194" s="219">
        <v>5.0000000000000001E-3</v>
      </c>
      <c r="AE194" s="227">
        <v>0</v>
      </c>
      <c r="AF194" s="227">
        <v>148</v>
      </c>
      <c r="AG194" s="218"/>
      <c r="AH194" s="231">
        <v>77.650000000000006</v>
      </c>
      <c r="AI194" s="217">
        <v>44.662982432402998</v>
      </c>
      <c r="AJ194" s="232" t="s">
        <v>53</v>
      </c>
      <c r="AK194" s="224">
        <v>0.70893622908576104</v>
      </c>
      <c r="AL194" s="225">
        <v>-41.957090907668302</v>
      </c>
      <c r="AM194" s="219"/>
      <c r="AN194" s="219"/>
      <c r="AO194" s="227">
        <v>32</v>
      </c>
      <c r="AP194" s="227">
        <v>54</v>
      </c>
      <c r="AQ194" s="218"/>
      <c r="AR194" s="231">
        <v>8</v>
      </c>
      <c r="AS194" s="217">
        <v>4.6014663162810496</v>
      </c>
      <c r="AT194" s="232" t="s">
        <v>54</v>
      </c>
      <c r="AU194" s="224">
        <v>0.28759164476756599</v>
      </c>
      <c r="AV194" s="225">
        <v>-22.376404040042701</v>
      </c>
      <c r="AW194" s="219"/>
      <c r="AX194" s="219"/>
      <c r="AY194" s="227">
        <v>20</v>
      </c>
      <c r="AZ194" s="227">
        <v>26</v>
      </c>
      <c r="BA194" s="218"/>
      <c r="BB194" s="235">
        <v>50.6</v>
      </c>
      <c r="BC194" s="231">
        <v>29.1042744504777</v>
      </c>
      <c r="BD194" s="232" t="s">
        <v>55</v>
      </c>
      <c r="BE194" s="239">
        <v>0.90950857657742701</v>
      </c>
      <c r="BF194" s="222">
        <v>-10.152808080085499</v>
      </c>
      <c r="BG194" s="219">
        <v>0</v>
      </c>
      <c r="BH194" s="219"/>
      <c r="BI194" s="227">
        <v>6</v>
      </c>
      <c r="BJ194" s="227">
        <v>17</v>
      </c>
      <c r="BK194" s="220"/>
      <c r="BL194" s="236">
        <v>0.8</v>
      </c>
      <c r="BM194" s="239">
        <v>0.75</v>
      </c>
      <c r="BN194" s="237"/>
      <c r="BO194" s="238">
        <v>0.95</v>
      </c>
      <c r="BP194" s="229">
        <v>1</v>
      </c>
      <c r="BQ194" s="237">
        <v>2.5000000000000001E-3</v>
      </c>
    </row>
    <row r="195" spans="1:69" s="207" customFormat="1" ht="22.35" customHeight="1" x14ac:dyDescent="0.2">
      <c r="A195" s="216" t="s">
        <v>220</v>
      </c>
      <c r="B195" s="216" t="s">
        <v>240</v>
      </c>
      <c r="C195" s="216" t="s">
        <v>259</v>
      </c>
      <c r="D195" s="217">
        <v>4.5380946794444403</v>
      </c>
      <c r="E195" s="218"/>
      <c r="F195" s="219">
        <v>6.0999999999999999E-2</v>
      </c>
      <c r="G195" s="219">
        <v>4.1000000000000002E-2</v>
      </c>
      <c r="H195" s="220"/>
      <c r="I195" s="221">
        <v>5</v>
      </c>
      <c r="J195" s="221">
        <v>5</v>
      </c>
      <c r="K195" s="218"/>
      <c r="L195" s="222">
        <v>3767.9607900000001</v>
      </c>
      <c r="M195" s="222">
        <v>1546.2014200000001</v>
      </c>
      <c r="N195" s="222">
        <v>5314.1622100000004</v>
      </c>
      <c r="O195" s="217">
        <v>1171.0117539131099</v>
      </c>
      <c r="P195" s="223">
        <v>287.5</v>
      </c>
      <c r="Q195" s="229">
        <v>4.0730843614368997</v>
      </c>
      <c r="R195" s="230">
        <v>3889.4273853884201</v>
      </c>
      <c r="S195" s="219">
        <v>0.01</v>
      </c>
      <c r="T195" s="219">
        <v>0.01</v>
      </c>
      <c r="U195" s="226">
        <v>0</v>
      </c>
      <c r="V195" s="227">
        <v>0</v>
      </c>
      <c r="W195" s="218"/>
      <c r="X195" s="226">
        <v>2620.8349450000001</v>
      </c>
      <c r="Y195" s="217">
        <v>577.51878929966301</v>
      </c>
      <c r="Z195" s="228">
        <v>573</v>
      </c>
      <c r="AA195" s="233">
        <v>1.0078861942402499</v>
      </c>
      <c r="AB195" s="234">
        <v>-218.72350544325801</v>
      </c>
      <c r="AC195" s="219">
        <v>1.0999999999999999E-2</v>
      </c>
      <c r="AD195" s="219">
        <v>1E-3</v>
      </c>
      <c r="AE195" s="227">
        <v>0</v>
      </c>
      <c r="AF195" s="227">
        <v>500</v>
      </c>
      <c r="AG195" s="218"/>
      <c r="AH195" s="231">
        <v>314.05</v>
      </c>
      <c r="AI195" s="217">
        <v>69.203051541103207</v>
      </c>
      <c r="AJ195" s="232" t="s">
        <v>53</v>
      </c>
      <c r="AK195" s="229">
        <v>1.09846113557307</v>
      </c>
      <c r="AL195" s="230">
        <v>1.84723843294029</v>
      </c>
      <c r="AM195" s="219">
        <v>0.02</v>
      </c>
      <c r="AN195" s="219">
        <v>0.01</v>
      </c>
      <c r="AO195" s="227">
        <v>0</v>
      </c>
      <c r="AP195" s="227">
        <v>30</v>
      </c>
      <c r="AQ195" s="218"/>
      <c r="AR195" s="231">
        <v>60.4</v>
      </c>
      <c r="AS195" s="217">
        <v>13.3095504317231</v>
      </c>
      <c r="AT195" s="232" t="s">
        <v>54</v>
      </c>
      <c r="AU195" s="239">
        <v>0.83184690198269196</v>
      </c>
      <c r="AV195" s="222">
        <v>-18.889590239253302</v>
      </c>
      <c r="AW195" s="219"/>
      <c r="AX195" s="219"/>
      <c r="AY195" s="227">
        <v>13</v>
      </c>
      <c r="AZ195" s="227">
        <v>27</v>
      </c>
      <c r="BA195" s="218"/>
      <c r="BB195" s="235">
        <v>192.8</v>
      </c>
      <c r="BC195" s="231">
        <v>42.484790119804799</v>
      </c>
      <c r="BD195" s="232" t="s">
        <v>55</v>
      </c>
      <c r="BE195" s="229">
        <v>1.3276496912439</v>
      </c>
      <c r="BF195" s="230">
        <v>34.220819521493503</v>
      </c>
      <c r="BG195" s="219">
        <v>0.02</v>
      </c>
      <c r="BH195" s="219">
        <v>0.02</v>
      </c>
      <c r="BI195" s="227">
        <v>0</v>
      </c>
      <c r="BJ195" s="227">
        <v>0</v>
      </c>
      <c r="BK195" s="220"/>
      <c r="BL195" s="236">
        <v>0.8</v>
      </c>
      <c r="BM195" s="239">
        <v>0.73</v>
      </c>
      <c r="BN195" s="237"/>
      <c r="BO195" s="238">
        <v>0.95</v>
      </c>
      <c r="BP195" s="229">
        <v>1</v>
      </c>
      <c r="BQ195" s="237">
        <v>2.5000000000000001E-3</v>
      </c>
    </row>
    <row r="196" spans="1:69" s="207" customFormat="1" ht="22.35" customHeight="1" x14ac:dyDescent="0.2">
      <c r="A196" s="216" t="s">
        <v>220</v>
      </c>
      <c r="B196" s="216" t="s">
        <v>260</v>
      </c>
      <c r="C196" s="216" t="s">
        <v>261</v>
      </c>
      <c r="D196" s="217">
        <v>9.6008684323333302</v>
      </c>
      <c r="E196" s="218"/>
      <c r="F196" s="219">
        <v>2.5000000000000001E-2</v>
      </c>
      <c r="G196" s="219">
        <v>1.4999999999999999E-2</v>
      </c>
      <c r="H196" s="220"/>
      <c r="I196" s="221">
        <v>3</v>
      </c>
      <c r="J196" s="221">
        <v>3</v>
      </c>
      <c r="K196" s="218"/>
      <c r="L196" s="222">
        <v>5148.34238</v>
      </c>
      <c r="M196" s="222">
        <v>1734.13166</v>
      </c>
      <c r="N196" s="222">
        <v>6882.4740400000001</v>
      </c>
      <c r="O196" s="217">
        <v>716.85953083385004</v>
      </c>
      <c r="P196" s="223">
        <v>270.3</v>
      </c>
      <c r="Q196" s="229">
        <v>2.6520885343464702</v>
      </c>
      <c r="R196" s="230">
        <v>4048.60874691241</v>
      </c>
      <c r="S196" s="219">
        <v>0.01</v>
      </c>
      <c r="T196" s="219">
        <v>0.01</v>
      </c>
      <c r="U196" s="226">
        <v>0</v>
      </c>
      <c r="V196" s="227">
        <v>0</v>
      </c>
      <c r="W196" s="218"/>
      <c r="X196" s="226">
        <v>4931.3633250000003</v>
      </c>
      <c r="Y196" s="217">
        <v>513.63721519111698</v>
      </c>
      <c r="Z196" s="228">
        <v>573</v>
      </c>
      <c r="AA196" s="239">
        <v>0.89640002651154804</v>
      </c>
      <c r="AB196" s="222">
        <v>-1076.05366700588</v>
      </c>
      <c r="AC196" s="219"/>
      <c r="AD196" s="219"/>
      <c r="AE196" s="227">
        <v>570</v>
      </c>
      <c r="AF196" s="227">
        <v>1671</v>
      </c>
      <c r="AG196" s="218"/>
      <c r="AH196" s="231">
        <v>468.6</v>
      </c>
      <c r="AI196" s="217">
        <v>48.8080847376131</v>
      </c>
      <c r="AJ196" s="232" t="s">
        <v>53</v>
      </c>
      <c r="AK196" s="239">
        <v>0.77473150377163602</v>
      </c>
      <c r="AL196" s="222">
        <v>-191.90134467080401</v>
      </c>
      <c r="AM196" s="219"/>
      <c r="AN196" s="219"/>
      <c r="AO196" s="227">
        <v>137</v>
      </c>
      <c r="AP196" s="227">
        <v>258</v>
      </c>
      <c r="AQ196" s="218"/>
      <c r="AR196" s="231">
        <v>85.8</v>
      </c>
      <c r="AS196" s="217">
        <v>8.9366915716756399</v>
      </c>
      <c r="AT196" s="232" t="s">
        <v>54</v>
      </c>
      <c r="AU196" s="224">
        <v>0.55854322322972805</v>
      </c>
      <c r="AV196" s="225">
        <v>-81.946373249727998</v>
      </c>
      <c r="AW196" s="219"/>
      <c r="AX196" s="219"/>
      <c r="AY196" s="227">
        <v>68</v>
      </c>
      <c r="AZ196" s="227">
        <v>99</v>
      </c>
      <c r="BA196" s="218"/>
      <c r="BB196" s="235">
        <v>322.60000000000002</v>
      </c>
      <c r="BC196" s="231">
        <v>33.601127051544999</v>
      </c>
      <c r="BD196" s="232" t="s">
        <v>55</v>
      </c>
      <c r="BE196" s="233">
        <v>1.0500352203607799</v>
      </c>
      <c r="BF196" s="234">
        <v>-12.8927464994559</v>
      </c>
      <c r="BG196" s="219">
        <v>1.4999999999999999E-2</v>
      </c>
      <c r="BH196" s="219">
        <v>5.0000000000000001E-3</v>
      </c>
      <c r="BI196" s="227">
        <v>0</v>
      </c>
      <c r="BJ196" s="227">
        <v>47</v>
      </c>
      <c r="BK196" s="220"/>
      <c r="BL196" s="236">
        <v>0.8</v>
      </c>
      <c r="BM196" s="239">
        <v>0.71</v>
      </c>
      <c r="BN196" s="237"/>
      <c r="BO196" s="238">
        <v>0.95</v>
      </c>
      <c r="BP196" s="229">
        <v>1</v>
      </c>
      <c r="BQ196" s="237">
        <v>2.5000000000000001E-3</v>
      </c>
    </row>
    <row r="197" spans="1:69" s="207" customFormat="1" ht="22.35" customHeight="1" x14ac:dyDescent="0.2">
      <c r="A197" s="216" t="s">
        <v>220</v>
      </c>
      <c r="B197" s="216" t="s">
        <v>260</v>
      </c>
      <c r="C197" s="216" t="s">
        <v>262</v>
      </c>
      <c r="D197" s="217">
        <v>4.5932318577777798</v>
      </c>
      <c r="E197" s="218"/>
      <c r="F197" s="219">
        <v>2.1000000000000001E-2</v>
      </c>
      <c r="G197" s="219">
        <v>0.01</v>
      </c>
      <c r="H197" s="220"/>
      <c r="I197" s="221">
        <v>5</v>
      </c>
      <c r="J197" s="221">
        <v>3</v>
      </c>
      <c r="K197" s="218"/>
      <c r="L197" s="222">
        <v>1825.9501299999999</v>
      </c>
      <c r="M197" s="222">
        <v>2400.7129500000001</v>
      </c>
      <c r="N197" s="222">
        <v>4226.6630800000003</v>
      </c>
      <c r="O197" s="217">
        <v>920.193713461892</v>
      </c>
      <c r="P197" s="223">
        <v>214.857</v>
      </c>
      <c r="Q197" s="229">
        <v>4.2828193331466604</v>
      </c>
      <c r="R197" s="230">
        <v>3148.9813651449199</v>
      </c>
      <c r="S197" s="219">
        <v>0.01</v>
      </c>
      <c r="T197" s="219">
        <v>0.01</v>
      </c>
      <c r="U197" s="226">
        <v>0</v>
      </c>
      <c r="V197" s="227">
        <v>0</v>
      </c>
      <c r="W197" s="218"/>
      <c r="X197" s="226">
        <v>2609.2435650000002</v>
      </c>
      <c r="Y197" s="217">
        <v>568.062672599846</v>
      </c>
      <c r="Z197" s="228">
        <v>573</v>
      </c>
      <c r="AA197" s="233">
        <v>0.99138337277459998</v>
      </c>
      <c r="AB197" s="234">
        <v>-264.81510012128098</v>
      </c>
      <c r="AC197" s="219">
        <v>8.9999999999999993E-3</v>
      </c>
      <c r="AD197" s="219"/>
      <c r="AE197" s="227">
        <v>23</v>
      </c>
      <c r="AF197" s="227">
        <v>550</v>
      </c>
      <c r="AG197" s="218"/>
      <c r="AH197" s="231">
        <v>230.15</v>
      </c>
      <c r="AI197" s="217">
        <v>50.106331908824501</v>
      </c>
      <c r="AJ197" s="232" t="s">
        <v>53</v>
      </c>
      <c r="AK197" s="239">
        <v>0.79533860172737303</v>
      </c>
      <c r="AL197" s="222">
        <v>-85.845978887680104</v>
      </c>
      <c r="AM197" s="219"/>
      <c r="AN197" s="219"/>
      <c r="AO197" s="227">
        <v>60</v>
      </c>
      <c r="AP197" s="227">
        <v>118</v>
      </c>
      <c r="AQ197" s="218"/>
      <c r="AR197" s="231">
        <v>29.6</v>
      </c>
      <c r="AS197" s="217">
        <v>6.4442642819952498</v>
      </c>
      <c r="AT197" s="232" t="s">
        <v>54</v>
      </c>
      <c r="AU197" s="224">
        <v>0.402766517624703</v>
      </c>
      <c r="AV197" s="225">
        <v>-50.652947019093403</v>
      </c>
      <c r="AW197" s="219"/>
      <c r="AX197" s="219"/>
      <c r="AY197" s="227">
        <v>44</v>
      </c>
      <c r="AZ197" s="227">
        <v>59</v>
      </c>
      <c r="BA197" s="218"/>
      <c r="BB197" s="235">
        <v>136</v>
      </c>
      <c r="BC197" s="231">
        <v>29.6087818361944</v>
      </c>
      <c r="BD197" s="232" t="s">
        <v>55</v>
      </c>
      <c r="BE197" s="233">
        <v>0.92527443238107399</v>
      </c>
      <c r="BF197" s="234">
        <v>-24.5058940381867</v>
      </c>
      <c r="BG197" s="219">
        <v>2E-3</v>
      </c>
      <c r="BH197" s="219"/>
      <c r="BI197" s="227">
        <v>11</v>
      </c>
      <c r="BJ197" s="227">
        <v>41</v>
      </c>
      <c r="BK197" s="220"/>
      <c r="BL197" s="236">
        <v>0.8</v>
      </c>
      <c r="BM197" s="233">
        <v>0.81</v>
      </c>
      <c r="BN197" s="237">
        <v>3.7500000000000001E-4</v>
      </c>
      <c r="BO197" s="238">
        <v>0.95</v>
      </c>
      <c r="BP197" s="229">
        <v>1</v>
      </c>
      <c r="BQ197" s="237">
        <v>2.5000000000000001E-3</v>
      </c>
    </row>
    <row r="198" spans="1:69" s="207" customFormat="1" ht="22.35" customHeight="1" x14ac:dyDescent="0.2">
      <c r="A198" s="216" t="s">
        <v>220</v>
      </c>
      <c r="B198" s="216" t="s">
        <v>260</v>
      </c>
      <c r="C198" s="216" t="s">
        <v>263</v>
      </c>
      <c r="D198" s="217">
        <v>1.9563433723333301</v>
      </c>
      <c r="E198" s="218"/>
      <c r="F198" s="219">
        <v>4.3999999999999997E-2</v>
      </c>
      <c r="G198" s="219">
        <v>3.1E-2</v>
      </c>
      <c r="H198" s="220"/>
      <c r="I198" s="221">
        <v>5</v>
      </c>
      <c r="J198" s="221">
        <v>5</v>
      </c>
      <c r="K198" s="218"/>
      <c r="L198" s="222">
        <v>303.43943999999999</v>
      </c>
      <c r="M198" s="222">
        <v>1778.1423199999999</v>
      </c>
      <c r="N198" s="222">
        <v>2081.58176</v>
      </c>
      <c r="O198" s="217">
        <v>1064.0165675605799</v>
      </c>
      <c r="P198" s="223">
        <v>241.29400000000001</v>
      </c>
      <c r="Q198" s="229">
        <v>4.4096271252520998</v>
      </c>
      <c r="R198" s="230">
        <v>1566.0988818892899</v>
      </c>
      <c r="S198" s="219">
        <v>0.01</v>
      </c>
      <c r="T198" s="219">
        <v>0.01</v>
      </c>
      <c r="U198" s="226">
        <v>0</v>
      </c>
      <c r="V198" s="227">
        <v>0</v>
      </c>
      <c r="W198" s="218"/>
      <c r="X198" s="226">
        <v>1316.923225</v>
      </c>
      <c r="Y198" s="217">
        <v>673.15546116492999</v>
      </c>
      <c r="Z198" s="228">
        <v>573</v>
      </c>
      <c r="AA198" s="229">
        <v>1.17479138074159</v>
      </c>
      <c r="AB198" s="230">
        <v>92.807875437078096</v>
      </c>
      <c r="AC198" s="219">
        <v>0.02</v>
      </c>
      <c r="AD198" s="219">
        <v>1.7000000000000001E-2</v>
      </c>
      <c r="AE198" s="227">
        <v>0</v>
      </c>
      <c r="AF198" s="227">
        <v>29</v>
      </c>
      <c r="AG198" s="218"/>
      <c r="AH198" s="231">
        <v>103.8</v>
      </c>
      <c r="AI198" s="217">
        <v>53.0581703948002</v>
      </c>
      <c r="AJ198" s="232" t="s">
        <v>53</v>
      </c>
      <c r="AK198" s="239">
        <v>0.84219318086984396</v>
      </c>
      <c r="AL198" s="222">
        <v>-30.788598643043802</v>
      </c>
      <c r="AM198" s="219"/>
      <c r="AN198" s="219"/>
      <c r="AO198" s="227">
        <v>20</v>
      </c>
      <c r="AP198" s="227">
        <v>45</v>
      </c>
      <c r="AQ198" s="218"/>
      <c r="AR198" s="231">
        <v>3.8</v>
      </c>
      <c r="AS198" s="217">
        <v>1.94239930154374</v>
      </c>
      <c r="AT198" s="232" t="s">
        <v>54</v>
      </c>
      <c r="AU198" s="224">
        <v>0.121399956346484</v>
      </c>
      <c r="AV198" s="225">
        <v>-30.381231401407899</v>
      </c>
      <c r="AW198" s="219"/>
      <c r="AX198" s="219"/>
      <c r="AY198" s="227">
        <v>28</v>
      </c>
      <c r="AZ198" s="227">
        <v>34</v>
      </c>
      <c r="BA198" s="218"/>
      <c r="BB198" s="235">
        <v>64.8</v>
      </c>
      <c r="BC198" s="231">
        <v>33.123019668430203</v>
      </c>
      <c r="BD198" s="232" t="s">
        <v>55</v>
      </c>
      <c r="BE198" s="233">
        <v>1.0350943646384401</v>
      </c>
      <c r="BF198" s="234">
        <v>-3.5624628028158898</v>
      </c>
      <c r="BG198" s="219">
        <v>1.4E-2</v>
      </c>
      <c r="BH198" s="219">
        <v>4.0000000000000001E-3</v>
      </c>
      <c r="BI198" s="227">
        <v>0</v>
      </c>
      <c r="BJ198" s="227">
        <v>11</v>
      </c>
      <c r="BK198" s="220"/>
      <c r="BL198" s="236">
        <v>0.8</v>
      </c>
      <c r="BM198" s="233">
        <v>0.83</v>
      </c>
      <c r="BN198" s="237">
        <v>1.1249999999999999E-3</v>
      </c>
      <c r="BO198" s="238">
        <v>0.95</v>
      </c>
      <c r="BP198" s="229">
        <v>1</v>
      </c>
      <c r="BQ198" s="237">
        <v>2.5000000000000001E-3</v>
      </c>
    </row>
    <row r="199" spans="1:69" s="207" customFormat="1" ht="22.35" customHeight="1" x14ac:dyDescent="0.2">
      <c r="A199" s="216" t="s">
        <v>220</v>
      </c>
      <c r="B199" s="216" t="s">
        <v>260</v>
      </c>
      <c r="C199" s="216" t="s">
        <v>264</v>
      </c>
      <c r="D199" s="217">
        <v>2.6404956531111101</v>
      </c>
      <c r="E199" s="218"/>
      <c r="F199" s="219">
        <v>0.01</v>
      </c>
      <c r="G199" s="219">
        <v>0.01</v>
      </c>
      <c r="H199" s="220"/>
      <c r="I199" s="221">
        <v>2</v>
      </c>
      <c r="J199" s="221">
        <v>2</v>
      </c>
      <c r="K199" s="218"/>
      <c r="L199" s="222">
        <v>-450.04138999999998</v>
      </c>
      <c r="M199" s="222">
        <v>1658.5014000000001</v>
      </c>
      <c r="N199" s="222">
        <v>1208.46001</v>
      </c>
      <c r="O199" s="217">
        <v>457.66407855137197</v>
      </c>
      <c r="P199" s="223">
        <v>244.16499999999999</v>
      </c>
      <c r="Q199" s="229">
        <v>1.8744049251586901</v>
      </c>
      <c r="R199" s="230">
        <v>504.42945971307302</v>
      </c>
      <c r="S199" s="219">
        <v>0.01</v>
      </c>
      <c r="T199" s="219">
        <v>0.01</v>
      </c>
      <c r="U199" s="226">
        <v>0</v>
      </c>
      <c r="V199" s="227">
        <v>0</v>
      </c>
      <c r="W199" s="218"/>
      <c r="X199" s="226">
        <v>1220.773635</v>
      </c>
      <c r="Y199" s="217">
        <v>462.327454908569</v>
      </c>
      <c r="Z199" s="228">
        <v>573</v>
      </c>
      <c r="AA199" s="239">
        <v>0.80685419704811401</v>
      </c>
      <c r="AB199" s="222">
        <v>-431.42674308207103</v>
      </c>
      <c r="AC199" s="219"/>
      <c r="AD199" s="219"/>
      <c r="AE199" s="227">
        <v>293</v>
      </c>
      <c r="AF199" s="227">
        <v>595</v>
      </c>
      <c r="AG199" s="218"/>
      <c r="AH199" s="231">
        <v>104.7</v>
      </c>
      <c r="AI199" s="217">
        <v>39.651646415944398</v>
      </c>
      <c r="AJ199" s="232" t="s">
        <v>53</v>
      </c>
      <c r="AK199" s="224">
        <v>0.62939121295149902</v>
      </c>
      <c r="AL199" s="225">
        <v>-76.955538951431905</v>
      </c>
      <c r="AM199" s="219"/>
      <c r="AN199" s="219"/>
      <c r="AO199" s="227">
        <v>62</v>
      </c>
      <c r="AP199" s="227">
        <v>95</v>
      </c>
      <c r="AQ199" s="218"/>
      <c r="AR199" s="231">
        <v>11.8</v>
      </c>
      <c r="AS199" s="217">
        <v>4.4688579532774</v>
      </c>
      <c r="AT199" s="232" t="s">
        <v>54</v>
      </c>
      <c r="AU199" s="224">
        <v>0.279303622079837</v>
      </c>
      <c r="AV199" s="225">
        <v>-34.334740051157297</v>
      </c>
      <c r="AW199" s="219"/>
      <c r="AX199" s="219"/>
      <c r="AY199" s="227">
        <v>31</v>
      </c>
      <c r="AZ199" s="227">
        <v>39</v>
      </c>
      <c r="BA199" s="218"/>
      <c r="BB199" s="235">
        <v>75.2</v>
      </c>
      <c r="BC199" s="231">
        <v>28.479501532750898</v>
      </c>
      <c r="BD199" s="232" t="s">
        <v>55</v>
      </c>
      <c r="BE199" s="239">
        <v>0.88998442289846602</v>
      </c>
      <c r="BF199" s="222">
        <v>-17.0694801023146</v>
      </c>
      <c r="BG199" s="219"/>
      <c r="BH199" s="219"/>
      <c r="BI199" s="227">
        <v>10</v>
      </c>
      <c r="BJ199" s="227">
        <v>27</v>
      </c>
      <c r="BK199" s="220"/>
      <c r="BL199" s="236">
        <v>0.8</v>
      </c>
      <c r="BM199" s="239">
        <v>0.74</v>
      </c>
      <c r="BN199" s="237"/>
      <c r="BO199" s="238">
        <v>0.95</v>
      </c>
      <c r="BP199" s="229">
        <v>1</v>
      </c>
      <c r="BQ199" s="237">
        <v>2.5000000000000001E-3</v>
      </c>
    </row>
    <row r="200" spans="1:69" s="207" customFormat="1" ht="22.35" customHeight="1" x14ac:dyDescent="0.2">
      <c r="A200" s="216" t="s">
        <v>220</v>
      </c>
      <c r="B200" s="216" t="s">
        <v>260</v>
      </c>
      <c r="C200" s="216" t="s">
        <v>265</v>
      </c>
      <c r="D200" s="217">
        <v>2.692140728</v>
      </c>
      <c r="E200" s="218"/>
      <c r="F200" s="219">
        <v>5.0999999999999997E-2</v>
      </c>
      <c r="G200" s="219">
        <v>3.5000000000000003E-2</v>
      </c>
      <c r="H200" s="220"/>
      <c r="I200" s="221">
        <v>6</v>
      </c>
      <c r="J200" s="221">
        <v>5</v>
      </c>
      <c r="K200" s="218"/>
      <c r="L200" s="222">
        <v>946.32518000000005</v>
      </c>
      <c r="M200" s="222">
        <v>39.442729999999997</v>
      </c>
      <c r="N200" s="222">
        <v>985.76791000000003</v>
      </c>
      <c r="O200" s="217">
        <v>366.16507441359897</v>
      </c>
      <c r="P200" s="223">
        <v>217.55099999999999</v>
      </c>
      <c r="Q200" s="229">
        <v>1.6831229202053699</v>
      </c>
      <c r="R200" s="230">
        <v>346.207634991296</v>
      </c>
      <c r="S200" s="219">
        <v>0.01</v>
      </c>
      <c r="T200" s="219">
        <v>0.01</v>
      </c>
      <c r="U200" s="226">
        <v>0</v>
      </c>
      <c r="V200" s="227">
        <v>0</v>
      </c>
      <c r="W200" s="218"/>
      <c r="X200" s="226">
        <v>1708.4290699999999</v>
      </c>
      <c r="Y200" s="217">
        <v>634.59872369643801</v>
      </c>
      <c r="Z200" s="228">
        <v>573</v>
      </c>
      <c r="AA200" s="229">
        <v>1.1075021355958801</v>
      </c>
      <c r="AB200" s="230">
        <v>23.9135422387521</v>
      </c>
      <c r="AC200" s="219">
        <v>0.02</v>
      </c>
      <c r="AD200" s="219">
        <v>1.0999999999999999E-2</v>
      </c>
      <c r="AE200" s="227">
        <v>0</v>
      </c>
      <c r="AF200" s="227">
        <v>143</v>
      </c>
      <c r="AG200" s="218"/>
      <c r="AH200" s="231">
        <v>155.9</v>
      </c>
      <c r="AI200" s="217">
        <v>57.909305549498001</v>
      </c>
      <c r="AJ200" s="232" t="s">
        <v>53</v>
      </c>
      <c r="AK200" s="233">
        <v>0.91919532618250799</v>
      </c>
      <c r="AL200" s="234">
        <v>-29.308513523487999</v>
      </c>
      <c r="AM200" s="219">
        <v>1E-3</v>
      </c>
      <c r="AN200" s="219"/>
      <c r="AO200" s="227">
        <v>14</v>
      </c>
      <c r="AP200" s="227">
        <v>48</v>
      </c>
      <c r="AQ200" s="218"/>
      <c r="AR200" s="231">
        <v>24.8</v>
      </c>
      <c r="AS200" s="217">
        <v>9.2119998564948702</v>
      </c>
      <c r="AT200" s="232" t="s">
        <v>54</v>
      </c>
      <c r="AU200" s="224">
        <v>0.57574999103092905</v>
      </c>
      <c r="AV200" s="225">
        <v>-22.237082799616001</v>
      </c>
      <c r="AW200" s="219"/>
      <c r="AX200" s="219"/>
      <c r="AY200" s="227">
        <v>19</v>
      </c>
      <c r="AZ200" s="227">
        <v>27</v>
      </c>
      <c r="BA200" s="218"/>
      <c r="BB200" s="235">
        <v>98.4</v>
      </c>
      <c r="BC200" s="231">
        <v>36.550838140286103</v>
      </c>
      <c r="BD200" s="232" t="s">
        <v>55</v>
      </c>
      <c r="BE200" s="229">
        <v>1.1422136918839401</v>
      </c>
      <c r="BF200" s="230">
        <v>4.3258344007679996</v>
      </c>
      <c r="BG200" s="219">
        <v>0.02</v>
      </c>
      <c r="BH200" s="219">
        <v>1.4E-2</v>
      </c>
      <c r="BI200" s="227">
        <v>0</v>
      </c>
      <c r="BJ200" s="227">
        <v>5</v>
      </c>
      <c r="BK200" s="220"/>
      <c r="BL200" s="236">
        <v>0.8</v>
      </c>
      <c r="BM200" s="233">
        <v>0.81</v>
      </c>
      <c r="BN200" s="237">
        <v>3.7500000000000001E-4</v>
      </c>
      <c r="BO200" s="238">
        <v>0.95</v>
      </c>
      <c r="BP200" s="229">
        <v>1</v>
      </c>
      <c r="BQ200" s="237">
        <v>2.5000000000000001E-3</v>
      </c>
    </row>
    <row r="201" spans="1:69" s="207" customFormat="1" ht="22.35" customHeight="1" x14ac:dyDescent="0.2">
      <c r="A201" s="216" t="s">
        <v>220</v>
      </c>
      <c r="B201" s="216" t="s">
        <v>260</v>
      </c>
      <c r="C201" s="216" t="s">
        <v>266</v>
      </c>
      <c r="D201" s="217">
        <v>3.8745519713333301</v>
      </c>
      <c r="E201" s="218"/>
      <c r="F201" s="219">
        <v>3.2000000000000001E-2</v>
      </c>
      <c r="G201" s="219">
        <v>2.8000000000000001E-2</v>
      </c>
      <c r="H201" s="220"/>
      <c r="I201" s="221">
        <v>4</v>
      </c>
      <c r="J201" s="221">
        <v>3</v>
      </c>
      <c r="K201" s="218"/>
      <c r="L201" s="222">
        <v>2059.1996300000001</v>
      </c>
      <c r="M201" s="222">
        <v>2575.2714099999998</v>
      </c>
      <c r="N201" s="222">
        <v>4634.4710400000004</v>
      </c>
      <c r="O201" s="217">
        <v>1196.1308234575499</v>
      </c>
      <c r="P201" s="223">
        <v>234.35599999999999</v>
      </c>
      <c r="Q201" s="229">
        <v>5.1039052700061003</v>
      </c>
      <c r="R201" s="230">
        <v>3642.9082840411802</v>
      </c>
      <c r="S201" s="219">
        <v>0.01</v>
      </c>
      <c r="T201" s="219">
        <v>0.01</v>
      </c>
      <c r="U201" s="226">
        <v>0</v>
      </c>
      <c r="V201" s="227">
        <v>0</v>
      </c>
      <c r="W201" s="218"/>
      <c r="X201" s="226">
        <v>2057.5146</v>
      </c>
      <c r="Y201" s="217">
        <v>531.03290786210698</v>
      </c>
      <c r="Z201" s="228">
        <v>573</v>
      </c>
      <c r="AA201" s="233">
        <v>0.92675900150455004</v>
      </c>
      <c r="AB201" s="234">
        <v>-366.85456129480599</v>
      </c>
      <c r="AC201" s="219">
        <v>2E-3</v>
      </c>
      <c r="AD201" s="219"/>
      <c r="AE201" s="227">
        <v>163</v>
      </c>
      <c r="AF201" s="227">
        <v>607</v>
      </c>
      <c r="AG201" s="218"/>
      <c r="AH201" s="231">
        <v>221.5</v>
      </c>
      <c r="AI201" s="217">
        <v>57.167900092401197</v>
      </c>
      <c r="AJ201" s="232" t="s">
        <v>53</v>
      </c>
      <c r="AK201" s="239">
        <v>0.90742698559366897</v>
      </c>
      <c r="AL201" s="222">
        <v>-45.053677419847801</v>
      </c>
      <c r="AM201" s="219">
        <v>0</v>
      </c>
      <c r="AN201" s="219"/>
      <c r="AO201" s="227">
        <v>23</v>
      </c>
      <c r="AP201" s="227">
        <v>72</v>
      </c>
      <c r="AQ201" s="218"/>
      <c r="AR201" s="231">
        <v>30.6</v>
      </c>
      <c r="AS201" s="217">
        <v>7.8976873265348804</v>
      </c>
      <c r="AT201" s="232" t="s">
        <v>54</v>
      </c>
      <c r="AU201" s="224">
        <v>0.49360545790843002</v>
      </c>
      <c r="AV201" s="225">
        <v>-37.096172043135901</v>
      </c>
      <c r="AW201" s="219"/>
      <c r="AX201" s="219"/>
      <c r="AY201" s="227">
        <v>32</v>
      </c>
      <c r="AZ201" s="227">
        <v>44</v>
      </c>
      <c r="BA201" s="218"/>
      <c r="BB201" s="235">
        <v>146.19999999999999</v>
      </c>
      <c r="BC201" s="231">
        <v>37.733395004555497</v>
      </c>
      <c r="BD201" s="232" t="s">
        <v>55</v>
      </c>
      <c r="BE201" s="229">
        <v>1.17916859389236</v>
      </c>
      <c r="BF201" s="230">
        <v>10.8076559137281</v>
      </c>
      <c r="BG201" s="219">
        <v>0.02</v>
      </c>
      <c r="BH201" s="219">
        <v>1.7999999999999999E-2</v>
      </c>
      <c r="BI201" s="227">
        <v>0</v>
      </c>
      <c r="BJ201" s="227">
        <v>3</v>
      </c>
      <c r="BK201" s="220"/>
      <c r="BL201" s="236">
        <v>0.8</v>
      </c>
      <c r="BM201" s="239">
        <v>0.73</v>
      </c>
      <c r="BN201" s="237"/>
      <c r="BO201" s="238">
        <v>0.95</v>
      </c>
      <c r="BP201" s="229">
        <v>1</v>
      </c>
      <c r="BQ201" s="237">
        <v>2.5000000000000001E-3</v>
      </c>
    </row>
    <row r="202" spans="1:69" s="207" customFormat="1" ht="22.35" customHeight="1" x14ac:dyDescent="0.2">
      <c r="A202" s="216" t="s">
        <v>220</v>
      </c>
      <c r="B202" s="216" t="s">
        <v>260</v>
      </c>
      <c r="C202" s="216" t="s">
        <v>267</v>
      </c>
      <c r="D202" s="217">
        <v>3.2393056717777799</v>
      </c>
      <c r="E202" s="218"/>
      <c r="F202" s="219">
        <v>4.7E-2</v>
      </c>
      <c r="G202" s="219">
        <v>3.2000000000000001E-2</v>
      </c>
      <c r="H202" s="220"/>
      <c r="I202" s="221">
        <v>5</v>
      </c>
      <c r="J202" s="221">
        <v>4</v>
      </c>
      <c r="K202" s="218"/>
      <c r="L202" s="222">
        <v>2424.6127799999999</v>
      </c>
      <c r="M202" s="222">
        <v>276.06004000000001</v>
      </c>
      <c r="N202" s="222">
        <v>2700.6728199999998</v>
      </c>
      <c r="O202" s="217">
        <v>833.71965897797804</v>
      </c>
      <c r="P202" s="223">
        <v>251.035</v>
      </c>
      <c r="Q202" s="229">
        <v>3.3211291611846101</v>
      </c>
      <c r="R202" s="230">
        <v>1812.68124354831</v>
      </c>
      <c r="S202" s="219">
        <v>0.01</v>
      </c>
      <c r="T202" s="219">
        <v>0.01</v>
      </c>
      <c r="U202" s="226">
        <v>0</v>
      </c>
      <c r="V202" s="227">
        <v>0</v>
      </c>
      <c r="W202" s="218"/>
      <c r="X202" s="226">
        <v>1933.5015450000001</v>
      </c>
      <c r="Y202" s="217">
        <v>596.88764843821195</v>
      </c>
      <c r="Z202" s="228">
        <v>573</v>
      </c>
      <c r="AA202" s="233">
        <v>1.0416887407298601</v>
      </c>
      <c r="AB202" s="234">
        <v>-93.383842722105499</v>
      </c>
      <c r="AC202" s="219">
        <v>1.4E-2</v>
      </c>
      <c r="AD202" s="219">
        <v>4.0000000000000001E-3</v>
      </c>
      <c r="AE202" s="227">
        <v>0</v>
      </c>
      <c r="AF202" s="227">
        <v>294</v>
      </c>
      <c r="AG202" s="218"/>
      <c r="AH202" s="231">
        <v>191.65</v>
      </c>
      <c r="AI202" s="217">
        <v>59.1639133255429</v>
      </c>
      <c r="AJ202" s="232" t="s">
        <v>53</v>
      </c>
      <c r="AK202" s="233">
        <v>0.939109735326078</v>
      </c>
      <c r="AL202" s="234">
        <v>-31.201272995624201</v>
      </c>
      <c r="AM202" s="219">
        <v>3.0000000000000001E-3</v>
      </c>
      <c r="AN202" s="219"/>
      <c r="AO202" s="227">
        <v>13</v>
      </c>
      <c r="AP202" s="227">
        <v>54</v>
      </c>
      <c r="AQ202" s="218"/>
      <c r="AR202" s="231">
        <v>33.1</v>
      </c>
      <c r="AS202" s="217">
        <v>10.2182391394494</v>
      </c>
      <c r="AT202" s="232" t="s">
        <v>54</v>
      </c>
      <c r="AU202" s="224">
        <v>0.63863994621558495</v>
      </c>
      <c r="AV202" s="225">
        <v>-23.497148697301402</v>
      </c>
      <c r="AW202" s="219"/>
      <c r="AX202" s="219"/>
      <c r="AY202" s="227">
        <v>19</v>
      </c>
      <c r="AZ202" s="227">
        <v>30</v>
      </c>
      <c r="BA202" s="218"/>
      <c r="BB202" s="235">
        <v>122.8</v>
      </c>
      <c r="BC202" s="231">
        <v>37.909358499226002</v>
      </c>
      <c r="BD202" s="232" t="s">
        <v>55</v>
      </c>
      <c r="BE202" s="229">
        <v>1.1846674531008099</v>
      </c>
      <c r="BF202" s="230">
        <v>9.6057026053972407</v>
      </c>
      <c r="BG202" s="219">
        <v>0.02</v>
      </c>
      <c r="BH202" s="219">
        <v>1.7999999999999999E-2</v>
      </c>
      <c r="BI202" s="227">
        <v>0</v>
      </c>
      <c r="BJ202" s="227">
        <v>2</v>
      </c>
      <c r="BK202" s="220"/>
      <c r="BL202" s="236">
        <v>0.8</v>
      </c>
      <c r="BM202" s="239">
        <v>0.74</v>
      </c>
      <c r="BN202" s="237"/>
      <c r="BO202" s="238">
        <v>0.95</v>
      </c>
      <c r="BP202" s="229">
        <v>1</v>
      </c>
      <c r="BQ202" s="237">
        <v>2.5000000000000001E-3</v>
      </c>
    </row>
    <row r="203" spans="1:69" s="207" customFormat="1" ht="22.35" customHeight="1" x14ac:dyDescent="0.2">
      <c r="A203" s="216" t="s">
        <v>220</v>
      </c>
      <c r="B203" s="216" t="s">
        <v>260</v>
      </c>
      <c r="C203" s="216" t="s">
        <v>268</v>
      </c>
      <c r="D203" s="217">
        <v>1.60228521777778</v>
      </c>
      <c r="E203" s="218"/>
      <c r="F203" s="219">
        <v>5.3999999999999999E-2</v>
      </c>
      <c r="G203" s="219">
        <v>0.05</v>
      </c>
      <c r="H203" s="220"/>
      <c r="I203" s="221">
        <v>5</v>
      </c>
      <c r="J203" s="221">
        <v>4</v>
      </c>
      <c r="K203" s="218"/>
      <c r="L203" s="222">
        <v>1407.8508899999999</v>
      </c>
      <c r="M203" s="222">
        <v>764.84924999999998</v>
      </c>
      <c r="N203" s="222">
        <v>2172.7001399999999</v>
      </c>
      <c r="O203" s="217">
        <v>1356.00086419903</v>
      </c>
      <c r="P203" s="223">
        <v>221.102</v>
      </c>
      <c r="Q203" s="229">
        <v>6.1329199383046298</v>
      </c>
      <c r="R203" s="230">
        <v>1785.83897488656</v>
      </c>
      <c r="S203" s="219">
        <v>0.01</v>
      </c>
      <c r="T203" s="219">
        <v>0.01</v>
      </c>
      <c r="U203" s="226">
        <v>0</v>
      </c>
      <c r="V203" s="227">
        <v>0</v>
      </c>
      <c r="W203" s="218"/>
      <c r="X203" s="226">
        <v>1481.2113300000001</v>
      </c>
      <c r="Y203" s="217">
        <v>924.43674419857905</v>
      </c>
      <c r="Z203" s="228">
        <v>573</v>
      </c>
      <c r="AA203" s="229">
        <v>1.6133276513064201</v>
      </c>
      <c r="AB203" s="230">
        <v>478.635832672959</v>
      </c>
      <c r="AC203" s="219">
        <v>0.02</v>
      </c>
      <c r="AD203" s="219">
        <v>0.02</v>
      </c>
      <c r="AE203" s="227">
        <v>0</v>
      </c>
      <c r="AF203" s="227">
        <v>0</v>
      </c>
      <c r="AG203" s="218"/>
      <c r="AH203" s="231">
        <v>95.7</v>
      </c>
      <c r="AI203" s="217">
        <v>59.7271939715746</v>
      </c>
      <c r="AJ203" s="232" t="s">
        <v>53</v>
      </c>
      <c r="AK203" s="233">
        <v>0.94805069796150099</v>
      </c>
      <c r="AL203" s="234">
        <v>-14.5308138422402</v>
      </c>
      <c r="AM203" s="219">
        <v>4.0000000000000001E-3</v>
      </c>
      <c r="AN203" s="219"/>
      <c r="AO203" s="227">
        <v>6</v>
      </c>
      <c r="AP203" s="227">
        <v>26</v>
      </c>
      <c r="AQ203" s="218"/>
      <c r="AR203" s="231">
        <v>6</v>
      </c>
      <c r="AS203" s="217">
        <v>3.74465165965985</v>
      </c>
      <c r="AT203" s="232" t="s">
        <v>54</v>
      </c>
      <c r="AU203" s="224">
        <v>0.23404072872874099</v>
      </c>
      <c r="AV203" s="225">
        <v>-21.995127325013399</v>
      </c>
      <c r="AW203" s="219"/>
      <c r="AX203" s="219"/>
      <c r="AY203" s="227">
        <v>20</v>
      </c>
      <c r="AZ203" s="227">
        <v>25</v>
      </c>
      <c r="BA203" s="218"/>
      <c r="BB203" s="235">
        <v>62.6</v>
      </c>
      <c r="BC203" s="231">
        <v>39.069198982451098</v>
      </c>
      <c r="BD203" s="232" t="s">
        <v>55</v>
      </c>
      <c r="BE203" s="229">
        <v>1.2209124682015999</v>
      </c>
      <c r="BF203" s="230">
        <v>6.6097453499732497</v>
      </c>
      <c r="BG203" s="219">
        <v>0.02</v>
      </c>
      <c r="BH203" s="219">
        <v>0.02</v>
      </c>
      <c r="BI203" s="227">
        <v>0</v>
      </c>
      <c r="BJ203" s="227">
        <v>0</v>
      </c>
      <c r="BK203" s="220"/>
      <c r="BL203" s="236">
        <v>0.8</v>
      </c>
      <c r="BM203" s="239">
        <v>0.79</v>
      </c>
      <c r="BN203" s="237"/>
      <c r="BO203" s="238">
        <v>0.95</v>
      </c>
      <c r="BP203" s="229">
        <v>1</v>
      </c>
      <c r="BQ203" s="237">
        <v>2.5000000000000001E-3</v>
      </c>
    </row>
    <row r="204" spans="1:69" s="207" customFormat="1" ht="22.35" customHeight="1" x14ac:dyDescent="0.2">
      <c r="A204" s="216" t="s">
        <v>220</v>
      </c>
      <c r="B204" s="216" t="s">
        <v>260</v>
      </c>
      <c r="C204" s="216" t="s">
        <v>269</v>
      </c>
      <c r="D204" s="217">
        <v>2.8902111342222199</v>
      </c>
      <c r="E204" s="218"/>
      <c r="F204" s="219">
        <v>0.03</v>
      </c>
      <c r="G204" s="219">
        <v>2.1999999999999999E-2</v>
      </c>
      <c r="H204" s="220"/>
      <c r="I204" s="221">
        <v>4</v>
      </c>
      <c r="J204" s="221">
        <v>4</v>
      </c>
      <c r="K204" s="218"/>
      <c r="L204" s="222">
        <v>1599.75488</v>
      </c>
      <c r="M204" s="222">
        <v>984.75071000000003</v>
      </c>
      <c r="N204" s="222">
        <v>2584.5055900000002</v>
      </c>
      <c r="O204" s="217">
        <v>894.22726229151795</v>
      </c>
      <c r="P204" s="223">
        <v>220.88900000000001</v>
      </c>
      <c r="Q204" s="229">
        <v>4.0483105192722002</v>
      </c>
      <c r="R204" s="230">
        <v>1887.35548482788</v>
      </c>
      <c r="S204" s="219">
        <v>0.01</v>
      </c>
      <c r="T204" s="219">
        <v>0.01</v>
      </c>
      <c r="U204" s="226">
        <v>0</v>
      </c>
      <c r="V204" s="227">
        <v>0</v>
      </c>
      <c r="W204" s="218"/>
      <c r="X204" s="226">
        <v>1849.9044349999999</v>
      </c>
      <c r="Y204" s="217">
        <v>640.05858018321703</v>
      </c>
      <c r="Z204" s="228">
        <v>573</v>
      </c>
      <c r="AA204" s="229">
        <v>1.1170306809480199</v>
      </c>
      <c r="AB204" s="230">
        <v>41.453084939009599</v>
      </c>
      <c r="AC204" s="219">
        <v>0.02</v>
      </c>
      <c r="AD204" s="219">
        <v>1.2E-2</v>
      </c>
      <c r="AE204" s="227">
        <v>0</v>
      </c>
      <c r="AF204" s="227">
        <v>138</v>
      </c>
      <c r="AG204" s="218"/>
      <c r="AH204" s="231">
        <v>114.65</v>
      </c>
      <c r="AI204" s="217">
        <v>39.668382230785802</v>
      </c>
      <c r="AJ204" s="232" t="s">
        <v>53</v>
      </c>
      <c r="AK204" s="224">
        <v>0.62965686080612304</v>
      </c>
      <c r="AL204" s="225">
        <v>-84.184965189951797</v>
      </c>
      <c r="AM204" s="219"/>
      <c r="AN204" s="219"/>
      <c r="AO204" s="227">
        <v>68</v>
      </c>
      <c r="AP204" s="227">
        <v>104</v>
      </c>
      <c r="AQ204" s="218"/>
      <c r="AR204" s="231">
        <v>13.5</v>
      </c>
      <c r="AS204" s="217">
        <v>4.6709390328443803</v>
      </c>
      <c r="AT204" s="232" t="s">
        <v>54</v>
      </c>
      <c r="AU204" s="224">
        <v>0.29193368955277399</v>
      </c>
      <c r="AV204" s="225">
        <v>-36.997768937130601</v>
      </c>
      <c r="AW204" s="219"/>
      <c r="AX204" s="219"/>
      <c r="AY204" s="227">
        <v>33</v>
      </c>
      <c r="AZ204" s="227">
        <v>42</v>
      </c>
      <c r="BA204" s="218"/>
      <c r="BB204" s="235">
        <v>72.8</v>
      </c>
      <c r="BC204" s="231">
        <v>25.188471228968201</v>
      </c>
      <c r="BD204" s="232" t="s">
        <v>55</v>
      </c>
      <c r="BE204" s="239">
        <v>0.78713972590525605</v>
      </c>
      <c r="BF204" s="222">
        <v>-28.195537874261301</v>
      </c>
      <c r="BG204" s="219"/>
      <c r="BH204" s="219"/>
      <c r="BI204" s="227">
        <v>20</v>
      </c>
      <c r="BJ204" s="227">
        <v>39</v>
      </c>
      <c r="BK204" s="220"/>
      <c r="BL204" s="236">
        <v>0.8</v>
      </c>
      <c r="BM204" s="233">
        <v>0.82</v>
      </c>
      <c r="BN204" s="237">
        <v>7.5000000000000002E-4</v>
      </c>
      <c r="BO204" s="238">
        <v>0.95</v>
      </c>
      <c r="BP204" s="229">
        <v>1</v>
      </c>
      <c r="BQ204" s="237">
        <v>2.5000000000000001E-3</v>
      </c>
    </row>
    <row r="205" spans="1:69" s="207" customFormat="1" ht="22.35" customHeight="1" x14ac:dyDescent="0.2">
      <c r="A205" s="216" t="s">
        <v>220</v>
      </c>
      <c r="B205" s="216" t="s">
        <v>260</v>
      </c>
      <c r="C205" s="216" t="s">
        <v>270</v>
      </c>
      <c r="D205" s="217">
        <v>2.6579356497777802</v>
      </c>
      <c r="E205" s="218"/>
      <c r="F205" s="219">
        <v>5.7000000000000002E-2</v>
      </c>
      <c r="G205" s="219">
        <v>0.05</v>
      </c>
      <c r="H205" s="220"/>
      <c r="I205" s="221">
        <v>5</v>
      </c>
      <c r="J205" s="221">
        <v>4</v>
      </c>
      <c r="K205" s="218"/>
      <c r="L205" s="222">
        <v>788.83311000000003</v>
      </c>
      <c r="M205" s="222">
        <v>886.92492000000004</v>
      </c>
      <c r="N205" s="222">
        <v>1675.75803</v>
      </c>
      <c r="O205" s="217">
        <v>630.47351433813105</v>
      </c>
      <c r="P205" s="223">
        <v>221.102</v>
      </c>
      <c r="Q205" s="229">
        <v>2.85150525249944</v>
      </c>
      <c r="R205" s="230">
        <v>1034.0170522634101</v>
      </c>
      <c r="S205" s="219">
        <v>0.01</v>
      </c>
      <c r="T205" s="219">
        <v>0.01</v>
      </c>
      <c r="U205" s="226">
        <v>0</v>
      </c>
      <c r="V205" s="227">
        <v>0</v>
      </c>
      <c r="W205" s="218"/>
      <c r="X205" s="226">
        <v>1839.3642850000001</v>
      </c>
      <c r="Y205" s="217">
        <v>692.02739545398094</v>
      </c>
      <c r="Z205" s="228">
        <v>573</v>
      </c>
      <c r="AA205" s="229">
        <v>1.2077266936369599</v>
      </c>
      <c r="AB205" s="230">
        <v>176.251421963647</v>
      </c>
      <c r="AC205" s="219">
        <v>0.02</v>
      </c>
      <c r="AD205" s="219">
        <v>0.02</v>
      </c>
      <c r="AE205" s="227">
        <v>0</v>
      </c>
      <c r="AF205" s="227">
        <v>0</v>
      </c>
      <c r="AG205" s="218"/>
      <c r="AH205" s="231">
        <v>162.6</v>
      </c>
      <c r="AI205" s="217">
        <v>61.175295953306701</v>
      </c>
      <c r="AJ205" s="232" t="s">
        <v>53</v>
      </c>
      <c r="AK205" s="233">
        <v>0.97103644370328002</v>
      </c>
      <c r="AL205" s="234">
        <v>-20.2553409621122</v>
      </c>
      <c r="AM205" s="219">
        <v>7.0000000000000001E-3</v>
      </c>
      <c r="AN205" s="219"/>
      <c r="AO205" s="227">
        <v>5</v>
      </c>
      <c r="AP205" s="227">
        <v>39</v>
      </c>
      <c r="AQ205" s="218"/>
      <c r="AR205" s="231">
        <v>17</v>
      </c>
      <c r="AS205" s="217">
        <v>6.39594115132972</v>
      </c>
      <c r="AT205" s="232" t="s">
        <v>54</v>
      </c>
      <c r="AU205" s="224">
        <v>0.399746321958108</v>
      </c>
      <c r="AV205" s="225">
        <v>-29.4394516729174</v>
      </c>
      <c r="AW205" s="219"/>
      <c r="AX205" s="219"/>
      <c r="AY205" s="227">
        <v>26</v>
      </c>
      <c r="AZ205" s="227">
        <v>35</v>
      </c>
      <c r="BA205" s="218"/>
      <c r="BB205" s="235">
        <v>127.4</v>
      </c>
      <c r="BC205" s="231">
        <v>47.9319354517298</v>
      </c>
      <c r="BD205" s="232" t="s">
        <v>55</v>
      </c>
      <c r="BE205" s="229">
        <v>1.49787298286656</v>
      </c>
      <c r="BF205" s="230">
        <v>34.521096654165298</v>
      </c>
      <c r="BG205" s="219">
        <v>0.02</v>
      </c>
      <c r="BH205" s="219">
        <v>0.02</v>
      </c>
      <c r="BI205" s="227">
        <v>0</v>
      </c>
      <c r="BJ205" s="227">
        <v>0</v>
      </c>
      <c r="BK205" s="220"/>
      <c r="BL205" s="236">
        <v>0.8</v>
      </c>
      <c r="BM205" s="239">
        <v>0.78</v>
      </c>
      <c r="BN205" s="237"/>
      <c r="BO205" s="238">
        <v>0.95</v>
      </c>
      <c r="BP205" s="229">
        <v>1</v>
      </c>
      <c r="BQ205" s="237">
        <v>2.5000000000000001E-3</v>
      </c>
    </row>
    <row r="206" spans="1:69" s="207" customFormat="1" ht="22.35" customHeight="1" x14ac:dyDescent="0.2">
      <c r="A206" s="216" t="s">
        <v>220</v>
      </c>
      <c r="B206" s="216" t="s">
        <v>260</v>
      </c>
      <c r="C206" s="216" t="s">
        <v>271</v>
      </c>
      <c r="D206" s="217">
        <v>1.9523576782222201</v>
      </c>
      <c r="E206" s="218"/>
      <c r="F206" s="219">
        <v>0.01</v>
      </c>
      <c r="G206" s="219">
        <v>0.01</v>
      </c>
      <c r="H206" s="220"/>
      <c r="I206" s="221">
        <v>3</v>
      </c>
      <c r="J206" s="221">
        <v>3</v>
      </c>
      <c r="K206" s="218"/>
      <c r="L206" s="222">
        <v>816.61617999999999</v>
      </c>
      <c r="M206" s="222">
        <v>885.42791999999997</v>
      </c>
      <c r="N206" s="222">
        <v>1702.0441000000001</v>
      </c>
      <c r="O206" s="217">
        <v>871.78907788548599</v>
      </c>
      <c r="P206" s="223">
        <v>214.857</v>
      </c>
      <c r="Q206" s="229">
        <v>4.0575316507513701</v>
      </c>
      <c r="R206" s="230">
        <v>1243.9744366725899</v>
      </c>
      <c r="S206" s="219">
        <v>0.01</v>
      </c>
      <c r="T206" s="219">
        <v>0.01</v>
      </c>
      <c r="U206" s="226">
        <v>0</v>
      </c>
      <c r="V206" s="227">
        <v>0</v>
      </c>
      <c r="W206" s="218"/>
      <c r="X206" s="226">
        <v>630.02453500000001</v>
      </c>
      <c r="Y206" s="217">
        <v>322.69934040656301</v>
      </c>
      <c r="Z206" s="228">
        <v>573</v>
      </c>
      <c r="AA206" s="224">
        <v>0.56317511414758004</v>
      </c>
      <c r="AB206" s="225">
        <v>-591.596901986494</v>
      </c>
      <c r="AC206" s="219"/>
      <c r="AD206" s="219"/>
      <c r="AE206" s="227">
        <v>489</v>
      </c>
      <c r="AF206" s="227">
        <v>713</v>
      </c>
      <c r="AG206" s="218"/>
      <c r="AH206" s="231">
        <v>57</v>
      </c>
      <c r="AI206" s="217">
        <v>29.195469987806199</v>
      </c>
      <c r="AJ206" s="232" t="s">
        <v>53</v>
      </c>
      <c r="AK206" s="224">
        <v>0.46342015853660701</v>
      </c>
      <c r="AL206" s="225">
        <v>-77.314398830975804</v>
      </c>
      <c r="AM206" s="219"/>
      <c r="AN206" s="219"/>
      <c r="AO206" s="227">
        <v>66</v>
      </c>
      <c r="AP206" s="227">
        <v>91</v>
      </c>
      <c r="AQ206" s="218"/>
      <c r="AR206" s="231">
        <v>8.6</v>
      </c>
      <c r="AS206" s="217">
        <v>4.4049305595637502</v>
      </c>
      <c r="AT206" s="232" t="s">
        <v>54</v>
      </c>
      <c r="AU206" s="224">
        <v>0.275308159972734</v>
      </c>
      <c r="AV206" s="225">
        <v>-25.511593353898601</v>
      </c>
      <c r="AW206" s="219"/>
      <c r="AX206" s="219"/>
      <c r="AY206" s="227">
        <v>23</v>
      </c>
      <c r="AZ206" s="227">
        <v>29</v>
      </c>
      <c r="BA206" s="218"/>
      <c r="BB206" s="235">
        <v>37.6</v>
      </c>
      <c r="BC206" s="231">
        <v>19.258766167394999</v>
      </c>
      <c r="BD206" s="232" t="s">
        <v>55</v>
      </c>
      <c r="BE206" s="224">
        <v>0.60183644273109405</v>
      </c>
      <c r="BF206" s="225">
        <v>-30.623186707797299</v>
      </c>
      <c r="BG206" s="219"/>
      <c r="BH206" s="219"/>
      <c r="BI206" s="227">
        <v>25</v>
      </c>
      <c r="BJ206" s="227">
        <v>38</v>
      </c>
      <c r="BK206" s="220"/>
      <c r="BL206" s="236">
        <v>0.8</v>
      </c>
      <c r="BM206" s="233">
        <v>0.83</v>
      </c>
      <c r="BN206" s="237">
        <v>1.1249999999999999E-3</v>
      </c>
      <c r="BO206" s="238">
        <v>0.95</v>
      </c>
      <c r="BP206" s="229">
        <v>1</v>
      </c>
      <c r="BQ206" s="237">
        <v>2.5000000000000001E-3</v>
      </c>
    </row>
    <row r="207" spans="1:69" s="207" customFormat="1" ht="22.35" customHeight="1" x14ac:dyDescent="0.2">
      <c r="A207" s="216" t="s">
        <v>220</v>
      </c>
      <c r="B207" s="216" t="s">
        <v>260</v>
      </c>
      <c r="C207" s="216" t="s">
        <v>272</v>
      </c>
      <c r="D207" s="217">
        <v>9.0627591208888898</v>
      </c>
      <c r="E207" s="218"/>
      <c r="F207" s="219">
        <v>5.6000000000000001E-2</v>
      </c>
      <c r="G207" s="219">
        <v>4.2000000000000003E-2</v>
      </c>
      <c r="H207" s="220"/>
      <c r="I207" s="221">
        <v>5</v>
      </c>
      <c r="J207" s="221">
        <v>4</v>
      </c>
      <c r="K207" s="218"/>
      <c r="L207" s="222">
        <v>4781.7114000000001</v>
      </c>
      <c r="M207" s="222">
        <v>3040.3233399999999</v>
      </c>
      <c r="N207" s="222">
        <v>7822.0347400000001</v>
      </c>
      <c r="O207" s="217">
        <v>863.09639654560306</v>
      </c>
      <c r="P207" s="223">
        <v>241.29400000000001</v>
      </c>
      <c r="Q207" s="229">
        <v>3.57694926747289</v>
      </c>
      <c r="R207" s="230">
        <v>5434.0607159471901</v>
      </c>
      <c r="S207" s="219">
        <v>0.01</v>
      </c>
      <c r="T207" s="219">
        <v>0.01</v>
      </c>
      <c r="U207" s="226">
        <v>0</v>
      </c>
      <c r="V207" s="227">
        <v>0</v>
      </c>
      <c r="W207" s="218"/>
      <c r="X207" s="226">
        <v>5792.0798850000001</v>
      </c>
      <c r="Y207" s="217">
        <v>639.10778249084694</v>
      </c>
      <c r="Z207" s="228">
        <v>573</v>
      </c>
      <c r="AA207" s="229">
        <v>1.1153713481515699</v>
      </c>
      <c r="AB207" s="230">
        <v>121.36649891388799</v>
      </c>
      <c r="AC207" s="219">
        <v>0.02</v>
      </c>
      <c r="AD207" s="219">
        <v>1.2E-2</v>
      </c>
      <c r="AE207" s="227">
        <v>0</v>
      </c>
      <c r="AF207" s="227">
        <v>440</v>
      </c>
      <c r="AG207" s="218"/>
      <c r="AH207" s="231">
        <v>548.6</v>
      </c>
      <c r="AI207" s="217">
        <v>60.533441602295703</v>
      </c>
      <c r="AJ207" s="232" t="s">
        <v>53</v>
      </c>
      <c r="AK207" s="233">
        <v>0.96084827940151896</v>
      </c>
      <c r="AL207" s="234">
        <v>-74.881576480672194</v>
      </c>
      <c r="AM207" s="219">
        <v>6.0000000000000001E-3</v>
      </c>
      <c r="AN207" s="219"/>
      <c r="AO207" s="227">
        <v>23</v>
      </c>
      <c r="AP207" s="227">
        <v>137</v>
      </c>
      <c r="AQ207" s="218"/>
      <c r="AR207" s="231">
        <v>130.4</v>
      </c>
      <c r="AS207" s="217">
        <v>14.3885541103524</v>
      </c>
      <c r="AT207" s="232" t="s">
        <v>54</v>
      </c>
      <c r="AU207" s="239">
        <v>0.89928463189702801</v>
      </c>
      <c r="AV207" s="222">
        <v>-27.944527360170699</v>
      </c>
      <c r="AW207" s="219"/>
      <c r="AX207" s="219"/>
      <c r="AY207" s="227">
        <v>15</v>
      </c>
      <c r="AZ207" s="227">
        <v>44</v>
      </c>
      <c r="BA207" s="218"/>
      <c r="BB207" s="235">
        <v>387.8</v>
      </c>
      <c r="BC207" s="231">
        <v>42.790500644131001</v>
      </c>
      <c r="BD207" s="232" t="s">
        <v>55</v>
      </c>
      <c r="BE207" s="229">
        <v>1.33720314512909</v>
      </c>
      <c r="BF207" s="230">
        <v>71.110945279658594</v>
      </c>
      <c r="BG207" s="219">
        <v>0.02</v>
      </c>
      <c r="BH207" s="219">
        <v>0.02</v>
      </c>
      <c r="BI207" s="227">
        <v>0</v>
      </c>
      <c r="BJ207" s="227">
        <v>0</v>
      </c>
      <c r="BK207" s="220"/>
      <c r="BL207" s="236">
        <v>0.8</v>
      </c>
      <c r="BM207" s="239">
        <v>0.77</v>
      </c>
      <c r="BN207" s="237"/>
      <c r="BO207" s="238">
        <v>0.95</v>
      </c>
      <c r="BP207" s="229">
        <v>1</v>
      </c>
      <c r="BQ207" s="237">
        <v>2.5000000000000001E-3</v>
      </c>
    </row>
    <row r="208" spans="1:69" s="207" customFormat="1" ht="22.35" customHeight="1" x14ac:dyDescent="0.2">
      <c r="A208" s="216" t="s">
        <v>220</v>
      </c>
      <c r="B208" s="216" t="s">
        <v>260</v>
      </c>
      <c r="C208" s="216" t="s">
        <v>273</v>
      </c>
      <c r="D208" s="217">
        <v>3.7574485252222201</v>
      </c>
      <c r="E208" s="218"/>
      <c r="F208" s="219">
        <v>4.5999999999999999E-2</v>
      </c>
      <c r="G208" s="219">
        <v>3.5999999999999997E-2</v>
      </c>
      <c r="H208" s="220"/>
      <c r="I208" s="221">
        <v>5</v>
      </c>
      <c r="J208" s="221">
        <v>5</v>
      </c>
      <c r="K208" s="218"/>
      <c r="L208" s="222">
        <v>1983.7904699999999</v>
      </c>
      <c r="M208" s="222">
        <v>1377.24298</v>
      </c>
      <c r="N208" s="222">
        <v>3361.0334499999999</v>
      </c>
      <c r="O208" s="217">
        <v>894.49886736671203</v>
      </c>
      <c r="P208" s="223">
        <v>224.04499999999999</v>
      </c>
      <c r="Q208" s="229">
        <v>3.9924964510107901</v>
      </c>
      <c r="R208" s="230">
        <v>2441.7468401219098</v>
      </c>
      <c r="S208" s="219">
        <v>0.01</v>
      </c>
      <c r="T208" s="219">
        <v>0.01</v>
      </c>
      <c r="U208" s="226">
        <v>0</v>
      </c>
      <c r="V208" s="227">
        <v>0</v>
      </c>
      <c r="W208" s="218"/>
      <c r="X208" s="226">
        <v>2896.0673550000001</v>
      </c>
      <c r="Y208" s="217">
        <v>770.75370043258897</v>
      </c>
      <c r="Z208" s="228">
        <v>573</v>
      </c>
      <c r="AA208" s="229">
        <v>1.34511989604291</v>
      </c>
      <c r="AB208" s="230">
        <v>544.97169359205395</v>
      </c>
      <c r="AC208" s="219">
        <v>0.02</v>
      </c>
      <c r="AD208" s="219">
        <v>0.02</v>
      </c>
      <c r="AE208" s="227">
        <v>0</v>
      </c>
      <c r="AF208" s="227">
        <v>0</v>
      </c>
      <c r="AG208" s="218"/>
      <c r="AH208" s="231">
        <v>189.9</v>
      </c>
      <c r="AI208" s="217">
        <v>50.539614508429999</v>
      </c>
      <c r="AJ208" s="232" t="s">
        <v>53</v>
      </c>
      <c r="AK208" s="239">
        <v>0.80221610330841298</v>
      </c>
      <c r="AL208" s="222">
        <v>-68.597428741187798</v>
      </c>
      <c r="AM208" s="219"/>
      <c r="AN208" s="219"/>
      <c r="AO208" s="227">
        <v>47</v>
      </c>
      <c r="AP208" s="227">
        <v>95</v>
      </c>
      <c r="AQ208" s="218"/>
      <c r="AR208" s="231">
        <v>32.4</v>
      </c>
      <c r="AS208" s="217">
        <v>8.6228726175520407</v>
      </c>
      <c r="AT208" s="232" t="s">
        <v>54</v>
      </c>
      <c r="AU208" s="224">
        <v>0.53892953859700199</v>
      </c>
      <c r="AV208" s="225">
        <v>-33.250140632682601</v>
      </c>
      <c r="AW208" s="219"/>
      <c r="AX208" s="219"/>
      <c r="AY208" s="227">
        <v>28</v>
      </c>
      <c r="AZ208" s="227">
        <v>40</v>
      </c>
      <c r="BA208" s="218"/>
      <c r="BB208" s="235">
        <v>127.4</v>
      </c>
      <c r="BC208" s="231">
        <v>33.905986773954602</v>
      </c>
      <c r="BD208" s="232" t="s">
        <v>55</v>
      </c>
      <c r="BE208" s="233">
        <v>1.05956208668608</v>
      </c>
      <c r="BF208" s="234">
        <v>-3.9002812653652401</v>
      </c>
      <c r="BG208" s="219">
        <v>1.6E-2</v>
      </c>
      <c r="BH208" s="219">
        <v>6.0000000000000001E-3</v>
      </c>
      <c r="BI208" s="227">
        <v>0</v>
      </c>
      <c r="BJ208" s="227">
        <v>17</v>
      </c>
      <c r="BK208" s="220"/>
      <c r="BL208" s="236">
        <v>0.8</v>
      </c>
      <c r="BM208" s="233">
        <v>0.81</v>
      </c>
      <c r="BN208" s="237">
        <v>3.7500000000000001E-4</v>
      </c>
      <c r="BO208" s="238">
        <v>0.95</v>
      </c>
      <c r="BP208" s="229">
        <v>1</v>
      </c>
      <c r="BQ208" s="237">
        <v>2.5000000000000001E-3</v>
      </c>
    </row>
    <row r="209" spans="1:69" s="207" customFormat="1" ht="22.35" customHeight="1" x14ac:dyDescent="0.2">
      <c r="A209" s="216" t="s">
        <v>220</v>
      </c>
      <c r="B209" s="216" t="s">
        <v>260</v>
      </c>
      <c r="C209" s="216" t="s">
        <v>274</v>
      </c>
      <c r="D209" s="217">
        <v>2.624758167</v>
      </c>
      <c r="E209" s="218"/>
      <c r="F209" s="219">
        <v>5.3999999999999999E-2</v>
      </c>
      <c r="G209" s="219">
        <v>3.5999999999999997E-2</v>
      </c>
      <c r="H209" s="220"/>
      <c r="I209" s="221">
        <v>5</v>
      </c>
      <c r="J209" s="221">
        <v>4</v>
      </c>
      <c r="K209" s="218"/>
      <c r="L209" s="222">
        <v>1598.05528</v>
      </c>
      <c r="M209" s="222">
        <v>252.75029000000001</v>
      </c>
      <c r="N209" s="222">
        <v>1850.80557</v>
      </c>
      <c r="O209" s="217">
        <v>705.13375032771205</v>
      </c>
      <c r="P209" s="223">
        <v>262.75900000000001</v>
      </c>
      <c r="Q209" s="229">
        <v>2.6835760157700101</v>
      </c>
      <c r="R209" s="230">
        <v>1097.6762863265899</v>
      </c>
      <c r="S209" s="219">
        <v>0.01</v>
      </c>
      <c r="T209" s="219">
        <v>0.01</v>
      </c>
      <c r="U209" s="226">
        <v>0</v>
      </c>
      <c r="V209" s="227">
        <v>0</v>
      </c>
      <c r="W209" s="218"/>
      <c r="X209" s="226">
        <v>1477.14858</v>
      </c>
      <c r="Y209" s="217">
        <v>562.77511527407705</v>
      </c>
      <c r="Z209" s="228">
        <v>573</v>
      </c>
      <c r="AA209" s="233">
        <v>0.98215552403852902</v>
      </c>
      <c r="AB209" s="234">
        <v>-165.20460122257199</v>
      </c>
      <c r="AC209" s="219">
        <v>8.0000000000000002E-3</v>
      </c>
      <c r="AD209" s="219"/>
      <c r="AE209" s="227">
        <v>27</v>
      </c>
      <c r="AF209" s="227">
        <v>328</v>
      </c>
      <c r="AG209" s="218"/>
      <c r="AH209" s="231">
        <v>174.85</v>
      </c>
      <c r="AI209" s="217">
        <v>66.615660900999103</v>
      </c>
      <c r="AJ209" s="232" t="s">
        <v>53</v>
      </c>
      <c r="AK209" s="233">
        <v>1.057391442873</v>
      </c>
      <c r="AL209" s="234">
        <v>-5.7228628569320099</v>
      </c>
      <c r="AM209" s="219">
        <v>1.6E-2</v>
      </c>
      <c r="AN209" s="219">
        <v>6.0000000000000001E-3</v>
      </c>
      <c r="AO209" s="227">
        <v>0</v>
      </c>
      <c r="AP209" s="227">
        <v>24</v>
      </c>
      <c r="AQ209" s="218"/>
      <c r="AR209" s="231">
        <v>6.6</v>
      </c>
      <c r="AS209" s="217">
        <v>2.5145173688681401</v>
      </c>
      <c r="AT209" s="232" t="s">
        <v>54</v>
      </c>
      <c r="AU209" s="224">
        <v>0.15715733555425901</v>
      </c>
      <c r="AV209" s="225">
        <v>-39.259774693823999</v>
      </c>
      <c r="AW209" s="219"/>
      <c r="AX209" s="219"/>
      <c r="AY209" s="227">
        <v>36</v>
      </c>
      <c r="AZ209" s="227">
        <v>44</v>
      </c>
      <c r="BA209" s="218"/>
      <c r="BB209" s="235">
        <v>107</v>
      </c>
      <c r="BC209" s="231">
        <v>40.7656603740744</v>
      </c>
      <c r="BD209" s="232" t="s">
        <v>55</v>
      </c>
      <c r="BE209" s="229">
        <v>1.2739268866898199</v>
      </c>
      <c r="BF209" s="230">
        <v>15.280450612352</v>
      </c>
      <c r="BG209" s="219">
        <v>0.02</v>
      </c>
      <c r="BH209" s="219">
        <v>0.02</v>
      </c>
      <c r="BI209" s="227">
        <v>0</v>
      </c>
      <c r="BJ209" s="227">
        <v>0</v>
      </c>
      <c r="BK209" s="220"/>
      <c r="BL209" s="236">
        <v>0.8</v>
      </c>
      <c r="BM209" s="239">
        <v>0.75</v>
      </c>
      <c r="BN209" s="237"/>
      <c r="BO209" s="238">
        <v>0.95</v>
      </c>
      <c r="BP209" s="229">
        <v>1</v>
      </c>
      <c r="BQ209" s="237">
        <v>2.5000000000000001E-3</v>
      </c>
    </row>
    <row r="210" spans="1:69" s="207" customFormat="1" ht="22.35" customHeight="1" x14ac:dyDescent="0.2">
      <c r="A210" s="216" t="s">
        <v>275</v>
      </c>
      <c r="B210" s="216" t="s">
        <v>276</v>
      </c>
      <c r="C210" s="216" t="s">
        <v>277</v>
      </c>
      <c r="D210" s="217">
        <v>3.8480691394444402</v>
      </c>
      <c r="E210" s="218"/>
      <c r="F210" s="219">
        <v>5.6000000000000001E-2</v>
      </c>
      <c r="G210" s="219">
        <v>0.05</v>
      </c>
      <c r="H210" s="220"/>
      <c r="I210" s="221">
        <v>5</v>
      </c>
      <c r="J210" s="221">
        <v>4</v>
      </c>
      <c r="K210" s="218"/>
      <c r="L210" s="222">
        <v>4395.6217200000001</v>
      </c>
      <c r="M210" s="222">
        <v>727.75397999999996</v>
      </c>
      <c r="N210" s="222">
        <v>5123.3756999999996</v>
      </c>
      <c r="O210" s="217">
        <v>1331.41466910849</v>
      </c>
      <c r="P210" s="223">
        <v>287.5</v>
      </c>
      <c r="Q210" s="229">
        <v>4.6310075447251799</v>
      </c>
      <c r="R210" s="230">
        <v>3915.2743936714201</v>
      </c>
      <c r="S210" s="219">
        <v>0.01</v>
      </c>
      <c r="T210" s="219">
        <v>0.01</v>
      </c>
      <c r="U210" s="226">
        <v>0</v>
      </c>
      <c r="V210" s="227">
        <v>0</v>
      </c>
      <c r="W210" s="218"/>
      <c r="X210" s="226">
        <v>3554.1077300000002</v>
      </c>
      <c r="Y210" s="217">
        <v>923.60807490925595</v>
      </c>
      <c r="Z210" s="228">
        <v>573</v>
      </c>
      <c r="AA210" s="229">
        <v>1.6118814570842199</v>
      </c>
      <c r="AB210" s="230">
        <v>1146.3093003433801</v>
      </c>
      <c r="AC210" s="219">
        <v>0.02</v>
      </c>
      <c r="AD210" s="219">
        <v>0.02</v>
      </c>
      <c r="AE210" s="227">
        <v>0</v>
      </c>
      <c r="AF210" s="227">
        <v>0</v>
      </c>
      <c r="AG210" s="218"/>
      <c r="AH210" s="231">
        <v>233.25</v>
      </c>
      <c r="AI210" s="217">
        <v>60.614815261265001</v>
      </c>
      <c r="AJ210" s="232" t="s">
        <v>53</v>
      </c>
      <c r="AK210" s="233">
        <v>0.96213992478198396</v>
      </c>
      <c r="AL210" s="234">
        <v>-31.481764517219698</v>
      </c>
      <c r="AM210" s="219">
        <v>6.0000000000000001E-3</v>
      </c>
      <c r="AN210" s="219"/>
      <c r="AO210" s="227">
        <v>10</v>
      </c>
      <c r="AP210" s="227">
        <v>58</v>
      </c>
      <c r="AQ210" s="218"/>
      <c r="AR210" s="231">
        <v>42.7</v>
      </c>
      <c r="AS210" s="217">
        <v>11.096474219318401</v>
      </c>
      <c r="AT210" s="232" t="s">
        <v>54</v>
      </c>
      <c r="AU210" s="224">
        <v>0.69352963870739903</v>
      </c>
      <c r="AV210" s="225">
        <v>-24.5334640043733</v>
      </c>
      <c r="AW210" s="219"/>
      <c r="AX210" s="219"/>
      <c r="AY210" s="227">
        <v>19</v>
      </c>
      <c r="AZ210" s="227">
        <v>32</v>
      </c>
      <c r="BA210" s="218"/>
      <c r="BB210" s="235">
        <v>185.6</v>
      </c>
      <c r="BC210" s="231">
        <v>48.231981618395601</v>
      </c>
      <c r="BD210" s="232" t="s">
        <v>55</v>
      </c>
      <c r="BE210" s="229">
        <v>1.5072494255748601</v>
      </c>
      <c r="BF210" s="230">
        <v>51.133071991253502</v>
      </c>
      <c r="BG210" s="219">
        <v>0.02</v>
      </c>
      <c r="BH210" s="219">
        <v>0.02</v>
      </c>
      <c r="BI210" s="227">
        <v>0</v>
      </c>
      <c r="BJ210" s="227">
        <v>0</v>
      </c>
      <c r="BK210" s="220"/>
      <c r="BL210" s="236">
        <v>0.8</v>
      </c>
      <c r="BM210" s="239">
        <v>0.78</v>
      </c>
      <c r="BN210" s="237"/>
      <c r="BO210" s="238">
        <v>0.95</v>
      </c>
      <c r="BP210" s="229">
        <v>1</v>
      </c>
      <c r="BQ210" s="237">
        <v>2.5000000000000001E-3</v>
      </c>
    </row>
    <row r="211" spans="1:69" s="207" customFormat="1" ht="22.35" customHeight="1" x14ac:dyDescent="0.2">
      <c r="A211" s="216" t="s">
        <v>275</v>
      </c>
      <c r="B211" s="216" t="s">
        <v>276</v>
      </c>
      <c r="C211" s="216" t="s">
        <v>278</v>
      </c>
      <c r="D211" s="217">
        <v>2.98956710155556</v>
      </c>
      <c r="E211" s="218"/>
      <c r="F211" s="219">
        <v>2.7E-2</v>
      </c>
      <c r="G211" s="219">
        <v>1.2E-2</v>
      </c>
      <c r="H211" s="220"/>
      <c r="I211" s="221">
        <v>5</v>
      </c>
      <c r="J211" s="221">
        <v>4</v>
      </c>
      <c r="K211" s="218"/>
      <c r="L211" s="222">
        <v>1721.72011</v>
      </c>
      <c r="M211" s="222">
        <v>1261.6985099999999</v>
      </c>
      <c r="N211" s="222">
        <v>2983.4186199999999</v>
      </c>
      <c r="O211" s="217">
        <v>997.94335388814102</v>
      </c>
      <c r="P211" s="223">
        <v>222.37200000000001</v>
      </c>
      <c r="Q211" s="229">
        <v>4.4877203689679499</v>
      </c>
      <c r="R211" s="230">
        <v>2257.4613710662302</v>
      </c>
      <c r="S211" s="219">
        <v>0.01</v>
      </c>
      <c r="T211" s="219">
        <v>0.01</v>
      </c>
      <c r="U211" s="226">
        <v>0</v>
      </c>
      <c r="V211" s="227">
        <v>0</v>
      </c>
      <c r="W211" s="218"/>
      <c r="X211" s="226">
        <v>1746.823625</v>
      </c>
      <c r="Y211" s="217">
        <v>584.30654528245202</v>
      </c>
      <c r="Z211" s="228">
        <v>573</v>
      </c>
      <c r="AA211" s="233">
        <v>1.01973219071981</v>
      </c>
      <c r="AB211" s="234">
        <v>-123.796343516939</v>
      </c>
      <c r="AC211" s="219">
        <v>1.2E-2</v>
      </c>
      <c r="AD211" s="219">
        <v>2E-3</v>
      </c>
      <c r="AE211" s="227">
        <v>0</v>
      </c>
      <c r="AF211" s="227">
        <v>309</v>
      </c>
      <c r="AG211" s="218"/>
      <c r="AH211" s="231">
        <v>126.55</v>
      </c>
      <c r="AI211" s="217">
        <v>42.330543420200399</v>
      </c>
      <c r="AJ211" s="232" t="s">
        <v>53</v>
      </c>
      <c r="AK211" s="224">
        <v>0.67191338762222796</v>
      </c>
      <c r="AL211" s="225">
        <v>-79.120258318616393</v>
      </c>
      <c r="AM211" s="219"/>
      <c r="AN211" s="219"/>
      <c r="AO211" s="227">
        <v>62</v>
      </c>
      <c r="AP211" s="227">
        <v>100</v>
      </c>
      <c r="AQ211" s="218"/>
      <c r="AR211" s="231">
        <v>5</v>
      </c>
      <c r="AS211" s="217">
        <v>1.6724829482497201</v>
      </c>
      <c r="AT211" s="232" t="s">
        <v>54</v>
      </c>
      <c r="AU211" s="224">
        <v>0.10453018426560801</v>
      </c>
      <c r="AV211" s="225">
        <v>-47.233716398378803</v>
      </c>
      <c r="AW211" s="219"/>
      <c r="AX211" s="219"/>
      <c r="AY211" s="227">
        <v>43</v>
      </c>
      <c r="AZ211" s="227">
        <v>53</v>
      </c>
      <c r="BA211" s="218"/>
      <c r="BB211" s="235">
        <v>91.8</v>
      </c>
      <c r="BC211" s="231">
        <v>30.706786929864801</v>
      </c>
      <c r="BD211" s="232" t="s">
        <v>55</v>
      </c>
      <c r="BE211" s="233">
        <v>0.95958709155827604</v>
      </c>
      <c r="BF211" s="234">
        <v>-12.667432796757501</v>
      </c>
      <c r="BG211" s="219">
        <v>5.0000000000000001E-3</v>
      </c>
      <c r="BH211" s="219"/>
      <c r="BI211" s="227">
        <v>4</v>
      </c>
      <c r="BJ211" s="227">
        <v>23</v>
      </c>
      <c r="BK211" s="220"/>
      <c r="BL211" s="236">
        <v>0.8</v>
      </c>
      <c r="BM211" s="233">
        <v>0.81</v>
      </c>
      <c r="BN211" s="237">
        <v>3.7500000000000001E-4</v>
      </c>
      <c r="BO211" s="238">
        <v>0.95</v>
      </c>
      <c r="BP211" s="229">
        <v>1</v>
      </c>
      <c r="BQ211" s="237">
        <v>2.5000000000000001E-3</v>
      </c>
    </row>
    <row r="212" spans="1:69" s="207" customFormat="1" ht="22.35" customHeight="1" x14ac:dyDescent="0.2">
      <c r="A212" s="216" t="s">
        <v>275</v>
      </c>
      <c r="B212" s="216" t="s">
        <v>276</v>
      </c>
      <c r="C212" s="216" t="s">
        <v>279</v>
      </c>
      <c r="D212" s="217">
        <v>3.33559711066667</v>
      </c>
      <c r="E212" s="218"/>
      <c r="F212" s="219">
        <v>0.03</v>
      </c>
      <c r="G212" s="219">
        <v>0.03</v>
      </c>
      <c r="H212" s="220"/>
      <c r="I212" s="221">
        <v>3</v>
      </c>
      <c r="J212" s="221">
        <v>3</v>
      </c>
      <c r="K212" s="218"/>
      <c r="L212" s="222">
        <v>1652.8897300000001</v>
      </c>
      <c r="M212" s="222">
        <v>-185.16573</v>
      </c>
      <c r="N212" s="222">
        <v>1467.7239999999999</v>
      </c>
      <c r="O212" s="217">
        <v>440.01836891705898</v>
      </c>
      <c r="P212" s="223">
        <v>230.685</v>
      </c>
      <c r="Q212" s="229">
        <v>1.9074424818131199</v>
      </c>
      <c r="R212" s="230">
        <v>627.46033633423804</v>
      </c>
      <c r="S212" s="219">
        <v>0.01</v>
      </c>
      <c r="T212" s="219">
        <v>0.01</v>
      </c>
      <c r="U212" s="226">
        <v>0</v>
      </c>
      <c r="V212" s="227">
        <v>0</v>
      </c>
      <c r="W212" s="218"/>
      <c r="X212" s="226">
        <v>2727.9404199999999</v>
      </c>
      <c r="Y212" s="217">
        <v>817.82671272753998</v>
      </c>
      <c r="Z212" s="228">
        <v>573</v>
      </c>
      <c r="AA212" s="229">
        <v>1.4272717499608001</v>
      </c>
      <c r="AB212" s="230">
        <v>640.80393830209402</v>
      </c>
      <c r="AC212" s="219">
        <v>0.02</v>
      </c>
      <c r="AD212" s="219">
        <v>0.02</v>
      </c>
      <c r="AE212" s="227">
        <v>0</v>
      </c>
      <c r="AF212" s="227">
        <v>0</v>
      </c>
      <c r="AG212" s="218"/>
      <c r="AH212" s="231">
        <v>125.5</v>
      </c>
      <c r="AI212" s="217">
        <v>37.624447988239503</v>
      </c>
      <c r="AJ212" s="232" t="s">
        <v>53</v>
      </c>
      <c r="AK212" s="224">
        <v>0.59721346013078602</v>
      </c>
      <c r="AL212" s="225">
        <v>-103.975738825424</v>
      </c>
      <c r="AM212" s="219"/>
      <c r="AN212" s="219"/>
      <c r="AO212" s="227">
        <v>85</v>
      </c>
      <c r="AP212" s="227">
        <v>127</v>
      </c>
      <c r="AQ212" s="218"/>
      <c r="AR212" s="231">
        <v>12</v>
      </c>
      <c r="AS212" s="217">
        <v>3.5975567797519901</v>
      </c>
      <c r="AT212" s="232" t="s">
        <v>54</v>
      </c>
      <c r="AU212" s="224">
        <v>0.22484729873449899</v>
      </c>
      <c r="AV212" s="225">
        <v>-46.279552717568102</v>
      </c>
      <c r="AW212" s="219"/>
      <c r="AX212" s="219"/>
      <c r="AY212" s="227">
        <v>42</v>
      </c>
      <c r="AZ212" s="227">
        <v>53</v>
      </c>
      <c r="BA212" s="218"/>
      <c r="BB212" s="235">
        <v>93.2</v>
      </c>
      <c r="BC212" s="231">
        <v>27.9410243227404</v>
      </c>
      <c r="BD212" s="232" t="s">
        <v>55</v>
      </c>
      <c r="BE212" s="239">
        <v>0.87315701008563795</v>
      </c>
      <c r="BF212" s="222">
        <v>-23.359105435136101</v>
      </c>
      <c r="BG212" s="219"/>
      <c r="BH212" s="219"/>
      <c r="BI212" s="227">
        <v>14</v>
      </c>
      <c r="BJ212" s="227">
        <v>35</v>
      </c>
      <c r="BK212" s="220"/>
      <c r="BL212" s="236">
        <v>0.8</v>
      </c>
      <c r="BM212" s="239">
        <v>0.75</v>
      </c>
      <c r="BN212" s="237"/>
      <c r="BO212" s="238">
        <v>0.95</v>
      </c>
      <c r="BP212" s="229">
        <v>1</v>
      </c>
      <c r="BQ212" s="237">
        <v>2.5000000000000001E-3</v>
      </c>
    </row>
    <row r="213" spans="1:69" s="207" customFormat="1" ht="22.35" customHeight="1" x14ac:dyDescent="0.2">
      <c r="A213" s="216" t="s">
        <v>275</v>
      </c>
      <c r="B213" s="216" t="s">
        <v>276</v>
      </c>
      <c r="C213" s="216" t="s">
        <v>280</v>
      </c>
      <c r="D213" s="217">
        <v>3.7485562538888901</v>
      </c>
      <c r="E213" s="218"/>
      <c r="F213" s="219">
        <v>3.9E-2</v>
      </c>
      <c r="G213" s="219">
        <v>0.02</v>
      </c>
      <c r="H213" s="220"/>
      <c r="I213" s="221">
        <v>4</v>
      </c>
      <c r="J213" s="221">
        <v>3</v>
      </c>
      <c r="K213" s="218"/>
      <c r="L213" s="222">
        <v>1573.6742999999999</v>
      </c>
      <c r="M213" s="222">
        <v>1708.3847000000001</v>
      </c>
      <c r="N213" s="222">
        <v>3282.0590000000002</v>
      </c>
      <c r="O213" s="217">
        <v>875.55282026115299</v>
      </c>
      <c r="P213" s="223">
        <v>260.827</v>
      </c>
      <c r="Q213" s="229">
        <v>3.3568335343394402</v>
      </c>
      <c r="R213" s="230">
        <v>2214.38364721988</v>
      </c>
      <c r="S213" s="219">
        <v>0.01</v>
      </c>
      <c r="T213" s="219">
        <v>0.01</v>
      </c>
      <c r="U213" s="226">
        <v>0</v>
      </c>
      <c r="V213" s="227">
        <v>0</v>
      </c>
      <c r="W213" s="218"/>
      <c r="X213" s="226">
        <v>1895.7929549999999</v>
      </c>
      <c r="Y213" s="217">
        <v>505.73949718194399</v>
      </c>
      <c r="Z213" s="228">
        <v>573</v>
      </c>
      <c r="AA213" s="239">
        <v>0.88261692352869903</v>
      </c>
      <c r="AB213" s="222">
        <v>-449.73866995834101</v>
      </c>
      <c r="AC213" s="219"/>
      <c r="AD213" s="219"/>
      <c r="AE213" s="227">
        <v>253</v>
      </c>
      <c r="AF213" s="227">
        <v>682</v>
      </c>
      <c r="AG213" s="218"/>
      <c r="AH213" s="231">
        <v>233.2</v>
      </c>
      <c r="AI213" s="217">
        <v>62.210617689962604</v>
      </c>
      <c r="AJ213" s="232" t="s">
        <v>53</v>
      </c>
      <c r="AK213" s="233">
        <v>0.98747012206289797</v>
      </c>
      <c r="AL213" s="234">
        <v>-24.685676042540099</v>
      </c>
      <c r="AM213" s="219">
        <v>8.9999999999999993E-3</v>
      </c>
      <c r="AN213" s="219"/>
      <c r="AO213" s="227">
        <v>3</v>
      </c>
      <c r="AP213" s="227">
        <v>51</v>
      </c>
      <c r="AQ213" s="218"/>
      <c r="AR213" s="231">
        <v>26</v>
      </c>
      <c r="AS213" s="217">
        <v>6.9360036875601496</v>
      </c>
      <c r="AT213" s="232" t="s">
        <v>54</v>
      </c>
      <c r="AU213" s="224">
        <v>0.43350023047250902</v>
      </c>
      <c r="AV213" s="225">
        <v>-39.494774867946703</v>
      </c>
      <c r="AW213" s="219"/>
      <c r="AX213" s="219"/>
      <c r="AY213" s="227">
        <v>34</v>
      </c>
      <c r="AZ213" s="227">
        <v>46</v>
      </c>
      <c r="BA213" s="218"/>
      <c r="BB213" s="235">
        <v>132</v>
      </c>
      <c r="BC213" s="231">
        <v>35.213557182997697</v>
      </c>
      <c r="BD213" s="232" t="s">
        <v>55</v>
      </c>
      <c r="BE213" s="229">
        <v>1.10042366196868</v>
      </c>
      <c r="BF213" s="230">
        <v>1.01045026410662</v>
      </c>
      <c r="BG213" s="219">
        <v>0.02</v>
      </c>
      <c r="BH213" s="219">
        <v>0.01</v>
      </c>
      <c r="BI213" s="227">
        <v>0</v>
      </c>
      <c r="BJ213" s="227">
        <v>12</v>
      </c>
      <c r="BK213" s="220"/>
      <c r="BL213" s="236">
        <v>0.8</v>
      </c>
      <c r="BM213" s="239">
        <v>0.79</v>
      </c>
      <c r="BN213" s="237"/>
      <c r="BO213" s="238">
        <v>0.95</v>
      </c>
      <c r="BP213" s="229">
        <v>1</v>
      </c>
      <c r="BQ213" s="237">
        <v>2.5000000000000001E-3</v>
      </c>
    </row>
    <row r="214" spans="1:69" s="207" customFormat="1" ht="22.35" customHeight="1" x14ac:dyDescent="0.2">
      <c r="A214" s="216" t="s">
        <v>275</v>
      </c>
      <c r="B214" s="216" t="s">
        <v>276</v>
      </c>
      <c r="C214" s="216" t="s">
        <v>281</v>
      </c>
      <c r="D214" s="217">
        <v>3.10896044855556</v>
      </c>
      <c r="E214" s="218"/>
      <c r="F214" s="219">
        <v>2.5000000000000001E-2</v>
      </c>
      <c r="G214" s="219">
        <v>1.4999999999999999E-2</v>
      </c>
      <c r="H214" s="220"/>
      <c r="I214" s="221">
        <v>4</v>
      </c>
      <c r="J214" s="221">
        <v>4</v>
      </c>
      <c r="K214" s="218"/>
      <c r="L214" s="222">
        <v>2186.4463599999999</v>
      </c>
      <c r="M214" s="222">
        <v>2392.16777</v>
      </c>
      <c r="N214" s="222">
        <v>4578.6141299999999</v>
      </c>
      <c r="O214" s="217">
        <v>1472.71546414405</v>
      </c>
      <c r="P214" s="223">
        <v>237.98699999999999</v>
      </c>
      <c r="Q214" s="229">
        <v>6.1882181133593397</v>
      </c>
      <c r="R214" s="230">
        <v>3770.65188006473</v>
      </c>
      <c r="S214" s="219">
        <v>0.01</v>
      </c>
      <c r="T214" s="219">
        <v>0.01</v>
      </c>
      <c r="U214" s="226">
        <v>0</v>
      </c>
      <c r="V214" s="227">
        <v>0</v>
      </c>
      <c r="W214" s="218"/>
      <c r="X214" s="226">
        <v>1870.383435</v>
      </c>
      <c r="Y214" s="217">
        <v>601.61055952609297</v>
      </c>
      <c r="Z214" s="228">
        <v>573</v>
      </c>
      <c r="AA214" s="233">
        <v>1.0499311684574</v>
      </c>
      <c r="AB214" s="234">
        <v>-74.942861028390794</v>
      </c>
      <c r="AC214" s="219">
        <v>1.4999999999999999E-2</v>
      </c>
      <c r="AD214" s="219">
        <v>5.0000000000000001E-3</v>
      </c>
      <c r="AE214" s="227">
        <v>0</v>
      </c>
      <c r="AF214" s="227">
        <v>268</v>
      </c>
      <c r="AG214" s="218"/>
      <c r="AH214" s="231">
        <v>82.5</v>
      </c>
      <c r="AI214" s="217">
        <v>26.536201204595599</v>
      </c>
      <c r="AJ214" s="232" t="s">
        <v>53</v>
      </c>
      <c r="AK214" s="224">
        <v>0.421209542930089</v>
      </c>
      <c r="AL214" s="225">
        <v>-131.38404301882801</v>
      </c>
      <c r="AM214" s="219"/>
      <c r="AN214" s="219"/>
      <c r="AO214" s="227">
        <v>114</v>
      </c>
      <c r="AP214" s="227">
        <v>153</v>
      </c>
      <c r="AQ214" s="218"/>
      <c r="AR214" s="231">
        <v>5.8</v>
      </c>
      <c r="AS214" s="217">
        <v>1.8655753574139899</v>
      </c>
      <c r="AT214" s="232" t="s">
        <v>54</v>
      </c>
      <c r="AU214" s="224">
        <v>0.116598459838374</v>
      </c>
      <c r="AV214" s="225">
        <v>-48.519756957162798</v>
      </c>
      <c r="AW214" s="219"/>
      <c r="AX214" s="219"/>
      <c r="AY214" s="227">
        <v>44</v>
      </c>
      <c r="AZ214" s="227">
        <v>54</v>
      </c>
      <c r="BA214" s="218"/>
      <c r="BB214" s="235">
        <v>62.6</v>
      </c>
      <c r="BC214" s="231">
        <v>20.1353478231234</v>
      </c>
      <c r="BD214" s="232" t="s">
        <v>55</v>
      </c>
      <c r="BE214" s="224">
        <v>0.62922961947260803</v>
      </c>
      <c r="BF214" s="225">
        <v>-46.039513914325497</v>
      </c>
      <c r="BG214" s="219"/>
      <c r="BH214" s="219"/>
      <c r="BI214" s="227">
        <v>37</v>
      </c>
      <c r="BJ214" s="227">
        <v>57</v>
      </c>
      <c r="BK214" s="220"/>
      <c r="BL214" s="236">
        <v>0.8</v>
      </c>
      <c r="BM214" s="233">
        <v>0.88</v>
      </c>
      <c r="BN214" s="237">
        <v>3.0000000000000001E-3</v>
      </c>
      <c r="BO214" s="238">
        <v>0.95</v>
      </c>
      <c r="BP214" s="229">
        <v>1</v>
      </c>
      <c r="BQ214" s="237">
        <v>2.5000000000000001E-3</v>
      </c>
    </row>
    <row r="215" spans="1:69" s="207" customFormat="1" ht="22.35" customHeight="1" x14ac:dyDescent="0.2">
      <c r="A215" s="216" t="s">
        <v>275</v>
      </c>
      <c r="B215" s="216" t="s">
        <v>276</v>
      </c>
      <c r="C215" s="216" t="s">
        <v>282</v>
      </c>
      <c r="D215" s="217">
        <v>3.74723678633333</v>
      </c>
      <c r="E215" s="218"/>
      <c r="F215" s="219">
        <v>3.4000000000000002E-2</v>
      </c>
      <c r="G215" s="219">
        <v>0.03</v>
      </c>
      <c r="H215" s="220"/>
      <c r="I215" s="221">
        <v>5</v>
      </c>
      <c r="J215" s="221">
        <v>4</v>
      </c>
      <c r="K215" s="218"/>
      <c r="L215" s="222">
        <v>1372.8374699999999</v>
      </c>
      <c r="M215" s="222">
        <v>4610.31538</v>
      </c>
      <c r="N215" s="222">
        <v>5983.1528500000004</v>
      </c>
      <c r="O215" s="217">
        <v>1596.6839543797601</v>
      </c>
      <c r="P215" s="223">
        <v>287.5</v>
      </c>
      <c r="Q215" s="229">
        <v>5.5536833195817703</v>
      </c>
      <c r="R215" s="230">
        <v>4806.70786093065</v>
      </c>
      <c r="S215" s="219">
        <v>0.01</v>
      </c>
      <c r="T215" s="219">
        <v>0.01</v>
      </c>
      <c r="U215" s="226">
        <v>0</v>
      </c>
      <c r="V215" s="227">
        <v>0</v>
      </c>
      <c r="W215" s="218"/>
      <c r="X215" s="226">
        <v>2035.99938</v>
      </c>
      <c r="Y215" s="217">
        <v>543.33352710070506</v>
      </c>
      <c r="Z215" s="228">
        <v>573</v>
      </c>
      <c r="AA215" s="233">
        <v>0.94822605078656996</v>
      </c>
      <c r="AB215" s="234">
        <v>-308.70663299734599</v>
      </c>
      <c r="AC215" s="219">
        <v>4.0000000000000001E-3</v>
      </c>
      <c r="AD215" s="219"/>
      <c r="AE215" s="227">
        <v>112</v>
      </c>
      <c r="AF215" s="227">
        <v>541</v>
      </c>
      <c r="AG215" s="218"/>
      <c r="AH215" s="231">
        <v>132.44999999999999</v>
      </c>
      <c r="AI215" s="217">
        <v>35.346044979880297</v>
      </c>
      <c r="AJ215" s="232" t="s">
        <v>53</v>
      </c>
      <c r="AK215" s="224">
        <v>0.56104833301397306</v>
      </c>
      <c r="AL215" s="225">
        <v>-125.344901952588</v>
      </c>
      <c r="AM215" s="219"/>
      <c r="AN215" s="219"/>
      <c r="AO215" s="227">
        <v>104</v>
      </c>
      <c r="AP215" s="227">
        <v>151</v>
      </c>
      <c r="AQ215" s="218"/>
      <c r="AR215" s="231">
        <v>36.200000000000003</v>
      </c>
      <c r="AS215" s="217">
        <v>9.6604517045803409</v>
      </c>
      <c r="AT215" s="232" t="s">
        <v>54</v>
      </c>
      <c r="AU215" s="224">
        <v>0.60377823153627097</v>
      </c>
      <c r="AV215" s="225">
        <v>-29.271721130815902</v>
      </c>
      <c r="AW215" s="219"/>
      <c r="AX215" s="219"/>
      <c r="AY215" s="227">
        <v>24</v>
      </c>
      <c r="AZ215" s="227">
        <v>36</v>
      </c>
      <c r="BA215" s="218"/>
      <c r="BB215" s="235">
        <v>149</v>
      </c>
      <c r="BC215" s="231">
        <v>39.762632706698099</v>
      </c>
      <c r="BD215" s="232" t="s">
        <v>55</v>
      </c>
      <c r="BE215" s="229">
        <v>1.24258227208431</v>
      </c>
      <c r="BF215" s="230">
        <v>18.056557738368099</v>
      </c>
      <c r="BG215" s="219">
        <v>0.02</v>
      </c>
      <c r="BH215" s="219">
        <v>0.02</v>
      </c>
      <c r="BI215" s="227">
        <v>0</v>
      </c>
      <c r="BJ215" s="227">
        <v>0</v>
      </c>
      <c r="BK215" s="220"/>
      <c r="BL215" s="236">
        <v>0.8</v>
      </c>
      <c r="BM215" s="233">
        <v>0.84</v>
      </c>
      <c r="BN215" s="237">
        <v>1.5E-3</v>
      </c>
      <c r="BO215" s="238">
        <v>0.95</v>
      </c>
      <c r="BP215" s="229">
        <v>1</v>
      </c>
      <c r="BQ215" s="237">
        <v>2.5000000000000001E-3</v>
      </c>
    </row>
    <row r="216" spans="1:69" s="207" customFormat="1" ht="22.35" customHeight="1" x14ac:dyDescent="0.2">
      <c r="A216" s="216" t="s">
        <v>275</v>
      </c>
      <c r="B216" s="216" t="s">
        <v>276</v>
      </c>
      <c r="C216" s="216" t="s">
        <v>283</v>
      </c>
      <c r="D216" s="217">
        <v>4.8968438782222199</v>
      </c>
      <c r="E216" s="218"/>
      <c r="F216" s="219">
        <v>4.4999999999999998E-2</v>
      </c>
      <c r="G216" s="219">
        <v>3.5000000000000003E-2</v>
      </c>
      <c r="H216" s="220"/>
      <c r="I216" s="221">
        <v>4</v>
      </c>
      <c r="J216" s="221">
        <v>4</v>
      </c>
      <c r="K216" s="218"/>
      <c r="L216" s="222">
        <v>4595.4805900000001</v>
      </c>
      <c r="M216" s="222">
        <v>4195.9085100000002</v>
      </c>
      <c r="N216" s="222">
        <v>8791.3891000000003</v>
      </c>
      <c r="O216" s="217">
        <v>1795.31741640734</v>
      </c>
      <c r="P216" s="223">
        <v>287.5</v>
      </c>
      <c r="Q216" s="229">
        <v>6.24458231793857</v>
      </c>
      <c r="R216" s="230">
        <v>7254.0249644321302</v>
      </c>
      <c r="S216" s="219">
        <v>0.01</v>
      </c>
      <c r="T216" s="219">
        <v>0.01</v>
      </c>
      <c r="U216" s="226">
        <v>0</v>
      </c>
      <c r="V216" s="227">
        <v>0</v>
      </c>
      <c r="W216" s="218"/>
      <c r="X216" s="226">
        <v>2943.4045099999998</v>
      </c>
      <c r="Y216" s="217">
        <v>601.08195874698595</v>
      </c>
      <c r="Z216" s="228">
        <v>573</v>
      </c>
      <c r="AA216" s="233">
        <v>1.0490086540087</v>
      </c>
      <c r="AB216" s="234">
        <v>-120.629054105694</v>
      </c>
      <c r="AC216" s="219">
        <v>1.4999999999999999E-2</v>
      </c>
      <c r="AD216" s="219">
        <v>5.0000000000000001E-3</v>
      </c>
      <c r="AE216" s="227">
        <v>0</v>
      </c>
      <c r="AF216" s="227">
        <v>424</v>
      </c>
      <c r="AG216" s="218"/>
      <c r="AH216" s="231">
        <v>204.1</v>
      </c>
      <c r="AI216" s="217">
        <v>41.679907523230597</v>
      </c>
      <c r="AJ216" s="232" t="s">
        <v>53</v>
      </c>
      <c r="AK216" s="224">
        <v>0.66158583370207202</v>
      </c>
      <c r="AL216" s="225">
        <v>-132.783271446176</v>
      </c>
      <c r="AM216" s="219"/>
      <c r="AN216" s="219"/>
      <c r="AO216" s="227">
        <v>105</v>
      </c>
      <c r="AP216" s="227">
        <v>167</v>
      </c>
      <c r="AQ216" s="218"/>
      <c r="AR216" s="231">
        <v>56.3</v>
      </c>
      <c r="AS216" s="217">
        <v>11.497201340313</v>
      </c>
      <c r="AT216" s="232" t="s">
        <v>54</v>
      </c>
      <c r="AU216" s="224">
        <v>0.71857508376956203</v>
      </c>
      <c r="AV216" s="225">
        <v>-29.257656240298601</v>
      </c>
      <c r="AW216" s="219"/>
      <c r="AX216" s="219"/>
      <c r="AY216" s="227">
        <v>23</v>
      </c>
      <c r="AZ216" s="227">
        <v>38</v>
      </c>
      <c r="BA216" s="218"/>
      <c r="BB216" s="235">
        <v>190.2</v>
      </c>
      <c r="BC216" s="231">
        <v>38.841344492496098</v>
      </c>
      <c r="BD216" s="232" t="s">
        <v>55</v>
      </c>
      <c r="BE216" s="229">
        <v>1.2137920153905</v>
      </c>
      <c r="BF216" s="230">
        <v>19.084687519402799</v>
      </c>
      <c r="BG216" s="219">
        <v>0.02</v>
      </c>
      <c r="BH216" s="219">
        <v>0.02</v>
      </c>
      <c r="BI216" s="227">
        <v>0</v>
      </c>
      <c r="BJ216" s="227">
        <v>0</v>
      </c>
      <c r="BK216" s="220"/>
      <c r="BL216" s="236">
        <v>0.8</v>
      </c>
      <c r="BM216" s="239">
        <v>0.74</v>
      </c>
      <c r="BN216" s="237"/>
      <c r="BO216" s="238">
        <v>0.95</v>
      </c>
      <c r="BP216" s="229">
        <v>1</v>
      </c>
      <c r="BQ216" s="237">
        <v>2.5000000000000001E-3</v>
      </c>
    </row>
    <row r="217" spans="1:69" s="207" customFormat="1" ht="22.35" customHeight="1" x14ac:dyDescent="0.2">
      <c r="A217" s="216" t="s">
        <v>275</v>
      </c>
      <c r="B217" s="216" t="s">
        <v>276</v>
      </c>
      <c r="C217" s="216" t="s">
        <v>284</v>
      </c>
      <c r="D217" s="217">
        <v>2.87505723911111</v>
      </c>
      <c r="E217" s="218"/>
      <c r="F217" s="219">
        <v>0.03</v>
      </c>
      <c r="G217" s="219">
        <v>2.3E-2</v>
      </c>
      <c r="H217" s="220"/>
      <c r="I217" s="221">
        <v>3</v>
      </c>
      <c r="J217" s="221">
        <v>3</v>
      </c>
      <c r="K217" s="218"/>
      <c r="L217" s="222">
        <v>738.97694000000001</v>
      </c>
      <c r="M217" s="222">
        <v>1787.9275600000001</v>
      </c>
      <c r="N217" s="222">
        <v>2526.9045000000001</v>
      </c>
      <c r="O217" s="217">
        <v>878.90580598710096</v>
      </c>
      <c r="P217" s="223">
        <v>287.5</v>
      </c>
      <c r="Q217" s="229">
        <v>3.05706367299861</v>
      </c>
      <c r="R217" s="230">
        <v>1624.28027978107</v>
      </c>
      <c r="S217" s="219">
        <v>0.01</v>
      </c>
      <c r="T217" s="219">
        <v>0.01</v>
      </c>
      <c r="U217" s="226">
        <v>0</v>
      </c>
      <c r="V217" s="227">
        <v>0</v>
      </c>
      <c r="W217" s="218"/>
      <c r="X217" s="226">
        <v>1856.9513850000001</v>
      </c>
      <c r="Y217" s="217">
        <v>645.88327485755303</v>
      </c>
      <c r="Z217" s="228">
        <v>573</v>
      </c>
      <c r="AA217" s="229">
        <v>1.1271959421597799</v>
      </c>
      <c r="AB217" s="230">
        <v>57.9820695723527</v>
      </c>
      <c r="AC217" s="219">
        <v>0.02</v>
      </c>
      <c r="AD217" s="219">
        <v>1.2999999999999999E-2</v>
      </c>
      <c r="AE217" s="227">
        <v>0</v>
      </c>
      <c r="AF217" s="227">
        <v>120</v>
      </c>
      <c r="AG217" s="218"/>
      <c r="AH217" s="231">
        <v>111.55</v>
      </c>
      <c r="AI217" s="217">
        <v>38.799227536244899</v>
      </c>
      <c r="AJ217" s="232" t="s">
        <v>53</v>
      </c>
      <c r="AK217" s="224">
        <v>0.61586075454356903</v>
      </c>
      <c r="AL217" s="225">
        <v>-86.242437821888004</v>
      </c>
      <c r="AM217" s="219"/>
      <c r="AN217" s="219"/>
      <c r="AO217" s="227">
        <v>70</v>
      </c>
      <c r="AP217" s="227">
        <v>106</v>
      </c>
      <c r="AQ217" s="218"/>
      <c r="AR217" s="231">
        <v>22.6</v>
      </c>
      <c r="AS217" s="217">
        <v>7.8607130642683503</v>
      </c>
      <c r="AT217" s="232" t="s">
        <v>54</v>
      </c>
      <c r="AU217" s="224">
        <v>0.491294566516772</v>
      </c>
      <c r="AV217" s="225">
        <v>-27.633000081749302</v>
      </c>
      <c r="AW217" s="219"/>
      <c r="AX217" s="219"/>
      <c r="AY217" s="227">
        <v>24</v>
      </c>
      <c r="AZ217" s="227">
        <v>33</v>
      </c>
      <c r="BA217" s="218"/>
      <c r="BB217" s="235">
        <v>73</v>
      </c>
      <c r="BC217" s="231">
        <v>25.390798835910999</v>
      </c>
      <c r="BD217" s="232" t="s">
        <v>55</v>
      </c>
      <c r="BE217" s="239">
        <v>0.79346246362221995</v>
      </c>
      <c r="BF217" s="222">
        <v>-27.466000163498599</v>
      </c>
      <c r="BG217" s="219"/>
      <c r="BH217" s="219"/>
      <c r="BI217" s="227">
        <v>20</v>
      </c>
      <c r="BJ217" s="227">
        <v>38</v>
      </c>
      <c r="BK217" s="220"/>
      <c r="BL217" s="236">
        <v>0.8</v>
      </c>
      <c r="BM217" s="239">
        <v>0.73</v>
      </c>
      <c r="BN217" s="237"/>
      <c r="BO217" s="238">
        <v>0.95</v>
      </c>
      <c r="BP217" s="229">
        <v>1</v>
      </c>
      <c r="BQ217" s="237">
        <v>2.5000000000000001E-3</v>
      </c>
    </row>
    <row r="218" spans="1:69" s="207" customFormat="1" ht="22.35" customHeight="1" x14ac:dyDescent="0.2">
      <c r="A218" s="216" t="s">
        <v>275</v>
      </c>
      <c r="B218" s="216" t="s">
        <v>276</v>
      </c>
      <c r="C218" s="216" t="s">
        <v>285</v>
      </c>
      <c r="D218" s="217">
        <v>2.5461804328888902</v>
      </c>
      <c r="E218" s="218"/>
      <c r="F218" s="219">
        <v>3.5999999999999997E-2</v>
      </c>
      <c r="G218" s="219">
        <v>0.03</v>
      </c>
      <c r="H218" s="220"/>
      <c r="I218" s="221">
        <v>5</v>
      </c>
      <c r="J218" s="221">
        <v>4</v>
      </c>
      <c r="K218" s="218"/>
      <c r="L218" s="222">
        <v>3312.1167399999999</v>
      </c>
      <c r="M218" s="222">
        <v>2289.2093500000001</v>
      </c>
      <c r="N218" s="222">
        <v>5601.3260899999996</v>
      </c>
      <c r="O218" s="217">
        <v>2199.89362012524</v>
      </c>
      <c r="P218" s="223">
        <v>271.947</v>
      </c>
      <c r="Q218" s="229">
        <v>8.0894204390018594</v>
      </c>
      <c r="R218" s="230">
        <v>4845.1967558403403</v>
      </c>
      <c r="S218" s="219">
        <v>0.01</v>
      </c>
      <c r="T218" s="219">
        <v>0.01</v>
      </c>
      <c r="U218" s="226">
        <v>0</v>
      </c>
      <c r="V218" s="227">
        <v>0</v>
      </c>
      <c r="W218" s="218"/>
      <c r="X218" s="226">
        <v>2346.3714450000002</v>
      </c>
      <c r="Y218" s="217">
        <v>921.52599033911099</v>
      </c>
      <c r="Z218" s="228">
        <v>573</v>
      </c>
      <c r="AA218" s="229">
        <v>1.6082478016389401</v>
      </c>
      <c r="AB218" s="230">
        <v>753.18560925449503</v>
      </c>
      <c r="AC218" s="219">
        <v>0.02</v>
      </c>
      <c r="AD218" s="219">
        <v>0.02</v>
      </c>
      <c r="AE218" s="227">
        <v>0</v>
      </c>
      <c r="AF218" s="227">
        <v>0</v>
      </c>
      <c r="AG218" s="218"/>
      <c r="AH218" s="231">
        <v>133.35</v>
      </c>
      <c r="AI218" s="217">
        <v>52.372564912338703</v>
      </c>
      <c r="AJ218" s="232" t="s">
        <v>53</v>
      </c>
      <c r="AK218" s="239">
        <v>0.83131055416410604</v>
      </c>
      <c r="AL218" s="222">
        <v>-41.817029061024101</v>
      </c>
      <c r="AM218" s="219"/>
      <c r="AN218" s="219"/>
      <c r="AO218" s="227">
        <v>28</v>
      </c>
      <c r="AP218" s="227">
        <v>60</v>
      </c>
      <c r="AQ218" s="218"/>
      <c r="AR218" s="231">
        <v>17.8</v>
      </c>
      <c r="AS218" s="217">
        <v>6.9908635578524896</v>
      </c>
      <c r="AT218" s="232" t="s">
        <v>54</v>
      </c>
      <c r="AU218" s="224">
        <v>0.43692897236578099</v>
      </c>
      <c r="AV218" s="225">
        <v>-26.6868645234347</v>
      </c>
      <c r="AW218" s="219"/>
      <c r="AX218" s="219"/>
      <c r="AY218" s="227">
        <v>23</v>
      </c>
      <c r="AZ218" s="227">
        <v>32</v>
      </c>
      <c r="BA218" s="218"/>
      <c r="BB218" s="235">
        <v>78.599999999999994</v>
      </c>
      <c r="BC218" s="231">
        <v>30.869768294786802</v>
      </c>
      <c r="BD218" s="232" t="s">
        <v>55</v>
      </c>
      <c r="BE218" s="233">
        <v>0.964680259212088</v>
      </c>
      <c r="BF218" s="234">
        <v>-10.3737290468694</v>
      </c>
      <c r="BG218" s="219">
        <v>6.0000000000000001E-3</v>
      </c>
      <c r="BH218" s="219"/>
      <c r="BI218" s="227">
        <v>3</v>
      </c>
      <c r="BJ218" s="227">
        <v>20</v>
      </c>
      <c r="BK218" s="220"/>
      <c r="BL218" s="236">
        <v>0.8</v>
      </c>
      <c r="BM218" s="233">
        <v>0.82</v>
      </c>
      <c r="BN218" s="237">
        <v>7.5000000000000002E-4</v>
      </c>
      <c r="BO218" s="238">
        <v>0.95</v>
      </c>
      <c r="BP218" s="229">
        <v>1</v>
      </c>
      <c r="BQ218" s="237">
        <v>2.5000000000000001E-3</v>
      </c>
    </row>
    <row r="219" spans="1:69" s="207" customFormat="1" ht="22.35" customHeight="1" x14ac:dyDescent="0.2">
      <c r="A219" s="216" t="s">
        <v>275</v>
      </c>
      <c r="B219" s="216" t="s">
        <v>276</v>
      </c>
      <c r="C219" s="216" t="s">
        <v>286</v>
      </c>
      <c r="D219" s="217">
        <v>3.79118941177778</v>
      </c>
      <c r="E219" s="218"/>
      <c r="F219" s="219">
        <v>0.03</v>
      </c>
      <c r="G219" s="219">
        <v>0.03</v>
      </c>
      <c r="H219" s="220"/>
      <c r="I219" s="221">
        <v>3</v>
      </c>
      <c r="J219" s="221">
        <v>3</v>
      </c>
      <c r="K219" s="218"/>
      <c r="L219" s="222">
        <v>3186.43624</v>
      </c>
      <c r="M219" s="222">
        <v>2659.6786499999998</v>
      </c>
      <c r="N219" s="222">
        <v>5846.1148899999998</v>
      </c>
      <c r="O219" s="217">
        <v>1542.02659245628</v>
      </c>
      <c r="P219" s="223">
        <v>272.346</v>
      </c>
      <c r="Q219" s="229">
        <v>5.6620129998468096</v>
      </c>
      <c r="R219" s="230">
        <v>4718.6082134782901</v>
      </c>
      <c r="S219" s="219">
        <v>0.01</v>
      </c>
      <c r="T219" s="219">
        <v>0.01</v>
      </c>
      <c r="U219" s="226">
        <v>0</v>
      </c>
      <c r="V219" s="227">
        <v>0</v>
      </c>
      <c r="W219" s="218"/>
      <c r="X219" s="226">
        <v>1589.7305550000001</v>
      </c>
      <c r="Y219" s="217">
        <v>419.32237678795798</v>
      </c>
      <c r="Z219" s="228">
        <v>573</v>
      </c>
      <c r="AA219" s="239">
        <v>0.73180170469102701</v>
      </c>
      <c r="AB219" s="222">
        <v>-782.47731897994504</v>
      </c>
      <c r="AC219" s="219"/>
      <c r="AD219" s="219"/>
      <c r="AE219" s="227">
        <v>583</v>
      </c>
      <c r="AF219" s="227">
        <v>1018</v>
      </c>
      <c r="AG219" s="218"/>
      <c r="AH219" s="231">
        <v>84.9</v>
      </c>
      <c r="AI219" s="217">
        <v>22.394027514491398</v>
      </c>
      <c r="AJ219" s="232" t="s">
        <v>53</v>
      </c>
      <c r="AK219" s="224">
        <v>0.355460754198276</v>
      </c>
      <c r="AL219" s="225">
        <v>-175.91866677266401</v>
      </c>
      <c r="AM219" s="219"/>
      <c r="AN219" s="219"/>
      <c r="AO219" s="227">
        <v>154</v>
      </c>
      <c r="AP219" s="227">
        <v>202</v>
      </c>
      <c r="AQ219" s="218"/>
      <c r="AR219" s="231">
        <v>33</v>
      </c>
      <c r="AS219" s="217">
        <v>8.7043923201203306</v>
      </c>
      <c r="AT219" s="232" t="s">
        <v>54</v>
      </c>
      <c r="AU219" s="224">
        <v>0.544024520007521</v>
      </c>
      <c r="AV219" s="225">
        <v>-33.239661402581397</v>
      </c>
      <c r="AW219" s="219"/>
      <c r="AX219" s="219"/>
      <c r="AY219" s="227">
        <v>28</v>
      </c>
      <c r="AZ219" s="227">
        <v>40</v>
      </c>
      <c r="BA219" s="218"/>
      <c r="BB219" s="235">
        <v>179.4</v>
      </c>
      <c r="BC219" s="231">
        <v>47.320241885745098</v>
      </c>
      <c r="BD219" s="232" t="s">
        <v>55</v>
      </c>
      <c r="BE219" s="229">
        <v>1.4787575589295301</v>
      </c>
      <c r="BF219" s="230">
        <v>46.920677194837303</v>
      </c>
      <c r="BG219" s="219">
        <v>0.02</v>
      </c>
      <c r="BH219" s="219">
        <v>0.02</v>
      </c>
      <c r="BI219" s="227">
        <v>0</v>
      </c>
      <c r="BJ219" s="227">
        <v>0</v>
      </c>
      <c r="BK219" s="220"/>
      <c r="BL219" s="236">
        <v>0.8</v>
      </c>
      <c r="BM219" s="239">
        <v>0.75</v>
      </c>
      <c r="BN219" s="237"/>
      <c r="BO219" s="238">
        <v>0.95</v>
      </c>
      <c r="BP219" s="229">
        <v>1</v>
      </c>
      <c r="BQ219" s="237">
        <v>2.5000000000000001E-3</v>
      </c>
    </row>
    <row r="220" spans="1:69" s="207" customFormat="1" ht="22.35" customHeight="1" x14ac:dyDescent="0.2">
      <c r="A220" s="216" t="s">
        <v>275</v>
      </c>
      <c r="B220" s="216" t="s">
        <v>276</v>
      </c>
      <c r="C220" s="216" t="s">
        <v>287</v>
      </c>
      <c r="D220" s="217">
        <v>4.0983728111111102</v>
      </c>
      <c r="E220" s="218"/>
      <c r="F220" s="219">
        <v>0.03</v>
      </c>
      <c r="G220" s="219">
        <v>2.1000000000000001E-2</v>
      </c>
      <c r="H220" s="220"/>
      <c r="I220" s="221">
        <v>3</v>
      </c>
      <c r="J220" s="221">
        <v>3</v>
      </c>
      <c r="K220" s="218"/>
      <c r="L220" s="222">
        <v>2130.9472000000001</v>
      </c>
      <c r="M220" s="222">
        <v>2264.4539500000001</v>
      </c>
      <c r="N220" s="222">
        <v>4395.4011499999997</v>
      </c>
      <c r="O220" s="217">
        <v>1072.47469973537</v>
      </c>
      <c r="P220" s="223">
        <v>276.21300000000002</v>
      </c>
      <c r="Q220" s="229">
        <v>3.8827814032481101</v>
      </c>
      <c r="R220" s="230">
        <v>3159.2311065912299</v>
      </c>
      <c r="S220" s="219">
        <v>0.01</v>
      </c>
      <c r="T220" s="219">
        <v>0.01</v>
      </c>
      <c r="U220" s="226">
        <v>0</v>
      </c>
      <c r="V220" s="227">
        <v>0</v>
      </c>
      <c r="W220" s="218"/>
      <c r="X220" s="226">
        <v>1874.639555</v>
      </c>
      <c r="Y220" s="217">
        <v>457.41069478053799</v>
      </c>
      <c r="Z220" s="228">
        <v>573</v>
      </c>
      <c r="AA220" s="239">
        <v>0.79827346384038</v>
      </c>
      <c r="AB220" s="222">
        <v>-689.77788687719897</v>
      </c>
      <c r="AC220" s="219"/>
      <c r="AD220" s="219"/>
      <c r="AE220" s="227">
        <v>474</v>
      </c>
      <c r="AF220" s="227">
        <v>944</v>
      </c>
      <c r="AG220" s="218"/>
      <c r="AH220" s="231">
        <v>149.94999999999999</v>
      </c>
      <c r="AI220" s="217">
        <v>36.587691484159301</v>
      </c>
      <c r="AJ220" s="232" t="s">
        <v>53</v>
      </c>
      <c r="AK220" s="224">
        <v>0.58075700768506799</v>
      </c>
      <c r="AL220" s="225">
        <v>-132.00165591320001</v>
      </c>
      <c r="AM220" s="219"/>
      <c r="AN220" s="219"/>
      <c r="AO220" s="227">
        <v>109</v>
      </c>
      <c r="AP220" s="227">
        <v>160</v>
      </c>
      <c r="AQ220" s="218"/>
      <c r="AR220" s="231">
        <v>27.8</v>
      </c>
      <c r="AS220" s="217">
        <v>6.7831798816914199</v>
      </c>
      <c r="AT220" s="232" t="s">
        <v>54</v>
      </c>
      <c r="AU220" s="224">
        <v>0.42394874260571402</v>
      </c>
      <c r="AV220" s="225">
        <v>-43.806769755733299</v>
      </c>
      <c r="AW220" s="219"/>
      <c r="AX220" s="219"/>
      <c r="AY220" s="227">
        <v>38</v>
      </c>
      <c r="AZ220" s="227">
        <v>51</v>
      </c>
      <c r="BA220" s="218"/>
      <c r="BB220" s="235">
        <v>145.80000000000001</v>
      </c>
      <c r="BC220" s="231">
        <v>35.575094487431997</v>
      </c>
      <c r="BD220" s="232" t="s">
        <v>55</v>
      </c>
      <c r="BE220" s="229">
        <v>1.1117217027322499</v>
      </c>
      <c r="BF220" s="230">
        <v>2.5864604885333899</v>
      </c>
      <c r="BG220" s="219">
        <v>0.02</v>
      </c>
      <c r="BH220" s="219">
        <v>1.0999999999999999E-2</v>
      </c>
      <c r="BI220" s="227">
        <v>0</v>
      </c>
      <c r="BJ220" s="227">
        <v>12</v>
      </c>
      <c r="BK220" s="220"/>
      <c r="BL220" s="236">
        <v>0.8</v>
      </c>
      <c r="BM220" s="239">
        <v>0.77</v>
      </c>
      <c r="BN220" s="237"/>
      <c r="BO220" s="238">
        <v>0.95</v>
      </c>
      <c r="BP220" s="229">
        <v>1</v>
      </c>
      <c r="BQ220" s="237">
        <v>2.5000000000000001E-3</v>
      </c>
    </row>
    <row r="221" spans="1:69" s="207" customFormat="1" ht="22.35" customHeight="1" x14ac:dyDescent="0.2">
      <c r="A221" s="216" t="s">
        <v>275</v>
      </c>
      <c r="B221" s="216" t="s">
        <v>276</v>
      </c>
      <c r="C221" s="216" t="s">
        <v>288</v>
      </c>
      <c r="D221" s="217">
        <v>3.0671238162222201</v>
      </c>
      <c r="E221" s="218"/>
      <c r="F221" s="219">
        <v>1.7999999999999999E-2</v>
      </c>
      <c r="G221" s="219">
        <v>0.01</v>
      </c>
      <c r="H221" s="220"/>
      <c r="I221" s="221">
        <v>4</v>
      </c>
      <c r="J221" s="221">
        <v>3</v>
      </c>
      <c r="K221" s="218"/>
      <c r="L221" s="222">
        <v>611.30375000000004</v>
      </c>
      <c r="M221" s="222">
        <v>1013.61146</v>
      </c>
      <c r="N221" s="222">
        <v>1624.9152099999999</v>
      </c>
      <c r="O221" s="217">
        <v>529.78468016377894</v>
      </c>
      <c r="P221" s="223">
        <v>259.01299999999998</v>
      </c>
      <c r="Q221" s="229">
        <v>2.0453980308470201</v>
      </c>
      <c r="R221" s="230">
        <v>757.40317441580703</v>
      </c>
      <c r="S221" s="219">
        <v>0.01</v>
      </c>
      <c r="T221" s="219">
        <v>0.01</v>
      </c>
      <c r="U221" s="226">
        <v>0</v>
      </c>
      <c r="V221" s="227">
        <v>0</v>
      </c>
      <c r="W221" s="218"/>
      <c r="X221" s="226">
        <v>1139.5952299999999</v>
      </c>
      <c r="Y221" s="217">
        <v>371.55175280913198</v>
      </c>
      <c r="Z221" s="228">
        <v>573</v>
      </c>
      <c r="AA221" s="224">
        <v>0.64843237837544798</v>
      </c>
      <c r="AB221" s="225">
        <v>-779.55321579130305</v>
      </c>
      <c r="AC221" s="219"/>
      <c r="AD221" s="219"/>
      <c r="AE221" s="227">
        <v>618</v>
      </c>
      <c r="AF221" s="227">
        <v>970</v>
      </c>
      <c r="AG221" s="218"/>
      <c r="AH221" s="231">
        <v>102.25</v>
      </c>
      <c r="AI221" s="217">
        <v>33.337421677987997</v>
      </c>
      <c r="AJ221" s="232" t="s">
        <v>53</v>
      </c>
      <c r="AK221" s="224">
        <v>0.52916542346012696</v>
      </c>
      <c r="AL221" s="225">
        <v>-108.755850060824</v>
      </c>
      <c r="AM221" s="219"/>
      <c r="AN221" s="219"/>
      <c r="AO221" s="227">
        <v>91</v>
      </c>
      <c r="AP221" s="227">
        <v>130</v>
      </c>
      <c r="AQ221" s="218"/>
      <c r="AR221" s="231">
        <v>16.600000000000001</v>
      </c>
      <c r="AS221" s="217">
        <v>5.4122366733946299</v>
      </c>
      <c r="AT221" s="232" t="s">
        <v>54</v>
      </c>
      <c r="AU221" s="224">
        <v>0.33826479208716398</v>
      </c>
      <c r="AV221" s="225">
        <v>-36.9887873170346</v>
      </c>
      <c r="AW221" s="219"/>
      <c r="AX221" s="219"/>
      <c r="AY221" s="227">
        <v>33</v>
      </c>
      <c r="AZ221" s="227">
        <v>43</v>
      </c>
      <c r="BA221" s="218"/>
      <c r="BB221" s="235">
        <v>96.8</v>
      </c>
      <c r="BC221" s="231">
        <v>31.560512649674699</v>
      </c>
      <c r="BD221" s="232" t="s">
        <v>55</v>
      </c>
      <c r="BE221" s="233">
        <v>0.98626602030233401</v>
      </c>
      <c r="BF221" s="234">
        <v>-10.377574634069299</v>
      </c>
      <c r="BG221" s="219">
        <v>8.0000000000000002E-3</v>
      </c>
      <c r="BH221" s="219"/>
      <c r="BI221" s="227">
        <v>2</v>
      </c>
      <c r="BJ221" s="227">
        <v>21</v>
      </c>
      <c r="BK221" s="220"/>
      <c r="BL221" s="236">
        <v>0.8</v>
      </c>
      <c r="BM221" s="233">
        <v>0.81</v>
      </c>
      <c r="BN221" s="237">
        <v>3.7500000000000001E-4</v>
      </c>
      <c r="BO221" s="238">
        <v>0.95</v>
      </c>
      <c r="BP221" s="229">
        <v>1</v>
      </c>
      <c r="BQ221" s="237">
        <v>2.5000000000000001E-3</v>
      </c>
    </row>
    <row r="222" spans="1:69" s="207" customFormat="1" ht="22.35" customHeight="1" x14ac:dyDescent="0.2">
      <c r="A222" s="216" t="s">
        <v>275</v>
      </c>
      <c r="B222" s="216" t="s">
        <v>276</v>
      </c>
      <c r="C222" s="216" t="s">
        <v>289</v>
      </c>
      <c r="D222" s="217">
        <v>7.3002462538888899</v>
      </c>
      <c r="E222" s="218"/>
      <c r="F222" s="219">
        <v>2.3E-2</v>
      </c>
      <c r="G222" s="219">
        <v>1.2E-2</v>
      </c>
      <c r="H222" s="220"/>
      <c r="I222" s="221">
        <v>3</v>
      </c>
      <c r="J222" s="221">
        <v>3</v>
      </c>
      <c r="K222" s="218"/>
      <c r="L222" s="222">
        <v>4496.5194600000004</v>
      </c>
      <c r="M222" s="222">
        <v>2573.01658</v>
      </c>
      <c r="N222" s="222">
        <v>7069.53604</v>
      </c>
      <c r="O222" s="217">
        <v>968.39692719050595</v>
      </c>
      <c r="P222" s="223">
        <v>287.5</v>
      </c>
      <c r="Q222" s="229">
        <v>3.36833713805393</v>
      </c>
      <c r="R222" s="230">
        <v>4777.6237285915804</v>
      </c>
      <c r="S222" s="219">
        <v>0.01</v>
      </c>
      <c r="T222" s="219">
        <v>0.01</v>
      </c>
      <c r="U222" s="226">
        <v>0</v>
      </c>
      <c r="V222" s="227">
        <v>0</v>
      </c>
      <c r="W222" s="218"/>
      <c r="X222" s="226">
        <v>3139.4278749999999</v>
      </c>
      <c r="Y222" s="217">
        <v>430.04410615978998</v>
      </c>
      <c r="Z222" s="228">
        <v>573</v>
      </c>
      <c r="AA222" s="239">
        <v>0.75051327427537495</v>
      </c>
      <c r="AB222" s="222">
        <v>-1428.4530099983399</v>
      </c>
      <c r="AC222" s="219"/>
      <c r="AD222" s="219"/>
      <c r="AE222" s="227">
        <v>1044</v>
      </c>
      <c r="AF222" s="227">
        <v>1881</v>
      </c>
      <c r="AG222" s="218"/>
      <c r="AH222" s="231">
        <v>250.4</v>
      </c>
      <c r="AI222" s="217">
        <v>34.300212799891497</v>
      </c>
      <c r="AJ222" s="232" t="s">
        <v>53</v>
      </c>
      <c r="AK222" s="224">
        <v>0.54444782222050103</v>
      </c>
      <c r="AL222" s="225">
        <v>-251.82774128253999</v>
      </c>
      <c r="AM222" s="219"/>
      <c r="AN222" s="219"/>
      <c r="AO222" s="227">
        <v>210</v>
      </c>
      <c r="AP222" s="227">
        <v>302</v>
      </c>
      <c r="AQ222" s="218"/>
      <c r="AR222" s="231">
        <v>59.8</v>
      </c>
      <c r="AS222" s="217">
        <v>8.1915044945427908</v>
      </c>
      <c r="AT222" s="232" t="s">
        <v>54</v>
      </c>
      <c r="AU222" s="224">
        <v>0.51196903090892398</v>
      </c>
      <c r="AV222" s="225">
        <v>-67.749902547946704</v>
      </c>
      <c r="AW222" s="219"/>
      <c r="AX222" s="219"/>
      <c r="AY222" s="227">
        <v>58</v>
      </c>
      <c r="AZ222" s="227">
        <v>81</v>
      </c>
      <c r="BA222" s="218"/>
      <c r="BB222" s="235">
        <v>239.4</v>
      </c>
      <c r="BC222" s="231">
        <v>32.793414314273299</v>
      </c>
      <c r="BD222" s="232" t="s">
        <v>55</v>
      </c>
      <c r="BE222" s="233">
        <v>1.0247941973210399</v>
      </c>
      <c r="BF222" s="234">
        <v>-15.6998050958933</v>
      </c>
      <c r="BG222" s="219">
        <v>1.2999999999999999E-2</v>
      </c>
      <c r="BH222" s="219">
        <v>2E-3</v>
      </c>
      <c r="BI222" s="227">
        <v>0</v>
      </c>
      <c r="BJ222" s="227">
        <v>41</v>
      </c>
      <c r="BK222" s="220"/>
      <c r="BL222" s="236">
        <v>0.8</v>
      </c>
      <c r="BM222" s="224">
        <v>0.65</v>
      </c>
      <c r="BN222" s="237"/>
      <c r="BO222" s="238">
        <v>0.95</v>
      </c>
      <c r="BP222" s="229">
        <v>1</v>
      </c>
      <c r="BQ222" s="237">
        <v>2.5000000000000001E-3</v>
      </c>
    </row>
    <row r="223" spans="1:69" s="207" customFormat="1" ht="22.35" customHeight="1" x14ac:dyDescent="0.2">
      <c r="A223" s="216" t="s">
        <v>275</v>
      </c>
      <c r="B223" s="216" t="s">
        <v>276</v>
      </c>
      <c r="C223" s="216" t="s">
        <v>290</v>
      </c>
      <c r="D223" s="217">
        <v>2.9612506945555599</v>
      </c>
      <c r="E223" s="218"/>
      <c r="F223" s="219">
        <v>0.06</v>
      </c>
      <c r="G223" s="219">
        <v>5.0999999999999997E-2</v>
      </c>
      <c r="H223" s="220"/>
      <c r="I223" s="221">
        <v>6</v>
      </c>
      <c r="J223" s="221">
        <v>6</v>
      </c>
      <c r="K223" s="218"/>
      <c r="L223" s="222">
        <v>1364.66688</v>
      </c>
      <c r="M223" s="222">
        <v>793.30652999999995</v>
      </c>
      <c r="N223" s="222">
        <v>2157.9734100000001</v>
      </c>
      <c r="O223" s="217">
        <v>728.73715621834003</v>
      </c>
      <c r="P223" s="223">
        <v>273.31099999999998</v>
      </c>
      <c r="Q223" s="229">
        <v>2.66632940576245</v>
      </c>
      <c r="R223" s="230">
        <v>1274.1715216709999</v>
      </c>
      <c r="S223" s="219">
        <v>0.01</v>
      </c>
      <c r="T223" s="219">
        <v>0.01</v>
      </c>
      <c r="U223" s="226">
        <v>0</v>
      </c>
      <c r="V223" s="227">
        <v>0</v>
      </c>
      <c r="W223" s="218"/>
      <c r="X223" s="226">
        <v>1881.4585400000001</v>
      </c>
      <c r="Y223" s="217">
        <v>635.35942548166497</v>
      </c>
      <c r="Z223" s="228">
        <v>573</v>
      </c>
      <c r="AA223" s="229">
        <v>1.10882971288249</v>
      </c>
      <c r="AB223" s="230">
        <v>28.556600405473301</v>
      </c>
      <c r="AC223" s="219">
        <v>0.02</v>
      </c>
      <c r="AD223" s="219">
        <v>1.0999999999999999E-2</v>
      </c>
      <c r="AE223" s="227">
        <v>0</v>
      </c>
      <c r="AF223" s="227">
        <v>155</v>
      </c>
      <c r="AG223" s="218"/>
      <c r="AH223" s="231">
        <v>147.15</v>
      </c>
      <c r="AI223" s="217">
        <v>49.691841447447999</v>
      </c>
      <c r="AJ223" s="232" t="s">
        <v>53</v>
      </c>
      <c r="AK223" s="239">
        <v>0.78875938805473</v>
      </c>
      <c r="AL223" s="222">
        <v>-56.572202782644297</v>
      </c>
      <c r="AM223" s="219"/>
      <c r="AN223" s="219"/>
      <c r="AO223" s="227">
        <v>40</v>
      </c>
      <c r="AP223" s="227">
        <v>77</v>
      </c>
      <c r="AQ223" s="218"/>
      <c r="AR223" s="231">
        <v>69</v>
      </c>
      <c r="AS223" s="217">
        <v>23.300965408589299</v>
      </c>
      <c r="AT223" s="232" t="s">
        <v>54</v>
      </c>
      <c r="AU223" s="229">
        <v>1.4563103380368301</v>
      </c>
      <c r="AV223" s="230">
        <v>17.2610278647253</v>
      </c>
      <c r="AW223" s="219">
        <v>0.01</v>
      </c>
      <c r="AX223" s="219">
        <v>0.01</v>
      </c>
      <c r="AY223" s="227">
        <v>0</v>
      </c>
      <c r="AZ223" s="227">
        <v>0</v>
      </c>
      <c r="BA223" s="218"/>
      <c r="BB223" s="235">
        <v>229.4</v>
      </c>
      <c r="BC223" s="231">
        <v>77.467267604788105</v>
      </c>
      <c r="BD223" s="232" t="s">
        <v>55</v>
      </c>
      <c r="BE223" s="229">
        <v>2.4208521126496301</v>
      </c>
      <c r="BF223" s="230">
        <v>125.922055729451</v>
      </c>
      <c r="BG223" s="219">
        <v>0.02</v>
      </c>
      <c r="BH223" s="219">
        <v>0.02</v>
      </c>
      <c r="BI223" s="227">
        <v>0</v>
      </c>
      <c r="BJ223" s="227">
        <v>0</v>
      </c>
      <c r="BK223" s="220"/>
      <c r="BL223" s="236">
        <v>0.8</v>
      </c>
      <c r="BM223" s="233">
        <v>0.81</v>
      </c>
      <c r="BN223" s="237">
        <v>3.7500000000000001E-4</v>
      </c>
      <c r="BO223" s="238">
        <v>0.95</v>
      </c>
      <c r="BP223" s="229">
        <v>1</v>
      </c>
      <c r="BQ223" s="237">
        <v>2.5000000000000001E-3</v>
      </c>
    </row>
    <row r="224" spans="1:69" s="207" customFormat="1" ht="22.35" customHeight="1" x14ac:dyDescent="0.2">
      <c r="A224" s="216" t="s">
        <v>275</v>
      </c>
      <c r="B224" s="216" t="s">
        <v>276</v>
      </c>
      <c r="C224" s="216" t="s">
        <v>291</v>
      </c>
      <c r="D224" s="217">
        <v>3.1521611030000001</v>
      </c>
      <c r="E224" s="218"/>
      <c r="F224" s="219">
        <v>3.3000000000000002E-2</v>
      </c>
      <c r="G224" s="219">
        <v>0.03</v>
      </c>
      <c r="H224" s="220"/>
      <c r="I224" s="221">
        <v>4</v>
      </c>
      <c r="J224" s="221">
        <v>3</v>
      </c>
      <c r="K224" s="218"/>
      <c r="L224" s="222">
        <v>1560.8911900000001</v>
      </c>
      <c r="M224" s="222">
        <v>1129.22658</v>
      </c>
      <c r="N224" s="222">
        <v>2690.1177699999998</v>
      </c>
      <c r="O224" s="217">
        <v>853.42014005557598</v>
      </c>
      <c r="P224" s="223">
        <v>216.041</v>
      </c>
      <c r="Q224" s="229">
        <v>3.95026934727934</v>
      </c>
      <c r="R224" s="230">
        <v>1946.47009775628</v>
      </c>
      <c r="S224" s="219">
        <v>0.01</v>
      </c>
      <c r="T224" s="219">
        <v>0.01</v>
      </c>
      <c r="U224" s="226">
        <v>0</v>
      </c>
      <c r="V224" s="227">
        <v>0</v>
      </c>
      <c r="W224" s="218"/>
      <c r="X224" s="226">
        <v>1586.928715</v>
      </c>
      <c r="Y224" s="217">
        <v>503.44150033755398</v>
      </c>
      <c r="Z224" s="228">
        <v>573</v>
      </c>
      <c r="AA224" s="239">
        <v>0.87860645783168301</v>
      </c>
      <c r="AB224" s="222">
        <v>-385.42892172474802</v>
      </c>
      <c r="AC224" s="219"/>
      <c r="AD224" s="219"/>
      <c r="AE224" s="227">
        <v>220</v>
      </c>
      <c r="AF224" s="227">
        <v>581</v>
      </c>
      <c r="AG224" s="218"/>
      <c r="AH224" s="231">
        <v>185.55</v>
      </c>
      <c r="AI224" s="217">
        <v>58.864377148555903</v>
      </c>
      <c r="AJ224" s="232" t="s">
        <v>53</v>
      </c>
      <c r="AK224" s="233">
        <v>0.93435519283422097</v>
      </c>
      <c r="AL224" s="234">
        <v>-31.306075241988001</v>
      </c>
      <c r="AM224" s="219">
        <v>3.0000000000000001E-3</v>
      </c>
      <c r="AN224" s="219"/>
      <c r="AO224" s="227">
        <v>14</v>
      </c>
      <c r="AP224" s="227">
        <v>53</v>
      </c>
      <c r="AQ224" s="218"/>
      <c r="AR224" s="231">
        <v>8</v>
      </c>
      <c r="AS224" s="217">
        <v>2.5379413483613402</v>
      </c>
      <c r="AT224" s="232" t="s">
        <v>54</v>
      </c>
      <c r="AU224" s="224">
        <v>0.15862133427258401</v>
      </c>
      <c r="AV224" s="225">
        <v>-47.074558791615999</v>
      </c>
      <c r="AW224" s="219"/>
      <c r="AX224" s="219"/>
      <c r="AY224" s="227">
        <v>43</v>
      </c>
      <c r="AZ224" s="227">
        <v>53</v>
      </c>
      <c r="BA224" s="218"/>
      <c r="BB224" s="235">
        <v>129.6</v>
      </c>
      <c r="BC224" s="231">
        <v>41.114649843453797</v>
      </c>
      <c r="BD224" s="232" t="s">
        <v>55</v>
      </c>
      <c r="BE224" s="229">
        <v>1.2848328076079301</v>
      </c>
      <c r="BF224" s="230">
        <v>19.450882416768</v>
      </c>
      <c r="BG224" s="219">
        <v>0.02</v>
      </c>
      <c r="BH224" s="219">
        <v>0.02</v>
      </c>
      <c r="BI224" s="227">
        <v>0</v>
      </c>
      <c r="BJ224" s="227">
        <v>0</v>
      </c>
      <c r="BK224" s="220"/>
      <c r="BL224" s="236">
        <v>0.8</v>
      </c>
      <c r="BM224" s="239">
        <v>0.72</v>
      </c>
      <c r="BN224" s="237"/>
      <c r="BO224" s="238">
        <v>0.95</v>
      </c>
      <c r="BP224" s="229">
        <v>1</v>
      </c>
      <c r="BQ224" s="237">
        <v>2.5000000000000001E-3</v>
      </c>
    </row>
    <row r="225" spans="1:69" s="207" customFormat="1" ht="22.35" customHeight="1" x14ac:dyDescent="0.2">
      <c r="A225" s="216" t="s">
        <v>275</v>
      </c>
      <c r="B225" s="216" t="s">
        <v>276</v>
      </c>
      <c r="C225" s="216" t="s">
        <v>292</v>
      </c>
      <c r="D225" s="217">
        <v>7.7095109328888896</v>
      </c>
      <c r="E225" s="218"/>
      <c r="F225" s="219">
        <v>5.3999999999999999E-2</v>
      </c>
      <c r="G225" s="219">
        <v>3.9E-2</v>
      </c>
      <c r="H225" s="220"/>
      <c r="I225" s="221">
        <v>5</v>
      </c>
      <c r="J225" s="221">
        <v>5</v>
      </c>
      <c r="K225" s="218"/>
      <c r="L225" s="222">
        <v>3662.8444199999999</v>
      </c>
      <c r="M225" s="222">
        <v>1053.55774</v>
      </c>
      <c r="N225" s="222">
        <v>4716.4021599999996</v>
      </c>
      <c r="O225" s="217">
        <v>611.76411850974296</v>
      </c>
      <c r="P225" s="223">
        <v>287.5</v>
      </c>
      <c r="Q225" s="229">
        <v>2.1278751948164998</v>
      </c>
      <c r="R225" s="230">
        <v>2296.00120261953</v>
      </c>
      <c r="S225" s="219">
        <v>0.01</v>
      </c>
      <c r="T225" s="219">
        <v>0.01</v>
      </c>
      <c r="U225" s="226">
        <v>0</v>
      </c>
      <c r="V225" s="227">
        <v>0</v>
      </c>
      <c r="W225" s="218"/>
      <c r="X225" s="226">
        <v>4758.2896899999996</v>
      </c>
      <c r="Y225" s="217">
        <v>617.19734642324295</v>
      </c>
      <c r="Z225" s="228">
        <v>573</v>
      </c>
      <c r="AA225" s="233">
        <v>1.07713323983114</v>
      </c>
      <c r="AB225" s="234">
        <v>-65.674652883503796</v>
      </c>
      <c r="AC225" s="219">
        <v>1.7999999999999999E-2</v>
      </c>
      <c r="AD225" s="219">
        <v>8.0000000000000002E-3</v>
      </c>
      <c r="AE225" s="227">
        <v>0</v>
      </c>
      <c r="AF225" s="227">
        <v>543</v>
      </c>
      <c r="AG225" s="218"/>
      <c r="AH225" s="231">
        <v>248.6</v>
      </c>
      <c r="AI225" s="217">
        <v>32.245884617592097</v>
      </c>
      <c r="AJ225" s="232" t="s">
        <v>53</v>
      </c>
      <c r="AK225" s="224">
        <v>0.51183943837447798</v>
      </c>
      <c r="AL225" s="225">
        <v>-281.78351413902402</v>
      </c>
      <c r="AM225" s="219"/>
      <c r="AN225" s="219"/>
      <c r="AO225" s="227">
        <v>238</v>
      </c>
      <c r="AP225" s="227">
        <v>335</v>
      </c>
      <c r="AQ225" s="218"/>
      <c r="AR225" s="231">
        <v>125.5</v>
      </c>
      <c r="AS225" s="217">
        <v>16.2785942055825</v>
      </c>
      <c r="AT225" s="232" t="s">
        <v>54</v>
      </c>
      <c r="AU225" s="233">
        <v>1.01741213784891</v>
      </c>
      <c r="AV225" s="234">
        <v>-9.2005750194346891</v>
      </c>
      <c r="AW225" s="219">
        <v>6.0000000000000001E-3</v>
      </c>
      <c r="AX225" s="219">
        <v>1E-3</v>
      </c>
      <c r="AY225" s="227">
        <v>0</v>
      </c>
      <c r="AZ225" s="227">
        <v>23</v>
      </c>
      <c r="BA225" s="218"/>
      <c r="BB225" s="235">
        <v>297.39999999999998</v>
      </c>
      <c r="BC225" s="231">
        <v>38.5757284202409</v>
      </c>
      <c r="BD225" s="232" t="s">
        <v>55</v>
      </c>
      <c r="BE225" s="229">
        <v>1.2054915131325299</v>
      </c>
      <c r="BF225" s="230">
        <v>27.998849961130599</v>
      </c>
      <c r="BG225" s="219">
        <v>0.02</v>
      </c>
      <c r="BH225" s="219">
        <v>0.02</v>
      </c>
      <c r="BI225" s="227">
        <v>0</v>
      </c>
      <c r="BJ225" s="227">
        <v>0</v>
      </c>
      <c r="BK225" s="220"/>
      <c r="BL225" s="236">
        <v>0.8</v>
      </c>
      <c r="BM225" s="239">
        <v>0.78</v>
      </c>
      <c r="BN225" s="237"/>
      <c r="BO225" s="238">
        <v>0.95</v>
      </c>
      <c r="BP225" s="229">
        <v>1</v>
      </c>
      <c r="BQ225" s="237">
        <v>2.5000000000000001E-3</v>
      </c>
    </row>
    <row r="226" spans="1:69" s="207" customFormat="1" ht="22.35" customHeight="1" x14ac:dyDescent="0.2">
      <c r="A226" s="216" t="s">
        <v>275</v>
      </c>
      <c r="B226" s="216" t="s">
        <v>276</v>
      </c>
      <c r="C226" s="216" t="s">
        <v>293</v>
      </c>
      <c r="D226" s="217">
        <v>2.83696294222222</v>
      </c>
      <c r="E226" s="218"/>
      <c r="F226" s="219">
        <v>2.3E-2</v>
      </c>
      <c r="G226" s="219">
        <v>1.2999999999999999E-2</v>
      </c>
      <c r="H226" s="220"/>
      <c r="I226" s="221">
        <v>4</v>
      </c>
      <c r="J226" s="221">
        <v>4</v>
      </c>
      <c r="K226" s="218"/>
      <c r="L226" s="222">
        <v>551.51557000000003</v>
      </c>
      <c r="M226" s="222">
        <v>2016.9095199999999</v>
      </c>
      <c r="N226" s="222">
        <v>2568.4250900000002</v>
      </c>
      <c r="O226" s="217">
        <v>905.34319351670001</v>
      </c>
      <c r="P226" s="223">
        <v>287.5</v>
      </c>
      <c r="Q226" s="229">
        <v>3.1490198035363499</v>
      </c>
      <c r="R226" s="230">
        <v>1677.76057428933</v>
      </c>
      <c r="S226" s="219">
        <v>0.01</v>
      </c>
      <c r="T226" s="219">
        <v>0.01</v>
      </c>
      <c r="U226" s="226">
        <v>0</v>
      </c>
      <c r="V226" s="227">
        <v>0</v>
      </c>
      <c r="W226" s="218"/>
      <c r="X226" s="226">
        <v>1676.7995149999999</v>
      </c>
      <c r="Y226" s="217">
        <v>591.05443008943405</v>
      </c>
      <c r="Z226" s="228">
        <v>573</v>
      </c>
      <c r="AA226" s="233">
        <v>1.0315086039955199</v>
      </c>
      <c r="AB226" s="234">
        <v>-98.333589355518399</v>
      </c>
      <c r="AC226" s="219">
        <v>1.2999999999999999E-2</v>
      </c>
      <c r="AD226" s="219">
        <v>3.0000000000000001E-3</v>
      </c>
      <c r="AE226" s="227">
        <v>0</v>
      </c>
      <c r="AF226" s="227">
        <v>274</v>
      </c>
      <c r="AG226" s="218"/>
      <c r="AH226" s="231">
        <v>113.5</v>
      </c>
      <c r="AI226" s="217">
        <v>40.007572291760098</v>
      </c>
      <c r="AJ226" s="232" t="s">
        <v>53</v>
      </c>
      <c r="AK226" s="224">
        <v>0.63504083002793799</v>
      </c>
      <c r="AL226" s="225">
        <v>-81.671702573119802</v>
      </c>
      <c r="AM226" s="219"/>
      <c r="AN226" s="219"/>
      <c r="AO226" s="227">
        <v>66</v>
      </c>
      <c r="AP226" s="227">
        <v>101</v>
      </c>
      <c r="AQ226" s="218"/>
      <c r="AR226" s="231">
        <v>7.6</v>
      </c>
      <c r="AS226" s="217">
        <v>2.6789211402412101</v>
      </c>
      <c r="AT226" s="232" t="s">
        <v>54</v>
      </c>
      <c r="AU226" s="224">
        <v>0.16743257126507599</v>
      </c>
      <c r="AV226" s="225">
        <v>-41.967416526506597</v>
      </c>
      <c r="AW226" s="219"/>
      <c r="AX226" s="219"/>
      <c r="AY226" s="227">
        <v>38</v>
      </c>
      <c r="AZ226" s="227">
        <v>47</v>
      </c>
      <c r="BA226" s="218"/>
      <c r="BB226" s="235">
        <v>71.400000000000006</v>
      </c>
      <c r="BC226" s="231">
        <v>25.1677591333187</v>
      </c>
      <c r="BD226" s="232" t="s">
        <v>55</v>
      </c>
      <c r="BE226" s="239">
        <v>0.78649247291620905</v>
      </c>
      <c r="BF226" s="222">
        <v>-27.734833053013201</v>
      </c>
      <c r="BG226" s="219"/>
      <c r="BH226" s="219"/>
      <c r="BI226" s="227">
        <v>20</v>
      </c>
      <c r="BJ226" s="227">
        <v>38</v>
      </c>
      <c r="BK226" s="220"/>
      <c r="BL226" s="236">
        <v>0.8</v>
      </c>
      <c r="BM226" s="233">
        <v>0.86</v>
      </c>
      <c r="BN226" s="237">
        <v>2.2499999999999998E-3</v>
      </c>
      <c r="BO226" s="238">
        <v>0.95</v>
      </c>
      <c r="BP226" s="229">
        <v>1</v>
      </c>
      <c r="BQ226" s="237">
        <v>2.5000000000000001E-3</v>
      </c>
    </row>
    <row r="227" spans="1:69" s="207" customFormat="1" ht="22.35" customHeight="1" x14ac:dyDescent="0.2">
      <c r="A227" s="216" t="s">
        <v>275</v>
      </c>
      <c r="B227" s="216" t="s">
        <v>276</v>
      </c>
      <c r="C227" s="216" t="s">
        <v>294</v>
      </c>
      <c r="D227" s="217">
        <v>2.9777762321111099</v>
      </c>
      <c r="E227" s="218"/>
      <c r="F227" s="219">
        <v>0.05</v>
      </c>
      <c r="G227" s="219">
        <v>0.04</v>
      </c>
      <c r="H227" s="220"/>
      <c r="I227" s="221">
        <v>5</v>
      </c>
      <c r="J227" s="221">
        <v>5</v>
      </c>
      <c r="K227" s="218"/>
      <c r="L227" s="222">
        <v>2254.32008</v>
      </c>
      <c r="M227" s="222">
        <v>929.67911000000004</v>
      </c>
      <c r="N227" s="222">
        <v>3183.99919</v>
      </c>
      <c r="O227" s="217">
        <v>1069.2540143430101</v>
      </c>
      <c r="P227" s="223">
        <v>252.76900000000001</v>
      </c>
      <c r="Q227" s="229">
        <v>4.2301627744818804</v>
      </c>
      <c r="R227" s="230">
        <v>2362.0622337073701</v>
      </c>
      <c r="S227" s="219">
        <v>0.01</v>
      </c>
      <c r="T227" s="219">
        <v>0.01</v>
      </c>
      <c r="U227" s="226">
        <v>0</v>
      </c>
      <c r="V227" s="227">
        <v>0</v>
      </c>
      <c r="W227" s="218"/>
      <c r="X227" s="226">
        <v>2388.0721800000001</v>
      </c>
      <c r="Y227" s="217">
        <v>801.964954333376</v>
      </c>
      <c r="Z227" s="228">
        <v>573</v>
      </c>
      <c r="AA227" s="229">
        <v>1.3995897981385299</v>
      </c>
      <c r="AB227" s="230">
        <v>524.82994714836502</v>
      </c>
      <c r="AC227" s="219">
        <v>0.02</v>
      </c>
      <c r="AD227" s="219">
        <v>0.02</v>
      </c>
      <c r="AE227" s="227">
        <v>0</v>
      </c>
      <c r="AF227" s="227">
        <v>0</v>
      </c>
      <c r="AG227" s="218"/>
      <c r="AH227" s="231">
        <v>136.15</v>
      </c>
      <c r="AI227" s="217">
        <v>45.7220386581821</v>
      </c>
      <c r="AJ227" s="232" t="s">
        <v>53</v>
      </c>
      <c r="AK227" s="239">
        <v>0.72574664536796996</v>
      </c>
      <c r="AL227" s="222">
        <v>-68.709093664315901</v>
      </c>
      <c r="AM227" s="219"/>
      <c r="AN227" s="219"/>
      <c r="AO227" s="227">
        <v>52</v>
      </c>
      <c r="AP227" s="227">
        <v>89</v>
      </c>
      <c r="AQ227" s="218"/>
      <c r="AR227" s="231">
        <v>11.3</v>
      </c>
      <c r="AS227" s="217">
        <v>3.7947780891476901</v>
      </c>
      <c r="AT227" s="232" t="s">
        <v>54</v>
      </c>
      <c r="AU227" s="224">
        <v>0.23717363057173099</v>
      </c>
      <c r="AV227" s="225">
        <v>-40.727706327445297</v>
      </c>
      <c r="AW227" s="219"/>
      <c r="AX227" s="219"/>
      <c r="AY227" s="227">
        <v>37</v>
      </c>
      <c r="AZ227" s="227">
        <v>46</v>
      </c>
      <c r="BA227" s="218"/>
      <c r="BB227" s="235">
        <v>104.4</v>
      </c>
      <c r="BC227" s="231">
        <v>35.059719690886602</v>
      </c>
      <c r="BD227" s="232" t="s">
        <v>55</v>
      </c>
      <c r="BE227" s="229">
        <v>1.0956162403402101</v>
      </c>
      <c r="BF227" s="230">
        <v>0.344587345109375</v>
      </c>
      <c r="BG227" s="219">
        <v>0.02</v>
      </c>
      <c r="BH227" s="219">
        <v>0.01</v>
      </c>
      <c r="BI227" s="227">
        <v>0</v>
      </c>
      <c r="BJ227" s="227">
        <v>10</v>
      </c>
      <c r="BK227" s="220"/>
      <c r="BL227" s="236">
        <v>0.8</v>
      </c>
      <c r="BM227" s="233">
        <v>0.81</v>
      </c>
      <c r="BN227" s="237">
        <v>3.7500000000000001E-4</v>
      </c>
      <c r="BO227" s="238">
        <v>0.95</v>
      </c>
      <c r="BP227" s="229">
        <v>1</v>
      </c>
      <c r="BQ227" s="237">
        <v>2.5000000000000001E-3</v>
      </c>
    </row>
    <row r="228" spans="1:69" s="207" customFormat="1" ht="22.35" customHeight="1" x14ac:dyDescent="0.2">
      <c r="A228" s="216" t="s">
        <v>275</v>
      </c>
      <c r="B228" s="216" t="s">
        <v>276</v>
      </c>
      <c r="C228" s="216" t="s">
        <v>295</v>
      </c>
      <c r="D228" s="217">
        <v>3.3124110478888902</v>
      </c>
      <c r="E228" s="218"/>
      <c r="F228" s="219">
        <v>1.4999999999999999E-2</v>
      </c>
      <c r="G228" s="219">
        <v>0.01</v>
      </c>
      <c r="H228" s="220"/>
      <c r="I228" s="221">
        <v>4</v>
      </c>
      <c r="J228" s="221">
        <v>3</v>
      </c>
      <c r="K228" s="218"/>
      <c r="L228" s="222">
        <v>1735.43983</v>
      </c>
      <c r="M228" s="222">
        <v>477.32089000000002</v>
      </c>
      <c r="N228" s="222">
        <v>2212.7607200000002</v>
      </c>
      <c r="O228" s="217">
        <v>668.02117491132799</v>
      </c>
      <c r="P228" s="223">
        <v>266.572</v>
      </c>
      <c r="Q228" s="229">
        <v>2.5059690249213298</v>
      </c>
      <c r="R228" s="230">
        <v>1248.5290466592401</v>
      </c>
      <c r="S228" s="219">
        <v>0.01</v>
      </c>
      <c r="T228" s="219">
        <v>0.01</v>
      </c>
      <c r="U228" s="226">
        <v>0</v>
      </c>
      <c r="V228" s="227">
        <v>0</v>
      </c>
      <c r="W228" s="218"/>
      <c r="X228" s="226">
        <v>1578.5626549999999</v>
      </c>
      <c r="Y228" s="217">
        <v>476.56001389262099</v>
      </c>
      <c r="Z228" s="228">
        <v>573</v>
      </c>
      <c r="AA228" s="239">
        <v>0.83169286892255001</v>
      </c>
      <c r="AB228" s="222">
        <v>-494.06593624084502</v>
      </c>
      <c r="AC228" s="219"/>
      <c r="AD228" s="219"/>
      <c r="AE228" s="227">
        <v>320</v>
      </c>
      <c r="AF228" s="227">
        <v>700</v>
      </c>
      <c r="AG228" s="218"/>
      <c r="AH228" s="231">
        <v>156.85</v>
      </c>
      <c r="AI228" s="217">
        <v>47.3522149673923</v>
      </c>
      <c r="AJ228" s="232" t="s">
        <v>53</v>
      </c>
      <c r="AK228" s="239">
        <v>0.75162245979987796</v>
      </c>
      <c r="AL228" s="222">
        <v>-71.030630450564104</v>
      </c>
      <c r="AM228" s="219"/>
      <c r="AN228" s="219"/>
      <c r="AO228" s="227">
        <v>52</v>
      </c>
      <c r="AP228" s="227">
        <v>94</v>
      </c>
      <c r="AQ228" s="218"/>
      <c r="AR228" s="231">
        <v>29.8</v>
      </c>
      <c r="AS228" s="217">
        <v>8.9964680014554794</v>
      </c>
      <c r="AT228" s="232" t="s">
        <v>54</v>
      </c>
      <c r="AU228" s="224">
        <v>0.56227925009096802</v>
      </c>
      <c r="AV228" s="225">
        <v>-28.074445828714701</v>
      </c>
      <c r="AW228" s="219"/>
      <c r="AX228" s="219"/>
      <c r="AY228" s="227">
        <v>24</v>
      </c>
      <c r="AZ228" s="227">
        <v>34</v>
      </c>
      <c r="BA228" s="218"/>
      <c r="BB228" s="235">
        <v>100.8</v>
      </c>
      <c r="BC228" s="231">
        <v>30.431005857272201</v>
      </c>
      <c r="BD228" s="232" t="s">
        <v>55</v>
      </c>
      <c r="BE228" s="233">
        <v>0.95096893303975705</v>
      </c>
      <c r="BF228" s="234">
        <v>-14.9488916574294</v>
      </c>
      <c r="BG228" s="219">
        <v>5.0000000000000001E-3</v>
      </c>
      <c r="BH228" s="219"/>
      <c r="BI228" s="227">
        <v>6</v>
      </c>
      <c r="BJ228" s="227">
        <v>27</v>
      </c>
      <c r="BK228" s="220"/>
      <c r="BL228" s="236">
        <v>0.8</v>
      </c>
      <c r="BM228" s="233">
        <v>0.83</v>
      </c>
      <c r="BN228" s="237">
        <v>1.1249999999999999E-3</v>
      </c>
      <c r="BO228" s="238">
        <v>0.95</v>
      </c>
      <c r="BP228" s="229">
        <v>1</v>
      </c>
      <c r="BQ228" s="237">
        <v>2.5000000000000001E-3</v>
      </c>
    </row>
    <row r="229" spans="1:69" s="207" customFormat="1" ht="22.35" customHeight="1" x14ac:dyDescent="0.2">
      <c r="A229" s="216" t="s">
        <v>275</v>
      </c>
      <c r="B229" s="216" t="s">
        <v>276</v>
      </c>
      <c r="C229" s="216" t="s">
        <v>296</v>
      </c>
      <c r="D229" s="217">
        <v>3.82718426455556</v>
      </c>
      <c r="E229" s="218"/>
      <c r="F229" s="219">
        <v>0.01</v>
      </c>
      <c r="G229" s="219">
        <v>0.01</v>
      </c>
      <c r="H229" s="220"/>
      <c r="I229" s="221">
        <v>2</v>
      </c>
      <c r="J229" s="221">
        <v>2</v>
      </c>
      <c r="K229" s="218"/>
      <c r="L229" s="222">
        <v>1955.7683099999999</v>
      </c>
      <c r="M229" s="222">
        <v>1788.9398900000001</v>
      </c>
      <c r="N229" s="222">
        <v>3744.7082</v>
      </c>
      <c r="O229" s="217">
        <v>978.44993633586296</v>
      </c>
      <c r="P229" s="223">
        <v>255.06700000000001</v>
      </c>
      <c r="Q229" s="229">
        <v>3.8360506703566601</v>
      </c>
      <c r="R229" s="230">
        <v>2678.71045758233</v>
      </c>
      <c r="S229" s="219">
        <v>0.01</v>
      </c>
      <c r="T229" s="219">
        <v>0.01</v>
      </c>
      <c r="U229" s="226">
        <v>0</v>
      </c>
      <c r="V229" s="227">
        <v>0</v>
      </c>
      <c r="W229" s="218"/>
      <c r="X229" s="226">
        <v>1727.88093</v>
      </c>
      <c r="Y229" s="217">
        <v>451.47576143702003</v>
      </c>
      <c r="Z229" s="228">
        <v>573</v>
      </c>
      <c r="AA229" s="239">
        <v>0.78791581402621202</v>
      </c>
      <c r="AB229" s="222">
        <v>-666.84949928064702</v>
      </c>
      <c r="AC229" s="219"/>
      <c r="AD229" s="219"/>
      <c r="AE229" s="227">
        <v>466</v>
      </c>
      <c r="AF229" s="227">
        <v>904</v>
      </c>
      <c r="AG229" s="218"/>
      <c r="AH229" s="231">
        <v>110.8</v>
      </c>
      <c r="AI229" s="217">
        <v>28.950787926817299</v>
      </c>
      <c r="AJ229" s="232" t="s">
        <v>53</v>
      </c>
      <c r="AK229" s="224">
        <v>0.45953631629868702</v>
      </c>
      <c r="AL229" s="225">
        <v>-152.494968664364</v>
      </c>
      <c r="AM229" s="219"/>
      <c r="AN229" s="219"/>
      <c r="AO229" s="227">
        <v>131</v>
      </c>
      <c r="AP229" s="227">
        <v>179</v>
      </c>
      <c r="AQ229" s="218"/>
      <c r="AR229" s="231">
        <v>10</v>
      </c>
      <c r="AS229" s="217">
        <v>2.61288699700517</v>
      </c>
      <c r="AT229" s="232" t="s">
        <v>54</v>
      </c>
      <c r="AU229" s="224">
        <v>0.16330543731282299</v>
      </c>
      <c r="AV229" s="225">
        <v>-56.868563470314797</v>
      </c>
      <c r="AW229" s="219"/>
      <c r="AX229" s="219"/>
      <c r="AY229" s="227">
        <v>52</v>
      </c>
      <c r="AZ229" s="227">
        <v>64</v>
      </c>
      <c r="BA229" s="218"/>
      <c r="BB229" s="235">
        <v>97.6</v>
      </c>
      <c r="BC229" s="231">
        <v>25.5017770907704</v>
      </c>
      <c r="BD229" s="232" t="s">
        <v>55</v>
      </c>
      <c r="BE229" s="239">
        <v>0.79693053408657599</v>
      </c>
      <c r="BF229" s="222">
        <v>-36.1371269406295</v>
      </c>
      <c r="BG229" s="219"/>
      <c r="BH229" s="219"/>
      <c r="BI229" s="227">
        <v>25</v>
      </c>
      <c r="BJ229" s="227">
        <v>50</v>
      </c>
      <c r="BK229" s="220"/>
      <c r="BL229" s="236">
        <v>0.8</v>
      </c>
      <c r="BM229" s="239">
        <v>0.78</v>
      </c>
      <c r="BN229" s="237"/>
      <c r="BO229" s="238">
        <v>0.95</v>
      </c>
      <c r="BP229" s="229">
        <v>1</v>
      </c>
      <c r="BQ229" s="237">
        <v>2.5000000000000001E-3</v>
      </c>
    </row>
    <row r="230" spans="1:69" s="207" customFormat="1" ht="22.35" customHeight="1" x14ac:dyDescent="0.2">
      <c r="A230" s="216" t="s">
        <v>275</v>
      </c>
      <c r="B230" s="216" t="s">
        <v>276</v>
      </c>
      <c r="C230" s="216" t="s">
        <v>297</v>
      </c>
      <c r="D230" s="217">
        <v>6.0225891787777801</v>
      </c>
      <c r="E230" s="218"/>
      <c r="F230" s="219">
        <v>4.2000000000000003E-2</v>
      </c>
      <c r="G230" s="219">
        <v>3.2000000000000001E-2</v>
      </c>
      <c r="H230" s="220"/>
      <c r="I230" s="221">
        <v>5</v>
      </c>
      <c r="J230" s="221">
        <v>5</v>
      </c>
      <c r="K230" s="218"/>
      <c r="L230" s="222">
        <v>3584.4030400000001</v>
      </c>
      <c r="M230" s="222">
        <v>3683.1307499999998</v>
      </c>
      <c r="N230" s="222">
        <v>7267.5337900000004</v>
      </c>
      <c r="O230" s="217">
        <v>1206.7125241763299</v>
      </c>
      <c r="P230" s="223">
        <v>287.5</v>
      </c>
      <c r="Q230" s="229">
        <v>4.1972609536567997</v>
      </c>
      <c r="R230" s="230">
        <v>5376.7419173227199</v>
      </c>
      <c r="S230" s="219">
        <v>0.01</v>
      </c>
      <c r="T230" s="219">
        <v>0.01</v>
      </c>
      <c r="U230" s="226">
        <v>0</v>
      </c>
      <c r="V230" s="227">
        <v>0</v>
      </c>
      <c r="W230" s="218"/>
      <c r="X230" s="226">
        <v>3503.1975849999999</v>
      </c>
      <c r="Y230" s="217">
        <v>581.67633238947496</v>
      </c>
      <c r="Z230" s="228">
        <v>573</v>
      </c>
      <c r="AA230" s="233">
        <v>1.0151419413428899</v>
      </c>
      <c r="AB230" s="234">
        <v>-265.23282558811798</v>
      </c>
      <c r="AC230" s="219">
        <v>1.2E-2</v>
      </c>
      <c r="AD230" s="219">
        <v>2E-3</v>
      </c>
      <c r="AE230" s="227">
        <v>0</v>
      </c>
      <c r="AF230" s="227">
        <v>638</v>
      </c>
      <c r="AG230" s="218"/>
      <c r="AH230" s="231">
        <v>322.35000000000002</v>
      </c>
      <c r="AI230" s="217">
        <v>53.523491380731599</v>
      </c>
      <c r="AJ230" s="232" t="s">
        <v>53</v>
      </c>
      <c r="AK230" s="239">
        <v>0.84957922826558097</v>
      </c>
      <c r="AL230" s="222">
        <v>-91.980045143196094</v>
      </c>
      <c r="AM230" s="219"/>
      <c r="AN230" s="219"/>
      <c r="AO230" s="227">
        <v>58</v>
      </c>
      <c r="AP230" s="227">
        <v>133</v>
      </c>
      <c r="AQ230" s="218"/>
      <c r="AR230" s="231">
        <v>47.7</v>
      </c>
      <c r="AS230" s="217">
        <v>7.9201816003130103</v>
      </c>
      <c r="AT230" s="232" t="s">
        <v>54</v>
      </c>
      <c r="AU230" s="224">
        <v>0.49501135001956298</v>
      </c>
      <c r="AV230" s="225">
        <v>-57.526678131605401</v>
      </c>
      <c r="AW230" s="219"/>
      <c r="AX230" s="219"/>
      <c r="AY230" s="227">
        <v>49</v>
      </c>
      <c r="AZ230" s="227">
        <v>68</v>
      </c>
      <c r="BA230" s="218"/>
      <c r="BB230" s="235">
        <v>242.2</v>
      </c>
      <c r="BC230" s="231">
        <v>40.215261710603997</v>
      </c>
      <c r="BD230" s="232" t="s">
        <v>55</v>
      </c>
      <c r="BE230" s="229">
        <v>1.25672692845637</v>
      </c>
      <c r="BF230" s="230">
        <v>31.746643736789299</v>
      </c>
      <c r="BG230" s="219">
        <v>0.02</v>
      </c>
      <c r="BH230" s="219">
        <v>0.02</v>
      </c>
      <c r="BI230" s="227">
        <v>0</v>
      </c>
      <c r="BJ230" s="227">
        <v>0</v>
      </c>
      <c r="BK230" s="220"/>
      <c r="BL230" s="236">
        <v>0.8</v>
      </c>
      <c r="BM230" s="233">
        <v>0.82</v>
      </c>
      <c r="BN230" s="237">
        <v>7.5000000000000002E-4</v>
      </c>
      <c r="BO230" s="238">
        <v>0.95</v>
      </c>
      <c r="BP230" s="229">
        <v>1</v>
      </c>
      <c r="BQ230" s="237">
        <v>2.5000000000000001E-3</v>
      </c>
    </row>
    <row r="231" spans="1:69" s="207" customFormat="1" ht="22.35" customHeight="1" x14ac:dyDescent="0.2">
      <c r="A231" s="216" t="s">
        <v>275</v>
      </c>
      <c r="B231" s="216" t="s">
        <v>276</v>
      </c>
      <c r="C231" s="216" t="s">
        <v>298</v>
      </c>
      <c r="D231" s="217">
        <v>5.7046753833333304</v>
      </c>
      <c r="E231" s="218"/>
      <c r="F231" s="219">
        <v>0.03</v>
      </c>
      <c r="G231" s="219">
        <v>0.03</v>
      </c>
      <c r="H231" s="220"/>
      <c r="I231" s="221">
        <v>3</v>
      </c>
      <c r="J231" s="221">
        <v>3</v>
      </c>
      <c r="K231" s="218"/>
      <c r="L231" s="222">
        <v>3471.5504000000001</v>
      </c>
      <c r="M231" s="222">
        <v>2040.64696</v>
      </c>
      <c r="N231" s="222">
        <v>5512.1973600000001</v>
      </c>
      <c r="O231" s="217">
        <v>966.25960104659498</v>
      </c>
      <c r="P231" s="223">
        <v>221.803</v>
      </c>
      <c r="Q231" s="229">
        <v>4.3563865278945499</v>
      </c>
      <c r="R231" s="230">
        <v>4130.47434745796</v>
      </c>
      <c r="S231" s="219">
        <v>0.01</v>
      </c>
      <c r="T231" s="219">
        <v>0.01</v>
      </c>
      <c r="U231" s="226">
        <v>0</v>
      </c>
      <c r="V231" s="227">
        <v>0</v>
      </c>
      <c r="W231" s="218"/>
      <c r="X231" s="226">
        <v>2936.9269850000001</v>
      </c>
      <c r="Y231" s="217">
        <v>514.82806428924403</v>
      </c>
      <c r="Z231" s="228">
        <v>573</v>
      </c>
      <c r="AA231" s="239">
        <v>0.89847829718890704</v>
      </c>
      <c r="AB231" s="222">
        <v>-632.57967715779796</v>
      </c>
      <c r="AC231" s="219"/>
      <c r="AD231" s="219"/>
      <c r="AE231" s="227">
        <v>332</v>
      </c>
      <c r="AF231" s="227">
        <v>986</v>
      </c>
      <c r="AG231" s="218"/>
      <c r="AH231" s="231">
        <v>271.14999999999998</v>
      </c>
      <c r="AI231" s="217">
        <v>47.531188328820001</v>
      </c>
      <c r="AJ231" s="232" t="s">
        <v>53</v>
      </c>
      <c r="AK231" s="239">
        <v>0.75446330680666596</v>
      </c>
      <c r="AL231" s="222">
        <v>-121.3088476718</v>
      </c>
      <c r="AM231" s="219"/>
      <c r="AN231" s="219"/>
      <c r="AO231" s="227">
        <v>89</v>
      </c>
      <c r="AP231" s="227">
        <v>161</v>
      </c>
      <c r="AQ231" s="218"/>
      <c r="AR231" s="231">
        <v>21.6</v>
      </c>
      <c r="AS231" s="217">
        <v>3.7863679435829298</v>
      </c>
      <c r="AT231" s="232" t="s">
        <v>54</v>
      </c>
      <c r="AU231" s="224">
        <v>0.236647996473933</v>
      </c>
      <c r="AV231" s="225">
        <v>-78.072088297600004</v>
      </c>
      <c r="AW231" s="219"/>
      <c r="AX231" s="219"/>
      <c r="AY231" s="227">
        <v>70</v>
      </c>
      <c r="AZ231" s="227">
        <v>88</v>
      </c>
      <c r="BA231" s="218"/>
      <c r="BB231" s="235">
        <v>249.6</v>
      </c>
      <c r="BC231" s="231">
        <v>43.753585125847202</v>
      </c>
      <c r="BD231" s="232" t="s">
        <v>55</v>
      </c>
      <c r="BE231" s="229">
        <v>1.36729953518272</v>
      </c>
      <c r="BF231" s="230">
        <v>50.255823404800097</v>
      </c>
      <c r="BG231" s="219">
        <v>0.02</v>
      </c>
      <c r="BH231" s="219">
        <v>0.02</v>
      </c>
      <c r="BI231" s="227">
        <v>0</v>
      </c>
      <c r="BJ231" s="227">
        <v>0</v>
      </c>
      <c r="BK231" s="220"/>
      <c r="BL231" s="236">
        <v>0.8</v>
      </c>
      <c r="BM231" s="239">
        <v>0.78</v>
      </c>
      <c r="BN231" s="237"/>
      <c r="BO231" s="238">
        <v>0.95</v>
      </c>
      <c r="BP231" s="229">
        <v>1</v>
      </c>
      <c r="BQ231" s="237">
        <v>2.5000000000000001E-3</v>
      </c>
    </row>
    <row r="232" spans="1:69" s="207" customFormat="1" ht="22.35" customHeight="1" x14ac:dyDescent="0.2">
      <c r="A232" s="216" t="s">
        <v>275</v>
      </c>
      <c r="B232" s="216" t="s">
        <v>299</v>
      </c>
      <c r="C232" s="216" t="s">
        <v>300</v>
      </c>
      <c r="D232" s="217">
        <v>2.4562906796666701</v>
      </c>
      <c r="E232" s="218"/>
      <c r="F232" s="219">
        <v>6.3E-2</v>
      </c>
      <c r="G232" s="219">
        <v>5.2999999999999999E-2</v>
      </c>
      <c r="H232" s="220"/>
      <c r="I232" s="221">
        <v>6</v>
      </c>
      <c r="J232" s="221">
        <v>6</v>
      </c>
      <c r="K232" s="218"/>
      <c r="L232" s="222">
        <v>453.65481999999997</v>
      </c>
      <c r="M232" s="222">
        <v>514.88748999999996</v>
      </c>
      <c r="N232" s="222">
        <v>968.54231000000004</v>
      </c>
      <c r="O232" s="217">
        <v>394.31094944000603</v>
      </c>
      <c r="P232" s="223">
        <v>232.92099999999999</v>
      </c>
      <c r="Q232" s="229">
        <v>1.6928956574976299</v>
      </c>
      <c r="R232" s="230">
        <v>343.78543391268499</v>
      </c>
      <c r="S232" s="219">
        <v>0.01</v>
      </c>
      <c r="T232" s="219">
        <v>0.01</v>
      </c>
      <c r="U232" s="226">
        <v>0</v>
      </c>
      <c r="V232" s="227">
        <v>0</v>
      </c>
      <c r="W232" s="218"/>
      <c r="X232" s="226">
        <v>2000.6537499999999</v>
      </c>
      <c r="Y232" s="217">
        <v>814.50203209316396</v>
      </c>
      <c r="Z232" s="228">
        <v>573</v>
      </c>
      <c r="AA232" s="229">
        <v>1.4214695149968</v>
      </c>
      <c r="AB232" s="230">
        <v>463.71337108169001</v>
      </c>
      <c r="AC232" s="219">
        <v>0.02</v>
      </c>
      <c r="AD232" s="219">
        <v>0.02</v>
      </c>
      <c r="AE232" s="227">
        <v>0</v>
      </c>
      <c r="AF232" s="227">
        <v>0</v>
      </c>
      <c r="AG232" s="218"/>
      <c r="AH232" s="231">
        <v>158.69999999999999</v>
      </c>
      <c r="AI232" s="217">
        <v>64.609616978042894</v>
      </c>
      <c r="AJ232" s="232" t="s">
        <v>53</v>
      </c>
      <c r="AK232" s="233">
        <v>1.0255494758419501</v>
      </c>
      <c r="AL232" s="234">
        <v>-10.2829735983482</v>
      </c>
      <c r="AM232" s="219">
        <v>1.2999999999999999E-2</v>
      </c>
      <c r="AN232" s="219">
        <v>3.0000000000000001E-3</v>
      </c>
      <c r="AO232" s="227">
        <v>0</v>
      </c>
      <c r="AP232" s="227">
        <v>27</v>
      </c>
      <c r="AQ232" s="218"/>
      <c r="AR232" s="231">
        <v>9</v>
      </c>
      <c r="AS232" s="217">
        <v>3.6640614543313599</v>
      </c>
      <c r="AT232" s="232" t="s">
        <v>54</v>
      </c>
      <c r="AU232" s="224">
        <v>0.22900384089570999</v>
      </c>
      <c r="AV232" s="225">
        <v>-33.916310755136102</v>
      </c>
      <c r="AW232" s="219"/>
      <c r="AX232" s="219"/>
      <c r="AY232" s="227">
        <v>31</v>
      </c>
      <c r="AZ232" s="227">
        <v>39</v>
      </c>
      <c r="BA232" s="218"/>
      <c r="BB232" s="235">
        <v>96.6</v>
      </c>
      <c r="BC232" s="231">
        <v>39.327592943156503</v>
      </c>
      <c r="BD232" s="232" t="s">
        <v>55</v>
      </c>
      <c r="BE232" s="229">
        <v>1.2289872794736401</v>
      </c>
      <c r="BF232" s="230">
        <v>10.7673784897279</v>
      </c>
      <c r="BG232" s="219">
        <v>0.02</v>
      </c>
      <c r="BH232" s="219">
        <v>0.02</v>
      </c>
      <c r="BI232" s="227">
        <v>0</v>
      </c>
      <c r="BJ232" s="227">
        <v>0</v>
      </c>
      <c r="BK232" s="220"/>
      <c r="BL232" s="236">
        <v>0.8</v>
      </c>
      <c r="BM232" s="233">
        <v>0.85</v>
      </c>
      <c r="BN232" s="237">
        <v>1.8749999999999999E-3</v>
      </c>
      <c r="BO232" s="238">
        <v>0.95</v>
      </c>
      <c r="BP232" s="229">
        <v>1</v>
      </c>
      <c r="BQ232" s="237">
        <v>2.5000000000000001E-3</v>
      </c>
    </row>
    <row r="233" spans="1:69" s="207" customFormat="1" ht="22.35" customHeight="1" x14ac:dyDescent="0.2">
      <c r="A233" s="216" t="s">
        <v>275</v>
      </c>
      <c r="B233" s="216" t="s">
        <v>299</v>
      </c>
      <c r="C233" s="216" t="s">
        <v>301</v>
      </c>
      <c r="D233" s="217">
        <v>3.3263409928888898</v>
      </c>
      <c r="E233" s="218"/>
      <c r="F233" s="219">
        <v>4.3999999999999997E-2</v>
      </c>
      <c r="G233" s="219">
        <v>3.4000000000000002E-2</v>
      </c>
      <c r="H233" s="220"/>
      <c r="I233" s="221">
        <v>4</v>
      </c>
      <c r="J233" s="221">
        <v>4</v>
      </c>
      <c r="K233" s="218"/>
      <c r="L233" s="222">
        <v>995.75178000000005</v>
      </c>
      <c r="M233" s="222">
        <v>1654.8892499999999</v>
      </c>
      <c r="N233" s="222">
        <v>2650.6410299999998</v>
      </c>
      <c r="O233" s="217">
        <v>796.86389208640605</v>
      </c>
      <c r="P233" s="223">
        <v>222.845</v>
      </c>
      <c r="Q233" s="229">
        <v>3.5758661495048401</v>
      </c>
      <c r="R233" s="230">
        <v>1841.18679325212</v>
      </c>
      <c r="S233" s="219">
        <v>0.01</v>
      </c>
      <c r="T233" s="219">
        <v>0.01</v>
      </c>
      <c r="U233" s="226">
        <v>0</v>
      </c>
      <c r="V233" s="227">
        <v>0</v>
      </c>
      <c r="W233" s="218"/>
      <c r="X233" s="226">
        <v>1977.1868300000001</v>
      </c>
      <c r="Y233" s="217">
        <v>594.40292929283703</v>
      </c>
      <c r="Z233" s="228">
        <v>573</v>
      </c>
      <c r="AA233" s="233">
        <v>1.03735240714282</v>
      </c>
      <c r="AB233" s="234">
        <v>-104.15795070646401</v>
      </c>
      <c r="AC233" s="219">
        <v>1.4E-2</v>
      </c>
      <c r="AD233" s="219">
        <v>4.0000000000000001E-3</v>
      </c>
      <c r="AE233" s="227">
        <v>0</v>
      </c>
      <c r="AF233" s="227">
        <v>311</v>
      </c>
      <c r="AG233" s="218"/>
      <c r="AH233" s="231">
        <v>186.65</v>
      </c>
      <c r="AI233" s="217">
        <v>56.112707746747503</v>
      </c>
      <c r="AJ233" s="232" t="s">
        <v>53</v>
      </c>
      <c r="AK233" s="239">
        <v>0.89067790074202302</v>
      </c>
      <c r="AL233" s="222">
        <v>-42.188954946784101</v>
      </c>
      <c r="AM233" s="219"/>
      <c r="AN233" s="219"/>
      <c r="AO233" s="227">
        <v>23</v>
      </c>
      <c r="AP233" s="227">
        <v>65</v>
      </c>
      <c r="AQ233" s="218"/>
      <c r="AR233" s="231">
        <v>29.2</v>
      </c>
      <c r="AS233" s="217">
        <v>8.7784144988214603</v>
      </c>
      <c r="AT233" s="232" t="s">
        <v>54</v>
      </c>
      <c r="AU233" s="224">
        <v>0.54865090617634105</v>
      </c>
      <c r="AV233" s="225">
        <v>-28.917829827754701</v>
      </c>
      <c r="AW233" s="219"/>
      <c r="AX233" s="219"/>
      <c r="AY233" s="227">
        <v>25</v>
      </c>
      <c r="AZ233" s="227">
        <v>35</v>
      </c>
      <c r="BA233" s="218"/>
      <c r="BB233" s="235">
        <v>158.6</v>
      </c>
      <c r="BC233" s="231">
        <v>47.680018476475503</v>
      </c>
      <c r="BD233" s="232" t="s">
        <v>55</v>
      </c>
      <c r="BE233" s="229">
        <v>1.4900005773898599</v>
      </c>
      <c r="BF233" s="230">
        <v>42.3643403444906</v>
      </c>
      <c r="BG233" s="219">
        <v>0.02</v>
      </c>
      <c r="BH233" s="219">
        <v>0.02</v>
      </c>
      <c r="BI233" s="227">
        <v>0</v>
      </c>
      <c r="BJ233" s="227">
        <v>0</v>
      </c>
      <c r="BK233" s="220"/>
      <c r="BL233" s="236">
        <v>0.8</v>
      </c>
      <c r="BM233" s="239">
        <v>0.72</v>
      </c>
      <c r="BN233" s="237"/>
      <c r="BO233" s="238">
        <v>0.95</v>
      </c>
      <c r="BP233" s="229">
        <v>1</v>
      </c>
      <c r="BQ233" s="237">
        <v>2.5000000000000001E-3</v>
      </c>
    </row>
    <row r="234" spans="1:69" s="207" customFormat="1" ht="22.35" customHeight="1" x14ac:dyDescent="0.2">
      <c r="A234" s="216" t="s">
        <v>275</v>
      </c>
      <c r="B234" s="216" t="s">
        <v>299</v>
      </c>
      <c r="C234" s="216" t="s">
        <v>302</v>
      </c>
      <c r="D234" s="217">
        <v>2.2747145523333301</v>
      </c>
      <c r="E234" s="218"/>
      <c r="F234" s="219">
        <v>0.04</v>
      </c>
      <c r="G234" s="219">
        <v>0.03</v>
      </c>
      <c r="H234" s="220"/>
      <c r="I234" s="221">
        <v>5</v>
      </c>
      <c r="J234" s="221">
        <v>4</v>
      </c>
      <c r="K234" s="218"/>
      <c r="L234" s="222">
        <v>1235.28027</v>
      </c>
      <c r="M234" s="222">
        <v>788.38747000000001</v>
      </c>
      <c r="N234" s="222">
        <v>2023.6677400000001</v>
      </c>
      <c r="O234" s="217">
        <v>889.63590527179895</v>
      </c>
      <c r="P234" s="223">
        <v>212.5</v>
      </c>
      <c r="Q234" s="229">
        <v>4.1865219071614099</v>
      </c>
      <c r="R234" s="230">
        <v>1495.82022813105</v>
      </c>
      <c r="S234" s="219">
        <v>0.01</v>
      </c>
      <c r="T234" s="219">
        <v>0.01</v>
      </c>
      <c r="U234" s="226">
        <v>0</v>
      </c>
      <c r="V234" s="227">
        <v>0</v>
      </c>
      <c r="W234" s="218"/>
      <c r="X234" s="226">
        <v>1678.911515</v>
      </c>
      <c r="Y234" s="217">
        <v>738.07569098189595</v>
      </c>
      <c r="Z234" s="228">
        <v>573</v>
      </c>
      <c r="AA234" s="229">
        <v>1.28809021113769</v>
      </c>
      <c r="AB234" s="230">
        <v>255.586224172198</v>
      </c>
      <c r="AC234" s="219">
        <v>0.02</v>
      </c>
      <c r="AD234" s="219">
        <v>0.02</v>
      </c>
      <c r="AE234" s="227">
        <v>0</v>
      </c>
      <c r="AF234" s="227">
        <v>0</v>
      </c>
      <c r="AG234" s="218"/>
      <c r="AH234" s="231">
        <v>119.8</v>
      </c>
      <c r="AI234" s="217">
        <v>52.665948735023797</v>
      </c>
      <c r="AJ234" s="232" t="s">
        <v>53</v>
      </c>
      <c r="AK234" s="239">
        <v>0.83596744023847303</v>
      </c>
      <c r="AL234" s="222">
        <v>-36.691262342323803</v>
      </c>
      <c r="AM234" s="219"/>
      <c r="AN234" s="219"/>
      <c r="AO234" s="227">
        <v>24</v>
      </c>
      <c r="AP234" s="227">
        <v>53</v>
      </c>
      <c r="AQ234" s="218"/>
      <c r="AR234" s="231">
        <v>19.600000000000001</v>
      </c>
      <c r="AS234" s="217">
        <v>8.6164657362810306</v>
      </c>
      <c r="AT234" s="232" t="s">
        <v>54</v>
      </c>
      <c r="AU234" s="224">
        <v>0.53852910851756397</v>
      </c>
      <c r="AV234" s="225">
        <v>-20.143812658367899</v>
      </c>
      <c r="AW234" s="219"/>
      <c r="AX234" s="219"/>
      <c r="AY234" s="227">
        <v>17</v>
      </c>
      <c r="AZ234" s="227">
        <v>25</v>
      </c>
      <c r="BA234" s="218"/>
      <c r="BB234" s="235">
        <v>72.599999999999994</v>
      </c>
      <c r="BC234" s="231">
        <v>31.916092472142999</v>
      </c>
      <c r="BD234" s="232" t="s">
        <v>55</v>
      </c>
      <c r="BE234" s="233">
        <v>0.99737788975446795</v>
      </c>
      <c r="BF234" s="234">
        <v>-6.8876253167358801</v>
      </c>
      <c r="BG234" s="219">
        <v>0.01</v>
      </c>
      <c r="BH234" s="219">
        <v>0</v>
      </c>
      <c r="BI234" s="227">
        <v>1</v>
      </c>
      <c r="BJ234" s="227">
        <v>15</v>
      </c>
      <c r="BK234" s="220"/>
      <c r="BL234" s="236">
        <v>0.8</v>
      </c>
      <c r="BM234" s="233">
        <v>0.82</v>
      </c>
      <c r="BN234" s="237">
        <v>7.5000000000000002E-4</v>
      </c>
      <c r="BO234" s="238">
        <v>0.95</v>
      </c>
      <c r="BP234" s="229">
        <v>1</v>
      </c>
      <c r="BQ234" s="237">
        <v>2.5000000000000001E-3</v>
      </c>
    </row>
    <row r="235" spans="1:69" s="207" customFormat="1" ht="22.35" customHeight="1" x14ac:dyDescent="0.2">
      <c r="A235" s="216" t="s">
        <v>275</v>
      </c>
      <c r="B235" s="216" t="s">
        <v>299</v>
      </c>
      <c r="C235" s="216" t="s">
        <v>303</v>
      </c>
      <c r="D235" s="217">
        <v>2.9376340330000001</v>
      </c>
      <c r="E235" s="218"/>
      <c r="F235" s="219">
        <v>7.0000000000000007E-2</v>
      </c>
      <c r="G235" s="219">
        <v>5.5E-2</v>
      </c>
      <c r="H235" s="220"/>
      <c r="I235" s="221">
        <v>5</v>
      </c>
      <c r="J235" s="221">
        <v>5</v>
      </c>
      <c r="K235" s="218"/>
      <c r="L235" s="222">
        <v>1175.88912</v>
      </c>
      <c r="M235" s="222">
        <v>1777.44262</v>
      </c>
      <c r="N235" s="222">
        <v>2953.3317400000001</v>
      </c>
      <c r="O235" s="217">
        <v>1005.3436564336</v>
      </c>
      <c r="P235" s="223">
        <v>229.05500000000001</v>
      </c>
      <c r="Q235" s="229">
        <v>4.3890928223946197</v>
      </c>
      <c r="R235" s="230">
        <v>2218.5470383357301</v>
      </c>
      <c r="S235" s="219">
        <v>0.01</v>
      </c>
      <c r="T235" s="219">
        <v>0.01</v>
      </c>
      <c r="U235" s="226">
        <v>0</v>
      </c>
      <c r="V235" s="227">
        <v>0</v>
      </c>
      <c r="W235" s="218"/>
      <c r="X235" s="226">
        <v>1879.09563</v>
      </c>
      <c r="Y235" s="217">
        <v>639.66294265763599</v>
      </c>
      <c r="Z235" s="228">
        <v>573</v>
      </c>
      <c r="AA235" s="229">
        <v>1.1163402140621901</v>
      </c>
      <c r="AB235" s="230">
        <v>40.971013407371899</v>
      </c>
      <c r="AC235" s="219">
        <v>0.02</v>
      </c>
      <c r="AD235" s="219">
        <v>1.2E-2</v>
      </c>
      <c r="AE235" s="227">
        <v>0</v>
      </c>
      <c r="AF235" s="227">
        <v>141</v>
      </c>
      <c r="AG235" s="218"/>
      <c r="AH235" s="231">
        <v>210</v>
      </c>
      <c r="AI235" s="217">
        <v>71.486099916108898</v>
      </c>
      <c r="AJ235" s="232" t="s">
        <v>53</v>
      </c>
      <c r="AK235" s="229">
        <v>1.1346999986684001</v>
      </c>
      <c r="AL235" s="230">
        <v>7.9025290657319802</v>
      </c>
      <c r="AM235" s="219">
        <v>0.02</v>
      </c>
      <c r="AN235" s="219">
        <v>1.2999999999999999E-2</v>
      </c>
      <c r="AO235" s="227">
        <v>0</v>
      </c>
      <c r="AP235" s="227">
        <v>13</v>
      </c>
      <c r="AQ235" s="218"/>
      <c r="AR235" s="231">
        <v>25.1</v>
      </c>
      <c r="AS235" s="217">
        <v>8.5442909899730193</v>
      </c>
      <c r="AT235" s="232" t="s">
        <v>54</v>
      </c>
      <c r="AU235" s="224">
        <v>0.53401818687331404</v>
      </c>
      <c r="AV235" s="225">
        <v>-26.226341824576</v>
      </c>
      <c r="AW235" s="219"/>
      <c r="AX235" s="219"/>
      <c r="AY235" s="227">
        <v>22</v>
      </c>
      <c r="AZ235" s="227">
        <v>32</v>
      </c>
      <c r="BA235" s="218"/>
      <c r="BB235" s="235">
        <v>123.6</v>
      </c>
      <c r="BC235" s="231">
        <v>42.074675950624098</v>
      </c>
      <c r="BD235" s="232" t="s">
        <v>55</v>
      </c>
      <c r="BE235" s="229">
        <v>1.3148336234569999</v>
      </c>
      <c r="BF235" s="230">
        <v>20.947316350847998</v>
      </c>
      <c r="BG235" s="219">
        <v>0.02</v>
      </c>
      <c r="BH235" s="219">
        <v>0.02</v>
      </c>
      <c r="BI235" s="227">
        <v>0</v>
      </c>
      <c r="BJ235" s="227">
        <v>0</v>
      </c>
      <c r="BK235" s="220"/>
      <c r="BL235" s="236">
        <v>0.8</v>
      </c>
      <c r="BM235" s="239">
        <v>0.76</v>
      </c>
      <c r="BN235" s="237"/>
      <c r="BO235" s="238">
        <v>0.95</v>
      </c>
      <c r="BP235" s="229">
        <v>1</v>
      </c>
      <c r="BQ235" s="237">
        <v>2.5000000000000001E-3</v>
      </c>
    </row>
    <row r="236" spans="1:69" s="207" customFormat="1" ht="22.35" customHeight="1" x14ac:dyDescent="0.2">
      <c r="A236" s="216" t="s">
        <v>275</v>
      </c>
      <c r="B236" s="216" t="s">
        <v>299</v>
      </c>
      <c r="C236" s="216" t="s">
        <v>304</v>
      </c>
      <c r="D236" s="217">
        <v>3.2454949072222199</v>
      </c>
      <c r="E236" s="218"/>
      <c r="F236" s="219">
        <v>0.01</v>
      </c>
      <c r="G236" s="219">
        <v>0.01</v>
      </c>
      <c r="H236" s="220"/>
      <c r="I236" s="221">
        <v>2</v>
      </c>
      <c r="J236" s="221">
        <v>2</v>
      </c>
      <c r="K236" s="218"/>
      <c r="L236" s="222">
        <v>1795.58215</v>
      </c>
      <c r="M236" s="222">
        <v>-126.78068</v>
      </c>
      <c r="N236" s="222">
        <v>1668.8014700000001</v>
      </c>
      <c r="O236" s="217">
        <v>514.19013669884498</v>
      </c>
      <c r="P236" s="223">
        <v>242.61199999999999</v>
      </c>
      <c r="Q236" s="229">
        <v>2.1193928441249601</v>
      </c>
      <c r="R236" s="230">
        <v>808.96502660935096</v>
      </c>
      <c r="S236" s="219">
        <v>0.01</v>
      </c>
      <c r="T236" s="219">
        <v>0.01</v>
      </c>
      <c r="U236" s="226">
        <v>0</v>
      </c>
      <c r="V236" s="227">
        <v>0</v>
      </c>
      <c r="W236" s="218"/>
      <c r="X236" s="226">
        <v>1229.027525</v>
      </c>
      <c r="Y236" s="217">
        <v>378.68724497611601</v>
      </c>
      <c r="Z236" s="228">
        <v>573</v>
      </c>
      <c r="AA236" s="224">
        <v>0.66088524428641604</v>
      </c>
      <c r="AB236" s="225">
        <v>-801.73056636745901</v>
      </c>
      <c r="AC236" s="219"/>
      <c r="AD236" s="219"/>
      <c r="AE236" s="227">
        <v>631</v>
      </c>
      <c r="AF236" s="227">
        <v>1003</v>
      </c>
      <c r="AG236" s="218"/>
      <c r="AH236" s="231">
        <v>138.30000000000001</v>
      </c>
      <c r="AI236" s="217">
        <v>42.612915426932297</v>
      </c>
      <c r="AJ236" s="232" t="s">
        <v>53</v>
      </c>
      <c r="AK236" s="224">
        <v>0.676395482967179</v>
      </c>
      <c r="AL236" s="225">
        <v>-84.977067637259793</v>
      </c>
      <c r="AM236" s="219"/>
      <c r="AN236" s="219"/>
      <c r="AO236" s="227">
        <v>67</v>
      </c>
      <c r="AP236" s="227">
        <v>108</v>
      </c>
      <c r="AQ236" s="218"/>
      <c r="AR236" s="231">
        <v>11.8</v>
      </c>
      <c r="AS236" s="217">
        <v>3.6358091253637101</v>
      </c>
      <c r="AT236" s="232" t="s">
        <v>54</v>
      </c>
      <c r="AU236" s="224">
        <v>0.227238070335232</v>
      </c>
      <c r="AV236" s="225">
        <v>-44.905287018986598</v>
      </c>
      <c r="AW236" s="219"/>
      <c r="AX236" s="219"/>
      <c r="AY236" s="227">
        <v>41</v>
      </c>
      <c r="AZ236" s="227">
        <v>51</v>
      </c>
      <c r="BA236" s="218"/>
      <c r="BB236" s="235">
        <v>79</v>
      </c>
      <c r="BC236" s="231">
        <v>24.341433974892599</v>
      </c>
      <c r="BD236" s="232" t="s">
        <v>55</v>
      </c>
      <c r="BE236" s="239">
        <v>0.76066981171539405</v>
      </c>
      <c r="BF236" s="222">
        <v>-34.410574037973298</v>
      </c>
      <c r="BG236" s="219"/>
      <c r="BH236" s="219"/>
      <c r="BI236" s="227">
        <v>25</v>
      </c>
      <c r="BJ236" s="227">
        <v>46</v>
      </c>
      <c r="BK236" s="220"/>
      <c r="BL236" s="236">
        <v>0.8</v>
      </c>
      <c r="BM236" s="239">
        <v>0.74</v>
      </c>
      <c r="BN236" s="237"/>
      <c r="BO236" s="238">
        <v>0.95</v>
      </c>
      <c r="BP236" s="229">
        <v>1</v>
      </c>
      <c r="BQ236" s="237">
        <v>2.5000000000000001E-3</v>
      </c>
    </row>
    <row r="237" spans="1:69" s="207" customFormat="1" ht="22.35" customHeight="1" x14ac:dyDescent="0.2">
      <c r="A237" s="216" t="s">
        <v>275</v>
      </c>
      <c r="B237" s="216" t="s">
        <v>299</v>
      </c>
      <c r="C237" s="216" t="s">
        <v>305</v>
      </c>
      <c r="D237" s="217">
        <v>2.8560806016666702</v>
      </c>
      <c r="E237" s="218"/>
      <c r="F237" s="219">
        <v>6.0999999999999999E-2</v>
      </c>
      <c r="G237" s="219">
        <v>0.04</v>
      </c>
      <c r="H237" s="220"/>
      <c r="I237" s="221">
        <v>7</v>
      </c>
      <c r="J237" s="221">
        <v>7</v>
      </c>
      <c r="K237" s="218"/>
      <c r="L237" s="222">
        <v>1844.8951500000001</v>
      </c>
      <c r="M237" s="222">
        <v>1835.6639</v>
      </c>
      <c r="N237" s="222">
        <v>3680.5590499999998</v>
      </c>
      <c r="O237" s="217">
        <v>1288.6747831458999</v>
      </c>
      <c r="P237" s="223">
        <v>215.88200000000001</v>
      </c>
      <c r="Q237" s="229">
        <v>5.9693479917079699</v>
      </c>
      <c r="R237" s="230">
        <v>3007.2576294456899</v>
      </c>
      <c r="S237" s="219">
        <v>0.01</v>
      </c>
      <c r="T237" s="219">
        <v>0.01</v>
      </c>
      <c r="U237" s="226">
        <v>0</v>
      </c>
      <c r="V237" s="227">
        <v>0</v>
      </c>
      <c r="W237" s="218"/>
      <c r="X237" s="226">
        <v>1640.8411599999999</v>
      </c>
      <c r="Y237" s="217">
        <v>574.50800199493199</v>
      </c>
      <c r="Z237" s="228">
        <v>573</v>
      </c>
      <c r="AA237" s="233">
        <v>1.0026317661342601</v>
      </c>
      <c r="AB237" s="234">
        <v>-146.25416975246199</v>
      </c>
      <c r="AC237" s="219">
        <v>0.01</v>
      </c>
      <c r="AD237" s="219">
        <v>1E-3</v>
      </c>
      <c r="AE237" s="227">
        <v>0</v>
      </c>
      <c r="AF237" s="227">
        <v>323</v>
      </c>
      <c r="AG237" s="218"/>
      <c r="AH237" s="231">
        <v>181.5</v>
      </c>
      <c r="AI237" s="217">
        <v>63.548626706853298</v>
      </c>
      <c r="AJ237" s="232" t="s">
        <v>53</v>
      </c>
      <c r="AK237" s="233">
        <v>1.0087083604262399</v>
      </c>
      <c r="AL237" s="234">
        <v>-14.9869210722603</v>
      </c>
      <c r="AM237" s="219">
        <v>1.0999999999999999E-2</v>
      </c>
      <c r="AN237" s="219">
        <v>1E-3</v>
      </c>
      <c r="AO237" s="227">
        <v>0</v>
      </c>
      <c r="AP237" s="227">
        <v>35</v>
      </c>
      <c r="AQ237" s="218"/>
      <c r="AR237" s="231">
        <v>52.8</v>
      </c>
      <c r="AS237" s="217">
        <v>18.486873223811902</v>
      </c>
      <c r="AT237" s="232" t="s">
        <v>54</v>
      </c>
      <c r="AU237" s="229">
        <v>1.1554295764882401</v>
      </c>
      <c r="AV237" s="230">
        <v>2.89855972767994</v>
      </c>
      <c r="AW237" s="219">
        <v>0.01</v>
      </c>
      <c r="AX237" s="219">
        <v>8.0000000000000002E-3</v>
      </c>
      <c r="AY237" s="227">
        <v>0</v>
      </c>
      <c r="AZ237" s="227">
        <v>3</v>
      </c>
      <c r="BA237" s="218"/>
      <c r="BB237" s="235">
        <v>131.6</v>
      </c>
      <c r="BC237" s="231">
        <v>46.077130989652296</v>
      </c>
      <c r="BD237" s="232" t="s">
        <v>55</v>
      </c>
      <c r="BE237" s="229">
        <v>1.43991034342663</v>
      </c>
      <c r="BF237" s="230">
        <v>31.797119455359901</v>
      </c>
      <c r="BG237" s="219">
        <v>0.02</v>
      </c>
      <c r="BH237" s="219">
        <v>0.02</v>
      </c>
      <c r="BI237" s="227">
        <v>0</v>
      </c>
      <c r="BJ237" s="227">
        <v>0</v>
      </c>
      <c r="BK237" s="220"/>
      <c r="BL237" s="236">
        <v>0.8</v>
      </c>
      <c r="BM237" s="233">
        <v>0.81</v>
      </c>
      <c r="BN237" s="237">
        <v>3.7500000000000001E-4</v>
      </c>
      <c r="BO237" s="238">
        <v>0.95</v>
      </c>
      <c r="BP237" s="229">
        <v>1</v>
      </c>
      <c r="BQ237" s="237">
        <v>2.5000000000000001E-3</v>
      </c>
    </row>
    <row r="238" spans="1:69" s="207" customFormat="1" ht="22.35" customHeight="1" x14ac:dyDescent="0.2">
      <c r="A238" s="216" t="s">
        <v>275</v>
      </c>
      <c r="B238" s="216" t="s">
        <v>299</v>
      </c>
      <c r="C238" s="216" t="s">
        <v>306</v>
      </c>
      <c r="D238" s="217">
        <v>9.2014397199999998</v>
      </c>
      <c r="E238" s="218"/>
      <c r="F238" s="219">
        <v>3.6999999999999998E-2</v>
      </c>
      <c r="G238" s="219">
        <v>0.03</v>
      </c>
      <c r="H238" s="220"/>
      <c r="I238" s="221">
        <v>4</v>
      </c>
      <c r="J238" s="221">
        <v>3</v>
      </c>
      <c r="K238" s="218"/>
      <c r="L238" s="222">
        <v>6734.0102999999999</v>
      </c>
      <c r="M238" s="222">
        <v>-1971.1082100000001</v>
      </c>
      <c r="N238" s="222">
        <v>4762.9020899999996</v>
      </c>
      <c r="O238" s="217">
        <v>517.62574498504705</v>
      </c>
      <c r="P238" s="223">
        <v>232.92099999999999</v>
      </c>
      <c r="Q238" s="229">
        <v>2.2223232125271899</v>
      </c>
      <c r="R238" s="230">
        <v>2422.5183632038402</v>
      </c>
      <c r="S238" s="219">
        <v>0.01</v>
      </c>
      <c r="T238" s="219">
        <v>0.01</v>
      </c>
      <c r="U238" s="226">
        <v>0</v>
      </c>
      <c r="V238" s="227">
        <v>0</v>
      </c>
      <c r="W238" s="218"/>
      <c r="X238" s="226">
        <v>5144.4683949999999</v>
      </c>
      <c r="Y238" s="217">
        <v>559.09385395615004</v>
      </c>
      <c r="Z238" s="228">
        <v>573</v>
      </c>
      <c r="AA238" s="233">
        <v>0.97573098421666704</v>
      </c>
      <c r="AB238" s="234">
        <v>-613.01966083952004</v>
      </c>
      <c r="AC238" s="219">
        <v>7.0000000000000001E-3</v>
      </c>
      <c r="AD238" s="219"/>
      <c r="AE238" s="227">
        <v>128</v>
      </c>
      <c r="AF238" s="227">
        <v>1183</v>
      </c>
      <c r="AG238" s="218"/>
      <c r="AH238" s="231">
        <v>525.79999999999995</v>
      </c>
      <c r="AI238" s="217">
        <v>57.143231494212301</v>
      </c>
      <c r="AJ238" s="232" t="s">
        <v>53</v>
      </c>
      <c r="AK238" s="239">
        <v>0.90703542054305197</v>
      </c>
      <c r="AL238" s="222">
        <v>-107.22224697711999</v>
      </c>
      <c r="AM238" s="219">
        <v>0</v>
      </c>
      <c r="AN238" s="219"/>
      <c r="AO238" s="227">
        <v>54</v>
      </c>
      <c r="AP238" s="227">
        <v>170</v>
      </c>
      <c r="AQ238" s="218"/>
      <c r="AR238" s="231">
        <v>48.8</v>
      </c>
      <c r="AS238" s="217">
        <v>5.3035178716575899</v>
      </c>
      <c r="AT238" s="232" t="s">
        <v>54</v>
      </c>
      <c r="AU238" s="224">
        <v>0.33146986697859898</v>
      </c>
      <c r="AV238" s="225">
        <v>-111.96755478784</v>
      </c>
      <c r="AW238" s="219"/>
      <c r="AX238" s="219"/>
      <c r="AY238" s="227">
        <v>99</v>
      </c>
      <c r="AZ238" s="227">
        <v>128</v>
      </c>
      <c r="BA238" s="218"/>
      <c r="BB238" s="235">
        <v>356</v>
      </c>
      <c r="BC238" s="231">
        <v>38.689597588321703</v>
      </c>
      <c r="BD238" s="232" t="s">
        <v>55</v>
      </c>
      <c r="BE238" s="229">
        <v>1.2090499246350499</v>
      </c>
      <c r="BF238" s="230">
        <v>34.464890424319996</v>
      </c>
      <c r="BG238" s="219">
        <v>0.02</v>
      </c>
      <c r="BH238" s="219">
        <v>0.02</v>
      </c>
      <c r="BI238" s="227">
        <v>0</v>
      </c>
      <c r="BJ238" s="227">
        <v>0</v>
      </c>
      <c r="BK238" s="220"/>
      <c r="BL238" s="236">
        <v>0.8</v>
      </c>
      <c r="BM238" s="239">
        <v>0.77</v>
      </c>
      <c r="BN238" s="237"/>
      <c r="BO238" s="238">
        <v>0.95</v>
      </c>
      <c r="BP238" s="229">
        <v>1</v>
      </c>
      <c r="BQ238" s="237">
        <v>2.5000000000000001E-3</v>
      </c>
    </row>
    <row r="239" spans="1:69" s="207" customFormat="1" ht="22.35" customHeight="1" x14ac:dyDescent="0.2">
      <c r="A239" s="216" t="s">
        <v>275</v>
      </c>
      <c r="B239" s="216" t="s">
        <v>299</v>
      </c>
      <c r="C239" s="216" t="s">
        <v>307</v>
      </c>
      <c r="D239" s="217">
        <v>2.4944492774444398</v>
      </c>
      <c r="E239" s="218"/>
      <c r="F239" s="219">
        <v>0.05</v>
      </c>
      <c r="G239" s="219">
        <v>3.4000000000000002E-2</v>
      </c>
      <c r="H239" s="220"/>
      <c r="I239" s="221">
        <v>4</v>
      </c>
      <c r="J239" s="221">
        <v>4</v>
      </c>
      <c r="K239" s="218"/>
      <c r="L239" s="222">
        <v>1761.67652</v>
      </c>
      <c r="M239" s="222">
        <v>-20.295839999999998</v>
      </c>
      <c r="N239" s="222">
        <v>1741.38068</v>
      </c>
      <c r="O239" s="217">
        <v>698.10226078601204</v>
      </c>
      <c r="P239" s="223">
        <v>245.339</v>
      </c>
      <c r="Q239" s="229">
        <v>2.8454597955727001</v>
      </c>
      <c r="R239" s="230">
        <v>1073.0923051233999</v>
      </c>
      <c r="S239" s="219">
        <v>0.01</v>
      </c>
      <c r="T239" s="219">
        <v>0.01</v>
      </c>
      <c r="U239" s="226">
        <v>0</v>
      </c>
      <c r="V239" s="227">
        <v>0</v>
      </c>
      <c r="W239" s="218"/>
      <c r="X239" s="226">
        <v>1639.890635</v>
      </c>
      <c r="Y239" s="217">
        <v>657.415907322061</v>
      </c>
      <c r="Z239" s="228">
        <v>573</v>
      </c>
      <c r="AA239" s="229">
        <v>1.1473227003875399</v>
      </c>
      <c r="AB239" s="230">
        <v>79.073810914574807</v>
      </c>
      <c r="AC239" s="219">
        <v>0.02</v>
      </c>
      <c r="AD239" s="219">
        <v>1.4999999999999999E-2</v>
      </c>
      <c r="AE239" s="227">
        <v>0</v>
      </c>
      <c r="AF239" s="227">
        <v>76</v>
      </c>
      <c r="AG239" s="218"/>
      <c r="AH239" s="231">
        <v>85.7</v>
      </c>
      <c r="AI239" s="217">
        <v>34.356280873267302</v>
      </c>
      <c r="AJ239" s="232" t="s">
        <v>53</v>
      </c>
      <c r="AK239" s="224">
        <v>0.54533779163916296</v>
      </c>
      <c r="AL239" s="225">
        <v>-85.908132491067704</v>
      </c>
      <c r="AM239" s="219"/>
      <c r="AN239" s="219"/>
      <c r="AO239" s="227">
        <v>72</v>
      </c>
      <c r="AP239" s="227">
        <v>103</v>
      </c>
      <c r="AQ239" s="218"/>
      <c r="AR239" s="231">
        <v>11</v>
      </c>
      <c r="AS239" s="217">
        <v>4.4097910105710696</v>
      </c>
      <c r="AT239" s="232" t="s">
        <v>54</v>
      </c>
      <c r="AU239" s="224">
        <v>0.27561193816069202</v>
      </c>
      <c r="AV239" s="225">
        <v>-32.583017775509298</v>
      </c>
      <c r="AW239" s="219"/>
      <c r="AX239" s="219"/>
      <c r="AY239" s="227">
        <v>29</v>
      </c>
      <c r="AZ239" s="227">
        <v>37</v>
      </c>
      <c r="BA239" s="218"/>
      <c r="BB239" s="235">
        <v>87</v>
      </c>
      <c r="BC239" s="231">
        <v>34.877437992698397</v>
      </c>
      <c r="BD239" s="232" t="s">
        <v>55</v>
      </c>
      <c r="BE239" s="229">
        <v>1.08991993727183</v>
      </c>
      <c r="BF239" s="230">
        <v>-0.16603555101851</v>
      </c>
      <c r="BG239" s="219">
        <v>0.02</v>
      </c>
      <c r="BH239" s="219">
        <v>8.9999999999999993E-3</v>
      </c>
      <c r="BI239" s="227">
        <v>0</v>
      </c>
      <c r="BJ239" s="227">
        <v>9</v>
      </c>
      <c r="BK239" s="220"/>
      <c r="BL239" s="236">
        <v>0.8</v>
      </c>
      <c r="BM239" s="239">
        <v>0.79</v>
      </c>
      <c r="BN239" s="237"/>
      <c r="BO239" s="238">
        <v>0.95</v>
      </c>
      <c r="BP239" s="229">
        <v>1</v>
      </c>
      <c r="BQ239" s="237">
        <v>2.5000000000000001E-3</v>
      </c>
    </row>
    <row r="240" spans="1:69" s="207" customFormat="1" ht="22.35" customHeight="1" x14ac:dyDescent="0.2">
      <c r="A240" s="216" t="s">
        <v>275</v>
      </c>
      <c r="B240" s="216" t="s">
        <v>299</v>
      </c>
      <c r="C240" s="216" t="s">
        <v>308</v>
      </c>
      <c r="D240" s="217">
        <v>2.6001805638888902</v>
      </c>
      <c r="E240" s="218"/>
      <c r="F240" s="219"/>
      <c r="G240" s="219"/>
      <c r="H240" s="220"/>
      <c r="I240" s="221">
        <v>1</v>
      </c>
      <c r="J240" s="221">
        <v>1</v>
      </c>
      <c r="K240" s="218"/>
      <c r="L240" s="222"/>
      <c r="M240" s="222">
        <v>72.353960000000001</v>
      </c>
      <c r="N240" s="222">
        <v>72.353960000000001</v>
      </c>
      <c r="O240" s="217">
        <v>27.8265136678761</v>
      </c>
      <c r="P240" s="223">
        <v>217.09100000000001</v>
      </c>
      <c r="Q240" s="224">
        <v>0.12817902938341999</v>
      </c>
      <c r="R240" s="225">
        <v>-544.05361228436198</v>
      </c>
      <c r="S240" s="219"/>
      <c r="T240" s="219"/>
      <c r="U240" s="226">
        <v>493</v>
      </c>
      <c r="V240" s="227">
        <v>606</v>
      </c>
      <c r="W240" s="218"/>
      <c r="X240" s="226">
        <v>1076.60023</v>
      </c>
      <c r="Y240" s="217">
        <v>414.04825686021297</v>
      </c>
      <c r="Z240" s="228">
        <v>573</v>
      </c>
      <c r="AA240" s="224">
        <v>0.72259730691136603</v>
      </c>
      <c r="AB240" s="225">
        <v>-550.37435171430104</v>
      </c>
      <c r="AC240" s="219"/>
      <c r="AD240" s="219"/>
      <c r="AE240" s="227">
        <v>414</v>
      </c>
      <c r="AF240" s="227">
        <v>712</v>
      </c>
      <c r="AG240" s="218"/>
      <c r="AH240" s="231">
        <v>96.2</v>
      </c>
      <c r="AI240" s="217">
        <v>36.997430615403502</v>
      </c>
      <c r="AJ240" s="232" t="s">
        <v>53</v>
      </c>
      <c r="AK240" s="224">
        <v>0.58726080341910403</v>
      </c>
      <c r="AL240" s="225">
        <v>-82.682022073300104</v>
      </c>
      <c r="AM240" s="219"/>
      <c r="AN240" s="219"/>
      <c r="AO240" s="227">
        <v>68</v>
      </c>
      <c r="AP240" s="227">
        <v>101</v>
      </c>
      <c r="AQ240" s="218"/>
      <c r="AR240" s="231">
        <v>18.399999999999999</v>
      </c>
      <c r="AS240" s="217">
        <v>7.0764316353786398</v>
      </c>
      <c r="AT240" s="232" t="s">
        <v>54</v>
      </c>
      <c r="AU240" s="224">
        <v>0.44227697721116499</v>
      </c>
      <c r="AV240" s="225">
        <v>-27.030354812266701</v>
      </c>
      <c r="AW240" s="219"/>
      <c r="AX240" s="219"/>
      <c r="AY240" s="227">
        <v>24</v>
      </c>
      <c r="AZ240" s="227">
        <v>32</v>
      </c>
      <c r="BA240" s="218"/>
      <c r="BB240" s="235">
        <v>72.400000000000006</v>
      </c>
      <c r="BC240" s="231">
        <v>27.844220130511601</v>
      </c>
      <c r="BD240" s="232" t="s">
        <v>55</v>
      </c>
      <c r="BE240" s="239">
        <v>0.87013187907848699</v>
      </c>
      <c r="BF240" s="222">
        <v>-18.460709624533401</v>
      </c>
      <c r="BG240" s="219"/>
      <c r="BH240" s="219"/>
      <c r="BI240" s="227">
        <v>11</v>
      </c>
      <c r="BJ240" s="227">
        <v>28</v>
      </c>
      <c r="BK240" s="220"/>
      <c r="BL240" s="236">
        <v>0.8</v>
      </c>
      <c r="BM240" s="224"/>
      <c r="BN240" s="237"/>
      <c r="BO240" s="238">
        <v>0.95</v>
      </c>
      <c r="BP240" s="229">
        <v>1</v>
      </c>
      <c r="BQ240" s="237">
        <v>2.5000000000000001E-3</v>
      </c>
    </row>
    <row r="241" spans="1:69" s="207" customFormat="1" ht="22.35" customHeight="1" x14ac:dyDescent="0.2">
      <c r="A241" s="216" t="s">
        <v>275</v>
      </c>
      <c r="B241" s="216" t="s">
        <v>299</v>
      </c>
      <c r="C241" s="216" t="s">
        <v>309</v>
      </c>
      <c r="D241" s="217">
        <v>3.3634437715555601</v>
      </c>
      <c r="E241" s="218"/>
      <c r="F241" s="219">
        <v>3.5999999999999997E-2</v>
      </c>
      <c r="G241" s="219">
        <v>0.03</v>
      </c>
      <c r="H241" s="220"/>
      <c r="I241" s="221">
        <v>4</v>
      </c>
      <c r="J241" s="221">
        <v>3</v>
      </c>
      <c r="K241" s="218"/>
      <c r="L241" s="222">
        <v>6333.7850799999997</v>
      </c>
      <c r="M241" s="222">
        <v>-1794.0409400000001</v>
      </c>
      <c r="N241" s="222">
        <v>4539.7441399999998</v>
      </c>
      <c r="O241" s="217">
        <v>1349.73094492982</v>
      </c>
      <c r="P241" s="223">
        <v>217.09100000000001</v>
      </c>
      <c r="Q241" s="229">
        <v>6.21735099534214</v>
      </c>
      <c r="R241" s="230">
        <v>3742.3948179826398</v>
      </c>
      <c r="S241" s="219">
        <v>0.01</v>
      </c>
      <c r="T241" s="219">
        <v>0.01</v>
      </c>
      <c r="U241" s="226">
        <v>0</v>
      </c>
      <c r="V241" s="227">
        <v>0</v>
      </c>
      <c r="W241" s="218"/>
      <c r="X241" s="226">
        <v>1718.711845</v>
      </c>
      <c r="Y241" s="217">
        <v>510.99764459719597</v>
      </c>
      <c r="Z241" s="228">
        <v>573</v>
      </c>
      <c r="AA241" s="239">
        <v>0.89179344606840605</v>
      </c>
      <c r="AB241" s="222">
        <v>-385.84873796265902</v>
      </c>
      <c r="AC241" s="219"/>
      <c r="AD241" s="219"/>
      <c r="AE241" s="227">
        <v>209</v>
      </c>
      <c r="AF241" s="227">
        <v>594</v>
      </c>
      <c r="AG241" s="218"/>
      <c r="AH241" s="231">
        <v>205.2</v>
      </c>
      <c r="AI241" s="217">
        <v>61.008898598324798</v>
      </c>
      <c r="AJ241" s="232" t="s">
        <v>53</v>
      </c>
      <c r="AK241" s="233">
        <v>0.96839521584642496</v>
      </c>
      <c r="AL241" s="234">
        <v>-26.191477707936301</v>
      </c>
      <c r="AM241" s="219">
        <v>6.0000000000000001E-3</v>
      </c>
      <c r="AN241" s="219"/>
      <c r="AO241" s="227">
        <v>7</v>
      </c>
      <c r="AP241" s="227">
        <v>50</v>
      </c>
      <c r="AQ241" s="218"/>
      <c r="AR241" s="231">
        <v>21.5</v>
      </c>
      <c r="AS241" s="217">
        <v>6.3922578940739898</v>
      </c>
      <c r="AT241" s="232" t="s">
        <v>54</v>
      </c>
      <c r="AU241" s="224">
        <v>0.39951611837962397</v>
      </c>
      <c r="AV241" s="225">
        <v>-37.266089576618803</v>
      </c>
      <c r="AW241" s="219"/>
      <c r="AX241" s="219"/>
      <c r="AY241" s="227">
        <v>33</v>
      </c>
      <c r="AZ241" s="227">
        <v>44</v>
      </c>
      <c r="BA241" s="218"/>
      <c r="BB241" s="235">
        <v>139</v>
      </c>
      <c r="BC241" s="231">
        <v>41.326690570990003</v>
      </c>
      <c r="BD241" s="232" t="s">
        <v>55</v>
      </c>
      <c r="BE241" s="229">
        <v>1.29145908034344</v>
      </c>
      <c r="BF241" s="230">
        <v>21.4678208467625</v>
      </c>
      <c r="BG241" s="219">
        <v>0.02</v>
      </c>
      <c r="BH241" s="219">
        <v>0.02</v>
      </c>
      <c r="BI241" s="227">
        <v>0</v>
      </c>
      <c r="BJ241" s="227">
        <v>0</v>
      </c>
      <c r="BK241" s="220"/>
      <c r="BL241" s="236">
        <v>0.8</v>
      </c>
      <c r="BM241" s="239">
        <v>0.79</v>
      </c>
      <c r="BN241" s="237"/>
      <c r="BO241" s="238">
        <v>0.95</v>
      </c>
      <c r="BP241" s="229">
        <v>1</v>
      </c>
      <c r="BQ241" s="237">
        <v>2.5000000000000001E-3</v>
      </c>
    </row>
    <row r="242" spans="1:69" s="207" customFormat="1" ht="22.35" customHeight="1" x14ac:dyDescent="0.2">
      <c r="A242" s="216" t="s">
        <v>275</v>
      </c>
      <c r="B242" s="216" t="s">
        <v>299</v>
      </c>
      <c r="C242" s="216" t="s">
        <v>310</v>
      </c>
      <c r="D242" s="217">
        <v>2.3177117403333298</v>
      </c>
      <c r="E242" s="218"/>
      <c r="F242" s="219">
        <v>5.0500000000000003E-2</v>
      </c>
      <c r="G242" s="219">
        <v>2.7E-2</v>
      </c>
      <c r="H242" s="220"/>
      <c r="I242" s="221">
        <v>5</v>
      </c>
      <c r="J242" s="221">
        <v>4</v>
      </c>
      <c r="K242" s="218"/>
      <c r="L242" s="222">
        <v>89.735259999999997</v>
      </c>
      <c r="M242" s="222">
        <v>451.88297999999998</v>
      </c>
      <c r="N242" s="222">
        <v>541.61824000000001</v>
      </c>
      <c r="O242" s="217">
        <v>233.68662745010101</v>
      </c>
      <c r="P242" s="223">
        <v>215.88200000000001</v>
      </c>
      <c r="Q242" s="233">
        <v>1.08247388596595</v>
      </c>
      <c r="R242" s="234">
        <v>-4.7664125518908804</v>
      </c>
      <c r="S242" s="219">
        <v>9.4999999999999998E-3</v>
      </c>
      <c r="T242" s="219">
        <v>4.0000000000000001E-3</v>
      </c>
      <c r="U242" s="226">
        <v>0</v>
      </c>
      <c r="V242" s="227">
        <v>59</v>
      </c>
      <c r="W242" s="218"/>
      <c r="X242" s="226">
        <v>1304.2176850000001</v>
      </c>
      <c r="Y242" s="217">
        <v>562.71781443037798</v>
      </c>
      <c r="Z242" s="228">
        <v>573</v>
      </c>
      <c r="AA242" s="233">
        <v>0.98205552256610396</v>
      </c>
      <c r="AB242" s="234">
        <v>-146.01163431441</v>
      </c>
      <c r="AC242" s="219">
        <v>8.0000000000000002E-3</v>
      </c>
      <c r="AD242" s="219"/>
      <c r="AE242" s="227">
        <v>24</v>
      </c>
      <c r="AF242" s="227">
        <v>290</v>
      </c>
      <c r="AG242" s="218"/>
      <c r="AH242" s="231">
        <v>150.69999999999999</v>
      </c>
      <c r="AI242" s="217">
        <v>65.021028015471103</v>
      </c>
      <c r="AJ242" s="232" t="s">
        <v>53</v>
      </c>
      <c r="AK242" s="233">
        <v>1.03207980976938</v>
      </c>
      <c r="AL242" s="234">
        <v>-8.7492968879717807</v>
      </c>
      <c r="AM242" s="219">
        <v>1.2999999999999999E-2</v>
      </c>
      <c r="AN242" s="219">
        <v>3.0000000000000001E-3</v>
      </c>
      <c r="AO242" s="227">
        <v>0</v>
      </c>
      <c r="AP242" s="227">
        <v>25</v>
      </c>
      <c r="AQ242" s="218"/>
      <c r="AR242" s="231">
        <v>26.8</v>
      </c>
      <c r="AS242" s="217">
        <v>11.5631290697719</v>
      </c>
      <c r="AT242" s="232" t="s">
        <v>54</v>
      </c>
      <c r="AU242" s="224">
        <v>0.72269556686074399</v>
      </c>
      <c r="AV242" s="225">
        <v>-13.695059527103901</v>
      </c>
      <c r="AW242" s="219"/>
      <c r="AX242" s="219"/>
      <c r="AY242" s="227">
        <v>11</v>
      </c>
      <c r="AZ242" s="227">
        <v>18</v>
      </c>
      <c r="BA242" s="218"/>
      <c r="BB242" s="235">
        <v>109.2</v>
      </c>
      <c r="BC242" s="231">
        <v>47.115436358921301</v>
      </c>
      <c r="BD242" s="232" t="s">
        <v>55</v>
      </c>
      <c r="BE242" s="229">
        <v>1.47235738621629</v>
      </c>
      <c r="BF242" s="230">
        <v>28.209880945792101</v>
      </c>
      <c r="BG242" s="219">
        <v>0.02</v>
      </c>
      <c r="BH242" s="219">
        <v>0.02</v>
      </c>
      <c r="BI242" s="227">
        <v>0</v>
      </c>
      <c r="BJ242" s="227">
        <v>0</v>
      </c>
      <c r="BK242" s="220"/>
      <c r="BL242" s="236">
        <v>0.8</v>
      </c>
      <c r="BM242" s="239">
        <v>0.79</v>
      </c>
      <c r="BN242" s="237"/>
      <c r="BO242" s="238">
        <v>0.95</v>
      </c>
      <c r="BP242" s="229">
        <v>1</v>
      </c>
      <c r="BQ242" s="237">
        <v>2.5000000000000001E-3</v>
      </c>
    </row>
    <row r="243" spans="1:69" s="207" customFormat="1" ht="22.35" customHeight="1" x14ac:dyDescent="0.2">
      <c r="A243" s="216" t="s">
        <v>275</v>
      </c>
      <c r="B243" s="216" t="s">
        <v>299</v>
      </c>
      <c r="C243" s="216" t="s">
        <v>311</v>
      </c>
      <c r="D243" s="217">
        <v>2.7902735091111102</v>
      </c>
      <c r="E243" s="218"/>
      <c r="F243" s="219">
        <v>4.5999999999999999E-2</v>
      </c>
      <c r="G243" s="219">
        <v>3.5999999999999997E-2</v>
      </c>
      <c r="H243" s="220"/>
      <c r="I243" s="221">
        <v>5</v>
      </c>
      <c r="J243" s="221">
        <v>5</v>
      </c>
      <c r="K243" s="218"/>
      <c r="L243" s="222">
        <v>1367.15347</v>
      </c>
      <c r="M243" s="222">
        <v>1640.3196</v>
      </c>
      <c r="N243" s="222">
        <v>3007.47307</v>
      </c>
      <c r="O243" s="217">
        <v>1077.8416740078201</v>
      </c>
      <c r="P243" s="223">
        <v>245.339</v>
      </c>
      <c r="Q243" s="229">
        <v>4.3932749135189297</v>
      </c>
      <c r="R243" s="230">
        <v>2259.93036960262</v>
      </c>
      <c r="S243" s="219">
        <v>0.01</v>
      </c>
      <c r="T243" s="219">
        <v>0.01</v>
      </c>
      <c r="U243" s="226">
        <v>0</v>
      </c>
      <c r="V243" s="227">
        <v>0</v>
      </c>
      <c r="W243" s="218"/>
      <c r="X243" s="226">
        <v>2007.08969</v>
      </c>
      <c r="Y243" s="217">
        <v>719.31646967447</v>
      </c>
      <c r="Z243" s="228">
        <v>573</v>
      </c>
      <c r="AA243" s="229">
        <v>1.2553516050165301</v>
      </c>
      <c r="AB243" s="230">
        <v>261.17091097303302</v>
      </c>
      <c r="AC243" s="219">
        <v>0.02</v>
      </c>
      <c r="AD243" s="219">
        <v>0.02</v>
      </c>
      <c r="AE243" s="227">
        <v>0</v>
      </c>
      <c r="AF243" s="227">
        <v>0</v>
      </c>
      <c r="AG243" s="218"/>
      <c r="AH243" s="231">
        <v>117.55</v>
      </c>
      <c r="AI243" s="217">
        <v>42.128486550211903</v>
      </c>
      <c r="AJ243" s="232" t="s">
        <v>53</v>
      </c>
      <c r="AK243" s="224">
        <v>0.66870613571764903</v>
      </c>
      <c r="AL243" s="225">
        <v>-74.409656332807998</v>
      </c>
      <c r="AM243" s="219"/>
      <c r="AN243" s="219"/>
      <c r="AO243" s="227">
        <v>59</v>
      </c>
      <c r="AP243" s="227">
        <v>94</v>
      </c>
      <c r="AQ243" s="218"/>
      <c r="AR243" s="231">
        <v>12.8</v>
      </c>
      <c r="AS243" s="217">
        <v>4.5873639118903604</v>
      </c>
      <c r="AT243" s="232" t="s">
        <v>54</v>
      </c>
      <c r="AU243" s="224">
        <v>0.28671024449314703</v>
      </c>
      <c r="AV243" s="225">
        <v>-35.951658751189299</v>
      </c>
      <c r="AW243" s="219"/>
      <c r="AX243" s="219"/>
      <c r="AY243" s="227">
        <v>32</v>
      </c>
      <c r="AZ243" s="227">
        <v>41</v>
      </c>
      <c r="BA243" s="218"/>
      <c r="BB243" s="235">
        <v>94.2</v>
      </c>
      <c r="BC243" s="231">
        <v>33.760131289068099</v>
      </c>
      <c r="BD243" s="232" t="s">
        <v>55</v>
      </c>
      <c r="BE243" s="233">
        <v>1.0550041027833801</v>
      </c>
      <c r="BF243" s="234">
        <v>-3.3033175023786301</v>
      </c>
      <c r="BG243" s="219">
        <v>1.6E-2</v>
      </c>
      <c r="BH243" s="219">
        <v>6.0000000000000001E-3</v>
      </c>
      <c r="BI243" s="227">
        <v>0</v>
      </c>
      <c r="BJ243" s="227">
        <v>13</v>
      </c>
      <c r="BK243" s="220"/>
      <c r="BL243" s="236">
        <v>0.8</v>
      </c>
      <c r="BM243" s="233">
        <v>0.88</v>
      </c>
      <c r="BN243" s="237">
        <v>3.0000000000000001E-3</v>
      </c>
      <c r="BO243" s="238">
        <v>0.95</v>
      </c>
      <c r="BP243" s="229">
        <v>1</v>
      </c>
      <c r="BQ243" s="237">
        <v>2.5000000000000001E-3</v>
      </c>
    </row>
    <row r="244" spans="1:69" s="207" customFormat="1" ht="22.35" customHeight="1" x14ac:dyDescent="0.2">
      <c r="A244" s="216" t="s">
        <v>275</v>
      </c>
      <c r="B244" s="216" t="s">
        <v>299</v>
      </c>
      <c r="C244" s="216" t="s">
        <v>312</v>
      </c>
      <c r="D244" s="217">
        <v>3.578419974</v>
      </c>
      <c r="E244" s="218"/>
      <c r="F244" s="219">
        <v>3.1E-2</v>
      </c>
      <c r="G244" s="219">
        <v>1.2999999999999999E-2</v>
      </c>
      <c r="H244" s="220"/>
      <c r="I244" s="221">
        <v>4</v>
      </c>
      <c r="J244" s="221">
        <v>3</v>
      </c>
      <c r="K244" s="218"/>
      <c r="L244" s="222">
        <v>1475.9645399999999</v>
      </c>
      <c r="M244" s="222">
        <v>1816.46792</v>
      </c>
      <c r="N244" s="222">
        <v>3292.43246</v>
      </c>
      <c r="O244" s="217">
        <v>920.07994699394703</v>
      </c>
      <c r="P244" s="223">
        <v>213.536</v>
      </c>
      <c r="Q244" s="229">
        <v>4.3087814091953902</v>
      </c>
      <c r="R244" s="230">
        <v>2458.01179557567</v>
      </c>
      <c r="S244" s="219">
        <v>0.01</v>
      </c>
      <c r="T244" s="219">
        <v>0.01</v>
      </c>
      <c r="U244" s="226">
        <v>0</v>
      </c>
      <c r="V244" s="227">
        <v>0</v>
      </c>
      <c r="W244" s="218"/>
      <c r="X244" s="226">
        <v>2013.4589000000001</v>
      </c>
      <c r="Y244" s="217">
        <v>562.66701913954796</v>
      </c>
      <c r="Z244" s="228">
        <v>573</v>
      </c>
      <c r="AA244" s="233">
        <v>0.98196687458908904</v>
      </c>
      <c r="AB244" s="234">
        <v>-225.61573245138399</v>
      </c>
      <c r="AC244" s="219">
        <v>8.0000000000000002E-3</v>
      </c>
      <c r="AD244" s="219"/>
      <c r="AE244" s="227">
        <v>37</v>
      </c>
      <c r="AF244" s="227">
        <v>448</v>
      </c>
      <c r="AG244" s="218"/>
      <c r="AH244" s="231">
        <v>170.05</v>
      </c>
      <c r="AI244" s="217">
        <v>47.5209732886428</v>
      </c>
      <c r="AJ244" s="232" t="s">
        <v>53</v>
      </c>
      <c r="AK244" s="239">
        <v>0.75430116331179098</v>
      </c>
      <c r="AL244" s="222">
        <v>-76.130980531304004</v>
      </c>
      <c r="AM244" s="219"/>
      <c r="AN244" s="219"/>
      <c r="AO244" s="227">
        <v>56</v>
      </c>
      <c r="AP244" s="227">
        <v>101</v>
      </c>
      <c r="AQ244" s="218"/>
      <c r="AR244" s="231">
        <v>39.799999999999997</v>
      </c>
      <c r="AS244" s="217">
        <v>11.1222272089855</v>
      </c>
      <c r="AT244" s="232" t="s">
        <v>54</v>
      </c>
      <c r="AU244" s="224">
        <v>0.69513920056159395</v>
      </c>
      <c r="AV244" s="225">
        <v>-22.722153785728</v>
      </c>
      <c r="AW244" s="219"/>
      <c r="AX244" s="219"/>
      <c r="AY244" s="227">
        <v>18</v>
      </c>
      <c r="AZ244" s="227">
        <v>29</v>
      </c>
      <c r="BA244" s="218"/>
      <c r="BB244" s="235">
        <v>117.8</v>
      </c>
      <c r="BC244" s="231">
        <v>32.919556915037496</v>
      </c>
      <c r="BD244" s="232" t="s">
        <v>55</v>
      </c>
      <c r="BE244" s="233">
        <v>1.02873615359492</v>
      </c>
      <c r="BF244" s="234">
        <v>-7.2443075714560301</v>
      </c>
      <c r="BG244" s="219">
        <v>1.2999999999999999E-2</v>
      </c>
      <c r="BH244" s="219">
        <v>3.0000000000000001E-3</v>
      </c>
      <c r="BI244" s="227">
        <v>0</v>
      </c>
      <c r="BJ244" s="227">
        <v>20</v>
      </c>
      <c r="BK244" s="220"/>
      <c r="BL244" s="236">
        <v>0.8</v>
      </c>
      <c r="BM244" s="239">
        <v>0.8</v>
      </c>
      <c r="BN244" s="237">
        <v>0</v>
      </c>
      <c r="BO244" s="238">
        <v>0.95</v>
      </c>
      <c r="BP244" s="229">
        <v>1</v>
      </c>
      <c r="BQ244" s="237">
        <v>2.5000000000000001E-3</v>
      </c>
    </row>
    <row r="245" spans="1:69" s="207" customFormat="1" ht="22.35" customHeight="1" x14ac:dyDescent="0.2">
      <c r="A245" s="216" t="s">
        <v>275</v>
      </c>
      <c r="B245" s="216" t="s">
        <v>299</v>
      </c>
      <c r="C245" s="216" t="s">
        <v>313</v>
      </c>
      <c r="D245" s="217">
        <v>3.0802030008888899</v>
      </c>
      <c r="E245" s="218"/>
      <c r="F245" s="219">
        <v>3.0000000000000001E-3</v>
      </c>
      <c r="G245" s="219"/>
      <c r="H245" s="220"/>
      <c r="I245" s="221">
        <v>3</v>
      </c>
      <c r="J245" s="221">
        <v>2</v>
      </c>
      <c r="K245" s="218"/>
      <c r="L245" s="222">
        <v>851.51138000000003</v>
      </c>
      <c r="M245" s="222">
        <v>-600.48087999999996</v>
      </c>
      <c r="N245" s="222">
        <v>251.03049999999999</v>
      </c>
      <c r="O245" s="217">
        <v>81.498037605819306</v>
      </c>
      <c r="P245" s="223">
        <v>252.38499999999999</v>
      </c>
      <c r="Q245" s="224">
        <v>0.32291157400724801</v>
      </c>
      <c r="R245" s="225">
        <v>-597.88706154224201</v>
      </c>
      <c r="S245" s="219"/>
      <c r="T245" s="219"/>
      <c r="U245" s="226">
        <v>527</v>
      </c>
      <c r="V245" s="227">
        <v>682</v>
      </c>
      <c r="W245" s="218"/>
      <c r="X245" s="226">
        <v>1091.3798200000001</v>
      </c>
      <c r="Y245" s="217">
        <v>354.32074434218998</v>
      </c>
      <c r="Z245" s="228">
        <v>573</v>
      </c>
      <c r="AA245" s="224">
        <v>0.61836081037031498</v>
      </c>
      <c r="AB245" s="225">
        <v>-835.95248090419295</v>
      </c>
      <c r="AC245" s="219"/>
      <c r="AD245" s="219"/>
      <c r="AE245" s="227">
        <v>674</v>
      </c>
      <c r="AF245" s="227">
        <v>1027</v>
      </c>
      <c r="AG245" s="218"/>
      <c r="AH245" s="231">
        <v>84.6</v>
      </c>
      <c r="AI245" s="217">
        <v>27.465722218823199</v>
      </c>
      <c r="AJ245" s="232" t="s">
        <v>53</v>
      </c>
      <c r="AK245" s="224">
        <v>0.43596384474322603</v>
      </c>
      <c r="AL245" s="225">
        <v>-127.305645649152</v>
      </c>
      <c r="AM245" s="219"/>
      <c r="AN245" s="219"/>
      <c r="AO245" s="227">
        <v>110</v>
      </c>
      <c r="AP245" s="227">
        <v>149</v>
      </c>
      <c r="AQ245" s="218"/>
      <c r="AR245" s="231">
        <v>15.3</v>
      </c>
      <c r="AS245" s="217">
        <v>4.9672050821276104</v>
      </c>
      <c r="AT245" s="232" t="s">
        <v>54</v>
      </c>
      <c r="AU245" s="224">
        <v>0.31045031763297598</v>
      </c>
      <c r="AV245" s="225">
        <v>-38.517306831530703</v>
      </c>
      <c r="AW245" s="219"/>
      <c r="AX245" s="219"/>
      <c r="AY245" s="227">
        <v>34</v>
      </c>
      <c r="AZ245" s="227">
        <v>44</v>
      </c>
      <c r="BA245" s="218"/>
      <c r="BB245" s="235">
        <v>92.4</v>
      </c>
      <c r="BC245" s="231">
        <v>29.998022848927501</v>
      </c>
      <c r="BD245" s="232" t="s">
        <v>55</v>
      </c>
      <c r="BE245" s="233">
        <v>0.93743821402898497</v>
      </c>
      <c r="BF245" s="234">
        <v>-15.234613663061401</v>
      </c>
      <c r="BG245" s="219">
        <v>3.0000000000000001E-3</v>
      </c>
      <c r="BH245" s="219"/>
      <c r="BI245" s="227">
        <v>7</v>
      </c>
      <c r="BJ245" s="227">
        <v>26</v>
      </c>
      <c r="BK245" s="220"/>
      <c r="BL245" s="236">
        <v>0.8</v>
      </c>
      <c r="BM245" s="233">
        <v>0.81</v>
      </c>
      <c r="BN245" s="237">
        <v>3.7500000000000001E-4</v>
      </c>
      <c r="BO245" s="238">
        <v>0.95</v>
      </c>
      <c r="BP245" s="229">
        <v>1</v>
      </c>
      <c r="BQ245" s="237">
        <v>2.5000000000000001E-3</v>
      </c>
    </row>
    <row r="246" spans="1:69" s="207" customFormat="1" ht="22.35" customHeight="1" x14ac:dyDescent="0.2">
      <c r="A246" s="216" t="s">
        <v>275</v>
      </c>
      <c r="B246" s="216" t="s">
        <v>299</v>
      </c>
      <c r="C246" s="216" t="s">
        <v>314</v>
      </c>
      <c r="D246" s="217">
        <v>6.0121721623333304</v>
      </c>
      <c r="E246" s="218"/>
      <c r="F246" s="219">
        <v>4.2000000000000003E-2</v>
      </c>
      <c r="G246" s="219">
        <v>2.3E-2</v>
      </c>
      <c r="H246" s="220"/>
      <c r="I246" s="221">
        <v>5</v>
      </c>
      <c r="J246" s="221">
        <v>5</v>
      </c>
      <c r="K246" s="218"/>
      <c r="L246" s="222">
        <v>5824.5319</v>
      </c>
      <c r="M246" s="222">
        <v>288.58866999999998</v>
      </c>
      <c r="N246" s="222">
        <v>6113.12057</v>
      </c>
      <c r="O246" s="217">
        <v>1016.79067148129</v>
      </c>
      <c r="P246" s="223">
        <v>220.02799999999999</v>
      </c>
      <c r="Q246" s="229">
        <v>4.6211876283077196</v>
      </c>
      <c r="R246" s="230">
        <v>4668.5725015450098</v>
      </c>
      <c r="S246" s="219">
        <v>0.01</v>
      </c>
      <c r="T246" s="219">
        <v>0.01</v>
      </c>
      <c r="U246" s="226">
        <v>0</v>
      </c>
      <c r="V246" s="227">
        <v>0</v>
      </c>
      <c r="W246" s="218"/>
      <c r="X246" s="226">
        <v>3495.6385449999998</v>
      </c>
      <c r="Y246" s="217">
        <v>581.42688709089396</v>
      </c>
      <c r="Z246" s="228">
        <v>573</v>
      </c>
      <c r="AA246" s="233">
        <v>1.0147066092336701</v>
      </c>
      <c r="AB246" s="234">
        <v>-266.27377172656202</v>
      </c>
      <c r="AC246" s="219">
        <v>1.2E-2</v>
      </c>
      <c r="AD246" s="219">
        <v>1E-3</v>
      </c>
      <c r="AE246" s="227">
        <v>0</v>
      </c>
      <c r="AF246" s="227">
        <v>639</v>
      </c>
      <c r="AG246" s="218"/>
      <c r="AH246" s="231">
        <v>319.25</v>
      </c>
      <c r="AI246" s="217">
        <v>53.100608462299697</v>
      </c>
      <c r="AJ246" s="232" t="s">
        <v>53</v>
      </c>
      <c r="AK246" s="239">
        <v>0.842866800988884</v>
      </c>
      <c r="AL246" s="222">
        <v>-94.363396079883799</v>
      </c>
      <c r="AM246" s="219"/>
      <c r="AN246" s="219"/>
      <c r="AO246" s="227">
        <v>60</v>
      </c>
      <c r="AP246" s="227">
        <v>136</v>
      </c>
      <c r="AQ246" s="218"/>
      <c r="AR246" s="231">
        <v>32.799999999999997</v>
      </c>
      <c r="AS246" s="217">
        <v>5.4555989273717502</v>
      </c>
      <c r="AT246" s="232" t="s">
        <v>54</v>
      </c>
      <c r="AU246" s="224">
        <v>0.340974932960734</v>
      </c>
      <c r="AV246" s="225">
        <v>-72.244672020287894</v>
      </c>
      <c r="AW246" s="219"/>
      <c r="AX246" s="219"/>
      <c r="AY246" s="227">
        <v>64</v>
      </c>
      <c r="AZ246" s="227">
        <v>83</v>
      </c>
      <c r="BA246" s="218"/>
      <c r="BB246" s="235">
        <v>215.2</v>
      </c>
      <c r="BC246" s="231">
        <v>35.794051499097499</v>
      </c>
      <c r="BD246" s="232" t="s">
        <v>55</v>
      </c>
      <c r="BE246" s="229">
        <v>1.1185641093468</v>
      </c>
      <c r="BF246" s="230">
        <v>5.1106559594241201</v>
      </c>
      <c r="BG246" s="219">
        <v>0.02</v>
      </c>
      <c r="BH246" s="219">
        <v>1.2E-2</v>
      </c>
      <c r="BI246" s="227">
        <v>0</v>
      </c>
      <c r="BJ246" s="227">
        <v>16</v>
      </c>
      <c r="BK246" s="220"/>
      <c r="BL246" s="236">
        <v>0.8</v>
      </c>
      <c r="BM246" s="233">
        <v>0.81</v>
      </c>
      <c r="BN246" s="237">
        <v>3.7500000000000001E-4</v>
      </c>
      <c r="BO246" s="238">
        <v>0.95</v>
      </c>
      <c r="BP246" s="229">
        <v>1</v>
      </c>
      <c r="BQ246" s="237">
        <v>2.5000000000000001E-3</v>
      </c>
    </row>
    <row r="247" spans="1:69" s="207" customFormat="1" ht="22.35" customHeight="1" x14ac:dyDescent="0.2">
      <c r="A247" s="216" t="s">
        <v>275</v>
      </c>
      <c r="B247" s="216" t="s">
        <v>299</v>
      </c>
      <c r="C247" s="216" t="s">
        <v>315</v>
      </c>
      <c r="D247" s="217">
        <v>8.5561773496666707</v>
      </c>
      <c r="E247" s="218"/>
      <c r="F247" s="219">
        <v>1.4999999999999999E-2</v>
      </c>
      <c r="G247" s="219">
        <v>0.01</v>
      </c>
      <c r="H247" s="220"/>
      <c r="I247" s="221">
        <v>3</v>
      </c>
      <c r="J247" s="221">
        <v>2</v>
      </c>
      <c r="K247" s="218"/>
      <c r="L247" s="222">
        <v>4780.0293099999999</v>
      </c>
      <c r="M247" s="222">
        <v>2936.8278</v>
      </c>
      <c r="N247" s="222">
        <v>7716.8571099999999</v>
      </c>
      <c r="O247" s="217">
        <v>901.90476361510105</v>
      </c>
      <c r="P247" s="223">
        <v>215.38300000000001</v>
      </c>
      <c r="Q247" s="229">
        <v>4.1874463797751096</v>
      </c>
      <c r="R247" s="230">
        <v>5704.4592904552401</v>
      </c>
      <c r="S247" s="219">
        <v>0.01</v>
      </c>
      <c r="T247" s="219">
        <v>0.01</v>
      </c>
      <c r="U247" s="226">
        <v>0</v>
      </c>
      <c r="V247" s="227">
        <v>0</v>
      </c>
      <c r="W247" s="218"/>
      <c r="X247" s="226">
        <v>4687.2063950000002</v>
      </c>
      <c r="Y247" s="217">
        <v>547.81547920843502</v>
      </c>
      <c r="Z247" s="228">
        <v>573</v>
      </c>
      <c r="AA247" s="233">
        <v>0.95604795673374299</v>
      </c>
      <c r="AB247" s="234">
        <v>-666.53067152403105</v>
      </c>
      <c r="AC247" s="219">
        <v>5.0000000000000001E-3</v>
      </c>
      <c r="AD247" s="219"/>
      <c r="AE247" s="227">
        <v>216</v>
      </c>
      <c r="AF247" s="227">
        <v>1197</v>
      </c>
      <c r="AG247" s="218"/>
      <c r="AH247" s="231">
        <v>279.89999999999998</v>
      </c>
      <c r="AI247" s="217">
        <v>32.713206910198501</v>
      </c>
      <c r="AJ247" s="232" t="s">
        <v>53</v>
      </c>
      <c r="AK247" s="224">
        <v>0.51925725254283395</v>
      </c>
      <c r="AL247" s="225">
        <v>-308.73077694766801</v>
      </c>
      <c r="AM247" s="219"/>
      <c r="AN247" s="219"/>
      <c r="AO247" s="227">
        <v>260</v>
      </c>
      <c r="AP247" s="227">
        <v>367</v>
      </c>
      <c r="AQ247" s="218"/>
      <c r="AR247" s="231">
        <v>68.5</v>
      </c>
      <c r="AS247" s="217">
        <v>8.0059116589803505</v>
      </c>
      <c r="AT247" s="232" t="s">
        <v>54</v>
      </c>
      <c r="AU247" s="224">
        <v>0.50036947868627202</v>
      </c>
      <c r="AV247" s="225">
        <v>-80.993530653376098</v>
      </c>
      <c r="AW247" s="219"/>
      <c r="AX247" s="219"/>
      <c r="AY247" s="227">
        <v>69</v>
      </c>
      <c r="AZ247" s="227">
        <v>96</v>
      </c>
      <c r="BA247" s="218"/>
      <c r="BB247" s="235">
        <v>245.6</v>
      </c>
      <c r="BC247" s="231">
        <v>28.704407349570399</v>
      </c>
      <c r="BD247" s="232" t="s">
        <v>55</v>
      </c>
      <c r="BE247" s="239">
        <v>0.89701272967407597</v>
      </c>
      <c r="BF247" s="222">
        <v>-53.387061306752102</v>
      </c>
      <c r="BG247" s="219"/>
      <c r="BH247" s="219"/>
      <c r="BI247" s="227">
        <v>29</v>
      </c>
      <c r="BJ247" s="227">
        <v>83</v>
      </c>
      <c r="BK247" s="220"/>
      <c r="BL247" s="236">
        <v>0.8</v>
      </c>
      <c r="BM247" s="239">
        <v>0.78</v>
      </c>
      <c r="BN247" s="237"/>
      <c r="BO247" s="238">
        <v>0.95</v>
      </c>
      <c r="BP247" s="229">
        <v>1</v>
      </c>
      <c r="BQ247" s="237">
        <v>2.5000000000000001E-3</v>
      </c>
    </row>
    <row r="248" spans="1:69" s="207" customFormat="1" ht="22.35" customHeight="1" x14ac:dyDescent="0.2">
      <c r="A248" s="216" t="s">
        <v>275</v>
      </c>
      <c r="B248" s="216" t="s">
        <v>299</v>
      </c>
      <c r="C248" s="216" t="s">
        <v>316</v>
      </c>
      <c r="D248" s="217">
        <v>7.66372503566667</v>
      </c>
      <c r="E248" s="218"/>
      <c r="F248" s="219">
        <v>0.01</v>
      </c>
      <c r="G248" s="219">
        <v>0.01</v>
      </c>
      <c r="H248" s="220"/>
      <c r="I248" s="221">
        <v>2</v>
      </c>
      <c r="J248" s="221">
        <v>2</v>
      </c>
      <c r="K248" s="218"/>
      <c r="L248" s="222">
        <v>4769.5723099999996</v>
      </c>
      <c r="M248" s="222">
        <v>2064.6492899999998</v>
      </c>
      <c r="N248" s="222">
        <v>6834.2215999999999</v>
      </c>
      <c r="O248" s="217">
        <v>891.76236989111806</v>
      </c>
      <c r="P248" s="223">
        <v>245.339</v>
      </c>
      <c r="Q248" s="229">
        <v>3.6348170078590001</v>
      </c>
      <c r="R248" s="230">
        <v>4781.0315849142398</v>
      </c>
      <c r="S248" s="219">
        <v>0.01</v>
      </c>
      <c r="T248" s="219">
        <v>0.01</v>
      </c>
      <c r="U248" s="226">
        <v>0</v>
      </c>
      <c r="V248" s="227">
        <v>0</v>
      </c>
      <c r="W248" s="218"/>
      <c r="X248" s="226">
        <v>3412.0310599999998</v>
      </c>
      <c r="Y248" s="217">
        <v>445.21835584138898</v>
      </c>
      <c r="Z248" s="228">
        <v>573</v>
      </c>
      <c r="AA248" s="239">
        <v>0.77699538541254498</v>
      </c>
      <c r="AB248" s="222">
        <v>-1383.28431441721</v>
      </c>
      <c r="AC248" s="219"/>
      <c r="AD248" s="219"/>
      <c r="AE248" s="227">
        <v>980</v>
      </c>
      <c r="AF248" s="227">
        <v>1858</v>
      </c>
      <c r="AG248" s="218"/>
      <c r="AH248" s="231">
        <v>311.8</v>
      </c>
      <c r="AI248" s="217">
        <v>40.685175753161197</v>
      </c>
      <c r="AJ248" s="232" t="s">
        <v>53</v>
      </c>
      <c r="AK248" s="224">
        <v>0.64579644052636798</v>
      </c>
      <c r="AL248" s="225">
        <v>-215.43362755372399</v>
      </c>
      <c r="AM248" s="219"/>
      <c r="AN248" s="219"/>
      <c r="AO248" s="227">
        <v>172</v>
      </c>
      <c r="AP248" s="227">
        <v>268</v>
      </c>
      <c r="AQ248" s="218"/>
      <c r="AR248" s="231">
        <v>35.4</v>
      </c>
      <c r="AS248" s="217">
        <v>4.6191636358624297</v>
      </c>
      <c r="AT248" s="232" t="s">
        <v>54</v>
      </c>
      <c r="AU248" s="224">
        <v>0.28869772724140202</v>
      </c>
      <c r="AV248" s="225">
        <v>-98.500603823168007</v>
      </c>
      <c r="AW248" s="219"/>
      <c r="AX248" s="219"/>
      <c r="AY248" s="227">
        <v>88</v>
      </c>
      <c r="AZ248" s="227">
        <v>112</v>
      </c>
      <c r="BA248" s="218"/>
      <c r="BB248" s="235">
        <v>186.2</v>
      </c>
      <c r="BC248" s="231">
        <v>24.2962787852425</v>
      </c>
      <c r="BD248" s="232" t="s">
        <v>55</v>
      </c>
      <c r="BE248" s="239">
        <v>0.759258712038828</v>
      </c>
      <c r="BF248" s="222">
        <v>-81.601207646336107</v>
      </c>
      <c r="BG248" s="219"/>
      <c r="BH248" s="219"/>
      <c r="BI248" s="227">
        <v>60</v>
      </c>
      <c r="BJ248" s="227">
        <v>109</v>
      </c>
      <c r="BK248" s="220"/>
      <c r="BL248" s="236">
        <v>0.8</v>
      </c>
      <c r="BM248" s="239">
        <v>0.76</v>
      </c>
      <c r="BN248" s="237"/>
      <c r="BO248" s="238">
        <v>0.95</v>
      </c>
      <c r="BP248" s="229">
        <v>1</v>
      </c>
      <c r="BQ248" s="237">
        <v>2.5000000000000001E-3</v>
      </c>
    </row>
    <row r="249" spans="1:69" s="207" customFormat="1" ht="22.35" customHeight="1" x14ac:dyDescent="0.2">
      <c r="A249" s="216" t="s">
        <v>275</v>
      </c>
      <c r="B249" s="216" t="s">
        <v>299</v>
      </c>
      <c r="C249" s="216" t="s">
        <v>317</v>
      </c>
      <c r="D249" s="217">
        <v>4.1744710626666697</v>
      </c>
      <c r="E249" s="218"/>
      <c r="F249" s="219">
        <v>1.7999999999999999E-2</v>
      </c>
      <c r="G249" s="219">
        <v>0.01</v>
      </c>
      <c r="H249" s="220"/>
      <c r="I249" s="221">
        <v>5</v>
      </c>
      <c r="J249" s="221">
        <v>3</v>
      </c>
      <c r="K249" s="218"/>
      <c r="L249" s="222">
        <v>1637.40444</v>
      </c>
      <c r="M249" s="222">
        <v>964.05460000000005</v>
      </c>
      <c r="N249" s="222">
        <v>2601.4590400000002</v>
      </c>
      <c r="O249" s="217">
        <v>623.18291370264706</v>
      </c>
      <c r="P249" s="223">
        <v>233.489</v>
      </c>
      <c r="Q249" s="229">
        <v>2.6690033093749501</v>
      </c>
      <c r="R249" s="230">
        <v>1537.09420324553</v>
      </c>
      <c r="S249" s="219">
        <v>0.01</v>
      </c>
      <c r="T249" s="219">
        <v>0.01</v>
      </c>
      <c r="U249" s="226">
        <v>0</v>
      </c>
      <c r="V249" s="227">
        <v>0</v>
      </c>
      <c r="W249" s="218"/>
      <c r="X249" s="226">
        <v>2254.0992249999999</v>
      </c>
      <c r="Y249" s="217">
        <v>539.97241594485399</v>
      </c>
      <c r="Z249" s="228">
        <v>573</v>
      </c>
      <c r="AA249" s="233">
        <v>0.942360237251053</v>
      </c>
      <c r="AB249" s="234">
        <v>-357.93411044753799</v>
      </c>
      <c r="AC249" s="219">
        <v>4.0000000000000001E-3</v>
      </c>
      <c r="AD249" s="219"/>
      <c r="AE249" s="227">
        <v>138</v>
      </c>
      <c r="AF249" s="227">
        <v>617</v>
      </c>
      <c r="AG249" s="218"/>
      <c r="AH249" s="231">
        <v>145.69999999999999</v>
      </c>
      <c r="AI249" s="217">
        <v>34.902625461470201</v>
      </c>
      <c r="AJ249" s="232" t="s">
        <v>53</v>
      </c>
      <c r="AK249" s="224">
        <v>0.55400992795984405</v>
      </c>
      <c r="AL249" s="225">
        <v>-141.48691122721601</v>
      </c>
      <c r="AM249" s="219"/>
      <c r="AN249" s="219"/>
      <c r="AO249" s="227">
        <v>118</v>
      </c>
      <c r="AP249" s="227">
        <v>170</v>
      </c>
      <c r="AQ249" s="218"/>
      <c r="AR249" s="231">
        <v>29.6</v>
      </c>
      <c r="AS249" s="217">
        <v>7.0907186936136997</v>
      </c>
      <c r="AT249" s="232" t="s">
        <v>54</v>
      </c>
      <c r="AU249" s="224">
        <v>0.44316991835085601</v>
      </c>
      <c r="AV249" s="225">
        <v>-43.336358406912098</v>
      </c>
      <c r="AW249" s="219"/>
      <c r="AX249" s="219"/>
      <c r="AY249" s="227">
        <v>38</v>
      </c>
      <c r="AZ249" s="227">
        <v>51</v>
      </c>
      <c r="BA249" s="218"/>
      <c r="BB249" s="235">
        <v>126.4</v>
      </c>
      <c r="BC249" s="231">
        <v>30.279285232188201</v>
      </c>
      <c r="BD249" s="232" t="s">
        <v>55</v>
      </c>
      <c r="BE249" s="233">
        <v>0.94622766350588305</v>
      </c>
      <c r="BF249" s="234">
        <v>-19.4727168138241</v>
      </c>
      <c r="BG249" s="219">
        <v>4.0000000000000001E-3</v>
      </c>
      <c r="BH249" s="219"/>
      <c r="BI249" s="227">
        <v>8</v>
      </c>
      <c r="BJ249" s="227">
        <v>34</v>
      </c>
      <c r="BK249" s="220"/>
      <c r="BL249" s="236">
        <v>0.8</v>
      </c>
      <c r="BM249" s="233">
        <v>0.82</v>
      </c>
      <c r="BN249" s="237">
        <v>7.5000000000000002E-4</v>
      </c>
      <c r="BO249" s="238">
        <v>0.95</v>
      </c>
      <c r="BP249" s="229">
        <v>1</v>
      </c>
      <c r="BQ249" s="237">
        <v>2.5000000000000001E-3</v>
      </c>
    </row>
    <row r="250" spans="1:69" s="207" customFormat="1" ht="22.35" customHeight="1" x14ac:dyDescent="0.2">
      <c r="A250" s="216" t="s">
        <v>275</v>
      </c>
      <c r="B250" s="216" t="s">
        <v>318</v>
      </c>
      <c r="C250" s="216" t="s">
        <v>319</v>
      </c>
      <c r="D250" s="217">
        <v>2.5533062174444399</v>
      </c>
      <c r="E250" s="218"/>
      <c r="F250" s="219">
        <v>7.0000000000000007E-2</v>
      </c>
      <c r="G250" s="219">
        <v>6.4000000000000001E-2</v>
      </c>
      <c r="H250" s="220"/>
      <c r="I250" s="221">
        <v>5</v>
      </c>
      <c r="J250" s="221">
        <v>5</v>
      </c>
      <c r="K250" s="218"/>
      <c r="L250" s="222">
        <v>1344.07455</v>
      </c>
      <c r="M250" s="222">
        <v>-528.81933000000004</v>
      </c>
      <c r="N250" s="222">
        <v>815.25522000000001</v>
      </c>
      <c r="O250" s="217">
        <v>319.29394697357299</v>
      </c>
      <c r="P250" s="223">
        <v>240.12899999999999</v>
      </c>
      <c r="Q250" s="229">
        <v>1.3296767444730699</v>
      </c>
      <c r="R250" s="230">
        <v>145.725047391922</v>
      </c>
      <c r="S250" s="219">
        <v>0.01</v>
      </c>
      <c r="T250" s="219">
        <v>0.01</v>
      </c>
      <c r="U250" s="226">
        <v>0</v>
      </c>
      <c r="V250" s="227">
        <v>0</v>
      </c>
      <c r="W250" s="218"/>
      <c r="X250" s="226">
        <v>1677.2307450000001</v>
      </c>
      <c r="Y250" s="217">
        <v>656.88585785010503</v>
      </c>
      <c r="Z250" s="228">
        <v>573</v>
      </c>
      <c r="AA250" s="229">
        <v>1.14639765767907</v>
      </c>
      <c r="AB250" s="230">
        <v>79.586191845534799</v>
      </c>
      <c r="AC250" s="219">
        <v>0.02</v>
      </c>
      <c r="AD250" s="219">
        <v>1.4999999999999999E-2</v>
      </c>
      <c r="AE250" s="227">
        <v>0</v>
      </c>
      <c r="AF250" s="227">
        <v>79</v>
      </c>
      <c r="AG250" s="218"/>
      <c r="AH250" s="231">
        <v>220.55</v>
      </c>
      <c r="AI250" s="217">
        <v>86.378201914513895</v>
      </c>
      <c r="AJ250" s="232" t="s">
        <v>53</v>
      </c>
      <c r="AK250" s="229">
        <v>1.37108257007165</v>
      </c>
      <c r="AL250" s="230">
        <v>44.892745464692297</v>
      </c>
      <c r="AM250" s="219">
        <v>0.02</v>
      </c>
      <c r="AN250" s="219">
        <v>0.02</v>
      </c>
      <c r="AO250" s="227">
        <v>0</v>
      </c>
      <c r="AP250" s="227">
        <v>0</v>
      </c>
      <c r="AQ250" s="218"/>
      <c r="AR250" s="231">
        <v>11.8</v>
      </c>
      <c r="AS250" s="217">
        <v>4.6214590006405096</v>
      </c>
      <c r="AT250" s="232" t="s">
        <v>54</v>
      </c>
      <c r="AU250" s="224">
        <v>0.28884118754003202</v>
      </c>
      <c r="AV250" s="225">
        <v>-32.811366231189297</v>
      </c>
      <c r="AW250" s="219"/>
      <c r="AX250" s="219"/>
      <c r="AY250" s="227">
        <v>30</v>
      </c>
      <c r="AZ250" s="227">
        <v>38</v>
      </c>
      <c r="BA250" s="218"/>
      <c r="BB250" s="235">
        <v>97.6</v>
      </c>
      <c r="BC250" s="231">
        <v>38.224949022246903</v>
      </c>
      <c r="BD250" s="232" t="s">
        <v>55</v>
      </c>
      <c r="BE250" s="229">
        <v>1.19452965694522</v>
      </c>
      <c r="BF250" s="230">
        <v>8.3772675376214902</v>
      </c>
      <c r="BG250" s="219">
        <v>0.02</v>
      </c>
      <c r="BH250" s="219">
        <v>1.9E-2</v>
      </c>
      <c r="BI250" s="227">
        <v>0</v>
      </c>
      <c r="BJ250" s="227">
        <v>1</v>
      </c>
      <c r="BK250" s="220"/>
      <c r="BL250" s="236">
        <v>0.8</v>
      </c>
      <c r="BM250" s="239">
        <v>0.76</v>
      </c>
      <c r="BN250" s="237"/>
      <c r="BO250" s="238">
        <v>0.95</v>
      </c>
      <c r="BP250" s="229">
        <v>1</v>
      </c>
      <c r="BQ250" s="237">
        <v>2.5000000000000001E-3</v>
      </c>
    </row>
    <row r="251" spans="1:69" s="207" customFormat="1" ht="22.35" customHeight="1" x14ac:dyDescent="0.2">
      <c r="A251" s="216" t="s">
        <v>275</v>
      </c>
      <c r="B251" s="216" t="s">
        <v>318</v>
      </c>
      <c r="C251" s="216" t="s">
        <v>320</v>
      </c>
      <c r="D251" s="217">
        <v>2.2514665105555598</v>
      </c>
      <c r="E251" s="218"/>
      <c r="F251" s="219">
        <v>0.01</v>
      </c>
      <c r="G251" s="219">
        <v>0.01</v>
      </c>
      <c r="H251" s="220"/>
      <c r="I251" s="221">
        <v>3</v>
      </c>
      <c r="J251" s="221">
        <v>3</v>
      </c>
      <c r="K251" s="218"/>
      <c r="L251" s="222">
        <v>920.01224999999999</v>
      </c>
      <c r="M251" s="222">
        <v>638.44590000000005</v>
      </c>
      <c r="N251" s="222">
        <v>1558.4581499999999</v>
      </c>
      <c r="O251" s="217">
        <v>692.19690485888998</v>
      </c>
      <c r="P251" s="223">
        <v>255.477</v>
      </c>
      <c r="Q251" s="229">
        <v>2.7094294392798202</v>
      </c>
      <c r="R251" s="230">
        <v>930.34203258881496</v>
      </c>
      <c r="S251" s="219">
        <v>0.01</v>
      </c>
      <c r="T251" s="219">
        <v>0.01</v>
      </c>
      <c r="U251" s="226">
        <v>0</v>
      </c>
      <c r="V251" s="227">
        <v>0</v>
      </c>
      <c r="W251" s="218"/>
      <c r="X251" s="226">
        <v>1086.08935</v>
      </c>
      <c r="Y251" s="217">
        <v>482.39196315294299</v>
      </c>
      <c r="Z251" s="228">
        <v>573</v>
      </c>
      <c r="AA251" s="239">
        <v>0.84187079084283201</v>
      </c>
      <c r="AB251" s="222">
        <v>-322.68926911878202</v>
      </c>
      <c r="AC251" s="219"/>
      <c r="AD251" s="219"/>
      <c r="AE251" s="227">
        <v>205</v>
      </c>
      <c r="AF251" s="227">
        <v>463</v>
      </c>
      <c r="AG251" s="218"/>
      <c r="AH251" s="231">
        <v>60.3</v>
      </c>
      <c r="AI251" s="217">
        <v>26.782543607597699</v>
      </c>
      <c r="AJ251" s="232" t="s">
        <v>53</v>
      </c>
      <c r="AK251" s="224">
        <v>0.425119739803138</v>
      </c>
      <c r="AL251" s="225">
        <v>-94.591890060180305</v>
      </c>
      <c r="AM251" s="219"/>
      <c r="AN251" s="219"/>
      <c r="AO251" s="227">
        <v>82</v>
      </c>
      <c r="AP251" s="227">
        <v>110</v>
      </c>
      <c r="AQ251" s="218"/>
      <c r="AR251" s="231">
        <v>7.8</v>
      </c>
      <c r="AS251" s="217">
        <v>3.4644086258584101</v>
      </c>
      <c r="AT251" s="232" t="s">
        <v>54</v>
      </c>
      <c r="AU251" s="224">
        <v>0.21652553911615099</v>
      </c>
      <c r="AV251" s="225">
        <v>-31.537622872426699</v>
      </c>
      <c r="AW251" s="219"/>
      <c r="AX251" s="219"/>
      <c r="AY251" s="227">
        <v>29</v>
      </c>
      <c r="AZ251" s="227">
        <v>36</v>
      </c>
      <c r="BA251" s="218"/>
      <c r="BB251" s="235">
        <v>61.6</v>
      </c>
      <c r="BC251" s="231">
        <v>27.359945045240799</v>
      </c>
      <c r="BD251" s="232" t="s">
        <v>55</v>
      </c>
      <c r="BE251" s="239">
        <v>0.85499828266377398</v>
      </c>
      <c r="BF251" s="222">
        <v>-17.0752457448535</v>
      </c>
      <c r="BG251" s="219"/>
      <c r="BH251" s="219"/>
      <c r="BI251" s="227">
        <v>11</v>
      </c>
      <c r="BJ251" s="227">
        <v>25</v>
      </c>
      <c r="BK251" s="220"/>
      <c r="BL251" s="236">
        <v>0.8</v>
      </c>
      <c r="BM251" s="233">
        <v>0.91</v>
      </c>
      <c r="BN251" s="237">
        <v>4.1250000000000002E-3</v>
      </c>
      <c r="BO251" s="238">
        <v>0.95</v>
      </c>
      <c r="BP251" s="229">
        <v>1</v>
      </c>
      <c r="BQ251" s="237">
        <v>2.5000000000000001E-3</v>
      </c>
    </row>
    <row r="252" spans="1:69" s="207" customFormat="1" ht="22.35" customHeight="1" x14ac:dyDescent="0.2">
      <c r="A252" s="216" t="s">
        <v>275</v>
      </c>
      <c r="B252" s="216" t="s">
        <v>318</v>
      </c>
      <c r="C252" s="216" t="s">
        <v>321</v>
      </c>
      <c r="D252" s="217">
        <v>2.8395425426666701</v>
      </c>
      <c r="E252" s="218"/>
      <c r="F252" s="219">
        <v>0.01</v>
      </c>
      <c r="G252" s="219">
        <v>0.01</v>
      </c>
      <c r="H252" s="220"/>
      <c r="I252" s="221">
        <v>3</v>
      </c>
      <c r="J252" s="221">
        <v>3</v>
      </c>
      <c r="K252" s="218"/>
      <c r="L252" s="222">
        <v>698.95641999999998</v>
      </c>
      <c r="M252" s="222">
        <v>1764.1675399999999</v>
      </c>
      <c r="N252" s="222">
        <v>2463.1239599999999</v>
      </c>
      <c r="O252" s="217">
        <v>867.43689273513598</v>
      </c>
      <c r="P252" s="223">
        <v>222.37200000000001</v>
      </c>
      <c r="Q252" s="229">
        <v>3.9008368532690101</v>
      </c>
      <c r="R252" s="230">
        <v>1773.5972083067199</v>
      </c>
      <c r="S252" s="219">
        <v>0.01</v>
      </c>
      <c r="T252" s="219">
        <v>0.01</v>
      </c>
      <c r="U252" s="226">
        <v>0</v>
      </c>
      <c r="V252" s="227">
        <v>0</v>
      </c>
      <c r="W252" s="218"/>
      <c r="X252" s="226">
        <v>906.45474999999999</v>
      </c>
      <c r="Y252" s="217">
        <v>319.22562750151002</v>
      </c>
      <c r="Z252" s="228">
        <v>573</v>
      </c>
      <c r="AA252" s="224">
        <v>0.55711278796075003</v>
      </c>
      <c r="AB252" s="225">
        <v>-870.29245162721804</v>
      </c>
      <c r="AC252" s="219"/>
      <c r="AD252" s="219"/>
      <c r="AE252" s="227">
        <v>721</v>
      </c>
      <c r="AF252" s="227">
        <v>1047</v>
      </c>
      <c r="AG252" s="218"/>
      <c r="AH252" s="231">
        <v>107.05</v>
      </c>
      <c r="AI252" s="217">
        <v>37.699734514090899</v>
      </c>
      <c r="AJ252" s="232" t="s">
        <v>53</v>
      </c>
      <c r="AK252" s="224">
        <v>0.59840848435064897</v>
      </c>
      <c r="AL252" s="225">
        <v>-88.299168765296201</v>
      </c>
      <c r="AM252" s="219"/>
      <c r="AN252" s="219"/>
      <c r="AO252" s="227">
        <v>72</v>
      </c>
      <c r="AP252" s="227">
        <v>108</v>
      </c>
      <c r="AQ252" s="218"/>
      <c r="AR252" s="231">
        <v>7</v>
      </c>
      <c r="AS252" s="217">
        <v>2.4651858159611102</v>
      </c>
      <c r="AT252" s="232" t="s">
        <v>54</v>
      </c>
      <c r="AU252" s="224">
        <v>0.154074113497569</v>
      </c>
      <c r="AV252" s="225">
        <v>-42.612487305472101</v>
      </c>
      <c r="AW252" s="219"/>
      <c r="AX252" s="219"/>
      <c r="AY252" s="227">
        <v>39</v>
      </c>
      <c r="AZ252" s="227">
        <v>48</v>
      </c>
      <c r="BA252" s="218"/>
      <c r="BB252" s="235">
        <v>53.4</v>
      </c>
      <c r="BC252" s="231">
        <v>18.8058460817604</v>
      </c>
      <c r="BD252" s="232" t="s">
        <v>55</v>
      </c>
      <c r="BE252" s="224">
        <v>0.58768269005501295</v>
      </c>
      <c r="BF252" s="225">
        <v>-45.824974610944103</v>
      </c>
      <c r="BG252" s="219"/>
      <c r="BH252" s="219"/>
      <c r="BI252" s="227">
        <v>38</v>
      </c>
      <c r="BJ252" s="227">
        <v>56</v>
      </c>
      <c r="BK252" s="220"/>
      <c r="BL252" s="236">
        <v>0.8</v>
      </c>
      <c r="BM252" s="233">
        <v>0.83</v>
      </c>
      <c r="BN252" s="237">
        <v>1.1249999999999999E-3</v>
      </c>
      <c r="BO252" s="238">
        <v>0.95</v>
      </c>
      <c r="BP252" s="229">
        <v>1</v>
      </c>
      <c r="BQ252" s="237">
        <v>2.5000000000000001E-3</v>
      </c>
    </row>
    <row r="253" spans="1:69" s="207" customFormat="1" ht="22.35" customHeight="1" x14ac:dyDescent="0.2">
      <c r="A253" s="216" t="s">
        <v>275</v>
      </c>
      <c r="B253" s="216" t="s">
        <v>318</v>
      </c>
      <c r="C253" s="216" t="s">
        <v>322</v>
      </c>
      <c r="D253" s="217">
        <v>2.59845626488889</v>
      </c>
      <c r="E253" s="218"/>
      <c r="F253" s="219">
        <v>4.9000000000000002E-2</v>
      </c>
      <c r="G253" s="219">
        <v>0.03</v>
      </c>
      <c r="H253" s="220"/>
      <c r="I253" s="221">
        <v>6</v>
      </c>
      <c r="J253" s="221">
        <v>5</v>
      </c>
      <c r="K253" s="218"/>
      <c r="L253" s="222">
        <v>597.92957999999999</v>
      </c>
      <c r="M253" s="222">
        <v>239.04721000000001</v>
      </c>
      <c r="N253" s="222">
        <v>836.97679000000005</v>
      </c>
      <c r="O253" s="217">
        <v>322.105398235667</v>
      </c>
      <c r="P253" s="223">
        <v>286.47199999999998</v>
      </c>
      <c r="Q253" s="229">
        <v>1.12438701944926</v>
      </c>
      <c r="R253" s="230">
        <v>24.1084102781467</v>
      </c>
      <c r="S253" s="219">
        <v>0.01</v>
      </c>
      <c r="T253" s="219">
        <v>6.0000000000000001E-3</v>
      </c>
      <c r="U253" s="226">
        <v>0</v>
      </c>
      <c r="V253" s="227">
        <v>57</v>
      </c>
      <c r="W253" s="218"/>
      <c r="X253" s="226">
        <v>1959.1198750000001</v>
      </c>
      <c r="Y253" s="217">
        <v>753.95530087314103</v>
      </c>
      <c r="Z253" s="228">
        <v>573</v>
      </c>
      <c r="AA253" s="229">
        <v>1.31580331740513</v>
      </c>
      <c r="AB253" s="230">
        <v>333.22421475878298</v>
      </c>
      <c r="AC253" s="219">
        <v>0.02</v>
      </c>
      <c r="AD253" s="219">
        <v>0.02</v>
      </c>
      <c r="AE253" s="227">
        <v>0</v>
      </c>
      <c r="AF253" s="227">
        <v>0</v>
      </c>
      <c r="AG253" s="218"/>
      <c r="AH253" s="231">
        <v>154.9</v>
      </c>
      <c r="AI253" s="217">
        <v>59.612317549098201</v>
      </c>
      <c r="AJ253" s="232" t="s">
        <v>53</v>
      </c>
      <c r="AK253" s="233">
        <v>0.94622726268409796</v>
      </c>
      <c r="AL253" s="234">
        <v>-23.863397199296099</v>
      </c>
      <c r="AM253" s="219">
        <v>4.0000000000000001E-3</v>
      </c>
      <c r="AN253" s="219"/>
      <c r="AO253" s="227">
        <v>9</v>
      </c>
      <c r="AP253" s="227">
        <v>42</v>
      </c>
      <c r="AQ253" s="218"/>
      <c r="AR253" s="231">
        <v>21.6</v>
      </c>
      <c r="AS253" s="217">
        <v>8.3126278828955495</v>
      </c>
      <c r="AT253" s="232" t="s">
        <v>54</v>
      </c>
      <c r="AU253" s="224">
        <v>0.51953924268097196</v>
      </c>
      <c r="AV253" s="225">
        <v>-23.800227860138701</v>
      </c>
      <c r="AW253" s="219"/>
      <c r="AX253" s="219"/>
      <c r="AY253" s="227">
        <v>20</v>
      </c>
      <c r="AZ253" s="227">
        <v>29</v>
      </c>
      <c r="BA253" s="218"/>
      <c r="BB253" s="235">
        <v>86.8</v>
      </c>
      <c r="BC253" s="231">
        <v>33.404449084969201</v>
      </c>
      <c r="BD253" s="232" t="s">
        <v>55</v>
      </c>
      <c r="BE253" s="233">
        <v>1.04388903390529</v>
      </c>
      <c r="BF253" s="234">
        <v>-4.0004557202774</v>
      </c>
      <c r="BG253" s="219">
        <v>1.4999999999999999E-2</v>
      </c>
      <c r="BH253" s="219">
        <v>4.0000000000000001E-3</v>
      </c>
      <c r="BI253" s="227">
        <v>0</v>
      </c>
      <c r="BJ253" s="227">
        <v>13</v>
      </c>
      <c r="BK253" s="220"/>
      <c r="BL253" s="236">
        <v>0.8</v>
      </c>
      <c r="BM253" s="233">
        <v>0.86</v>
      </c>
      <c r="BN253" s="237">
        <v>2.2499999999999998E-3</v>
      </c>
      <c r="BO253" s="238">
        <v>0.95</v>
      </c>
      <c r="BP253" s="229">
        <v>1</v>
      </c>
      <c r="BQ253" s="237">
        <v>2.5000000000000001E-3</v>
      </c>
    </row>
    <row r="254" spans="1:69" s="207" customFormat="1" ht="22.35" customHeight="1" x14ac:dyDescent="0.2">
      <c r="A254" s="216" t="s">
        <v>275</v>
      </c>
      <c r="B254" s="216" t="s">
        <v>318</v>
      </c>
      <c r="C254" s="216" t="s">
        <v>323</v>
      </c>
      <c r="D254" s="217">
        <v>3.4220960403333298</v>
      </c>
      <c r="E254" s="218"/>
      <c r="F254" s="219">
        <v>0.05</v>
      </c>
      <c r="G254" s="219">
        <v>0.05</v>
      </c>
      <c r="H254" s="220"/>
      <c r="I254" s="221">
        <v>4</v>
      </c>
      <c r="J254" s="221">
        <v>4</v>
      </c>
      <c r="K254" s="218"/>
      <c r="L254" s="222">
        <v>2655.21639</v>
      </c>
      <c r="M254" s="222">
        <v>2103.4872300000002</v>
      </c>
      <c r="N254" s="222">
        <v>4758.7036200000002</v>
      </c>
      <c r="O254" s="217">
        <v>1390.58155116432</v>
      </c>
      <c r="P254" s="223">
        <v>237.096</v>
      </c>
      <c r="Q254" s="229">
        <v>5.8650569860491997</v>
      </c>
      <c r="R254" s="230">
        <v>3872.69273120547</v>
      </c>
      <c r="S254" s="219">
        <v>0.01</v>
      </c>
      <c r="T254" s="219">
        <v>0.01</v>
      </c>
      <c r="U254" s="226">
        <v>0</v>
      </c>
      <c r="V254" s="227">
        <v>0</v>
      </c>
      <c r="W254" s="218"/>
      <c r="X254" s="226">
        <v>2392.0116149999999</v>
      </c>
      <c r="Y254" s="217">
        <v>698.99020565390197</v>
      </c>
      <c r="Z254" s="228">
        <v>573</v>
      </c>
      <c r="AA254" s="229">
        <v>1.21987819485847</v>
      </c>
      <c r="AB254" s="230">
        <v>250.751369026791</v>
      </c>
      <c r="AC254" s="219">
        <v>0.02</v>
      </c>
      <c r="AD254" s="219">
        <v>0.02</v>
      </c>
      <c r="AE254" s="227">
        <v>0</v>
      </c>
      <c r="AF254" s="227">
        <v>0</v>
      </c>
      <c r="AG254" s="218"/>
      <c r="AH254" s="231">
        <v>118.25</v>
      </c>
      <c r="AI254" s="217">
        <v>34.554845511723798</v>
      </c>
      <c r="AJ254" s="232" t="s">
        <v>53</v>
      </c>
      <c r="AK254" s="224">
        <v>0.54848961129720297</v>
      </c>
      <c r="AL254" s="225">
        <v>-117.176519190772</v>
      </c>
      <c r="AM254" s="219"/>
      <c r="AN254" s="219"/>
      <c r="AO254" s="227">
        <v>98</v>
      </c>
      <c r="AP254" s="227">
        <v>141</v>
      </c>
      <c r="AQ254" s="218"/>
      <c r="AR254" s="231">
        <v>15</v>
      </c>
      <c r="AS254" s="217">
        <v>4.3832785004300803</v>
      </c>
      <c r="AT254" s="232" t="s">
        <v>54</v>
      </c>
      <c r="AU254" s="224">
        <v>0.27395490627688002</v>
      </c>
      <c r="AV254" s="225">
        <v>-44.790862016703898</v>
      </c>
      <c r="AW254" s="219"/>
      <c r="AX254" s="219"/>
      <c r="AY254" s="227">
        <v>40</v>
      </c>
      <c r="AZ254" s="227">
        <v>51</v>
      </c>
      <c r="BA254" s="218"/>
      <c r="BB254" s="235">
        <v>144.6</v>
      </c>
      <c r="BC254" s="231">
        <v>42.2548047441459</v>
      </c>
      <c r="BD254" s="232" t="s">
        <v>55</v>
      </c>
      <c r="BE254" s="229">
        <v>1.3204626482545601</v>
      </c>
      <c r="BF254" s="230">
        <v>25.0182759665921</v>
      </c>
      <c r="BG254" s="219">
        <v>0.02</v>
      </c>
      <c r="BH254" s="219">
        <v>0.02</v>
      </c>
      <c r="BI254" s="227">
        <v>0</v>
      </c>
      <c r="BJ254" s="227">
        <v>0</v>
      </c>
      <c r="BK254" s="220"/>
      <c r="BL254" s="236">
        <v>0.8</v>
      </c>
      <c r="BM254" s="239">
        <v>0.77</v>
      </c>
      <c r="BN254" s="237"/>
      <c r="BO254" s="238">
        <v>0.95</v>
      </c>
      <c r="BP254" s="229">
        <v>1</v>
      </c>
      <c r="BQ254" s="237">
        <v>2.5000000000000001E-3</v>
      </c>
    </row>
    <row r="255" spans="1:69" s="207" customFormat="1" ht="22.35" customHeight="1" x14ac:dyDescent="0.2">
      <c r="A255" s="216" t="s">
        <v>275</v>
      </c>
      <c r="B255" s="216" t="s">
        <v>318</v>
      </c>
      <c r="C255" s="216" t="s">
        <v>324</v>
      </c>
      <c r="D255" s="217">
        <v>2.6425147733333301</v>
      </c>
      <c r="E255" s="218"/>
      <c r="F255" s="219">
        <v>0.08</v>
      </c>
      <c r="G255" s="219">
        <v>7.5999999999999998E-2</v>
      </c>
      <c r="H255" s="220"/>
      <c r="I255" s="221">
        <v>6</v>
      </c>
      <c r="J255" s="221">
        <v>6</v>
      </c>
      <c r="K255" s="218"/>
      <c r="L255" s="222">
        <v>2005.5875100000001</v>
      </c>
      <c r="M255" s="222">
        <v>854.26978999999994</v>
      </c>
      <c r="N255" s="222">
        <v>2859.8573000000001</v>
      </c>
      <c r="O255" s="217">
        <v>1082.2483676761101</v>
      </c>
      <c r="P255" s="223">
        <v>265.19900000000001</v>
      </c>
      <c r="Q255" s="229">
        <v>4.0808915858510399</v>
      </c>
      <c r="R255" s="230">
        <v>2094.5921352924402</v>
      </c>
      <c r="S255" s="219">
        <v>0.01</v>
      </c>
      <c r="T255" s="219">
        <v>0.01</v>
      </c>
      <c r="U255" s="226">
        <v>0</v>
      </c>
      <c r="V255" s="227">
        <v>0</v>
      </c>
      <c r="W255" s="218"/>
      <c r="X255" s="226">
        <v>1962.0951299999999</v>
      </c>
      <c r="Y255" s="217">
        <v>742.51056221152703</v>
      </c>
      <c r="Z255" s="228">
        <v>573</v>
      </c>
      <c r="AA255" s="229">
        <v>1.2958299515035401</v>
      </c>
      <c r="AB255" s="230">
        <v>308.631356088963</v>
      </c>
      <c r="AC255" s="219">
        <v>0.02</v>
      </c>
      <c r="AD255" s="219">
        <v>0.02</v>
      </c>
      <c r="AE255" s="227">
        <v>0</v>
      </c>
      <c r="AF255" s="227">
        <v>0</v>
      </c>
      <c r="AG255" s="218"/>
      <c r="AH255" s="231">
        <v>192.8</v>
      </c>
      <c r="AI255" s="217">
        <v>72.960803075018305</v>
      </c>
      <c r="AJ255" s="232" t="s">
        <v>53</v>
      </c>
      <c r="AK255" s="229">
        <v>1.1581079853177501</v>
      </c>
      <c r="AL255" s="230">
        <v>11.005553653760201</v>
      </c>
      <c r="AM255" s="219">
        <v>0.02</v>
      </c>
      <c r="AN255" s="219">
        <v>1.6E-2</v>
      </c>
      <c r="AO255" s="227">
        <v>0</v>
      </c>
      <c r="AP255" s="227">
        <v>7</v>
      </c>
      <c r="AQ255" s="218"/>
      <c r="AR255" s="231">
        <v>56.2</v>
      </c>
      <c r="AS255" s="217">
        <v>21.267619983485599</v>
      </c>
      <c r="AT255" s="232" t="s">
        <v>54</v>
      </c>
      <c r="AU255" s="229">
        <v>1.3292262489678499</v>
      </c>
      <c r="AV255" s="230">
        <v>10.029981880320101</v>
      </c>
      <c r="AW255" s="219">
        <v>0.01</v>
      </c>
      <c r="AX255" s="219">
        <v>0.01</v>
      </c>
      <c r="AY255" s="227">
        <v>0</v>
      </c>
      <c r="AZ255" s="227">
        <v>0</v>
      </c>
      <c r="BA255" s="218"/>
      <c r="BB255" s="235">
        <v>168.8</v>
      </c>
      <c r="BC255" s="231">
        <v>63.878545430825199</v>
      </c>
      <c r="BD255" s="232" t="s">
        <v>55</v>
      </c>
      <c r="BE255" s="229">
        <v>1.9962045447132899</v>
      </c>
      <c r="BF255" s="230">
        <v>76.459963760640093</v>
      </c>
      <c r="BG255" s="219">
        <v>0.02</v>
      </c>
      <c r="BH255" s="219">
        <v>0.02</v>
      </c>
      <c r="BI255" s="227">
        <v>0</v>
      </c>
      <c r="BJ255" s="227">
        <v>0</v>
      </c>
      <c r="BK255" s="220"/>
      <c r="BL255" s="236">
        <v>0.8</v>
      </c>
      <c r="BM255" s="239">
        <v>0.78</v>
      </c>
      <c r="BN255" s="237"/>
      <c r="BO255" s="238">
        <v>0.95</v>
      </c>
      <c r="BP255" s="229">
        <v>1</v>
      </c>
      <c r="BQ255" s="237">
        <v>2.5000000000000001E-3</v>
      </c>
    </row>
    <row r="256" spans="1:69" s="207" customFormat="1" ht="22.35" customHeight="1" x14ac:dyDescent="0.2">
      <c r="A256" s="216" t="s">
        <v>275</v>
      </c>
      <c r="B256" s="216" t="s">
        <v>318</v>
      </c>
      <c r="C256" s="216" t="s">
        <v>325</v>
      </c>
      <c r="D256" s="217">
        <v>3.04966082633333</v>
      </c>
      <c r="E256" s="218"/>
      <c r="F256" s="219">
        <v>3.7999999999999999E-2</v>
      </c>
      <c r="G256" s="219">
        <v>1.7000000000000001E-2</v>
      </c>
      <c r="H256" s="220"/>
      <c r="I256" s="221">
        <v>5</v>
      </c>
      <c r="J256" s="221">
        <v>4</v>
      </c>
      <c r="K256" s="218"/>
      <c r="L256" s="222">
        <v>687.19646</v>
      </c>
      <c r="M256" s="222">
        <v>2370.8344400000001</v>
      </c>
      <c r="N256" s="222">
        <v>3058.0309000000002</v>
      </c>
      <c r="O256" s="217">
        <v>1002.74459165898</v>
      </c>
      <c r="P256" s="223">
        <v>266.08300000000003</v>
      </c>
      <c r="Q256" s="229">
        <v>3.7685406119856601</v>
      </c>
      <c r="R256" s="230">
        <v>2171.9134113946502</v>
      </c>
      <c r="S256" s="219">
        <v>0.01</v>
      </c>
      <c r="T256" s="219">
        <v>0.01</v>
      </c>
      <c r="U256" s="226">
        <v>0</v>
      </c>
      <c r="V256" s="227">
        <v>0</v>
      </c>
      <c r="W256" s="218"/>
      <c r="X256" s="226">
        <v>1874.3177499999999</v>
      </c>
      <c r="Y256" s="217">
        <v>614.59875597166899</v>
      </c>
      <c r="Z256" s="228">
        <v>573</v>
      </c>
      <c r="AA256" s="233">
        <v>1.0725981779610301</v>
      </c>
      <c r="AB256" s="234">
        <v>-33.903823609985899</v>
      </c>
      <c r="AC256" s="219">
        <v>1.7999999999999999E-2</v>
      </c>
      <c r="AD256" s="219">
        <v>7.0000000000000001E-3</v>
      </c>
      <c r="AE256" s="227">
        <v>0</v>
      </c>
      <c r="AF256" s="227">
        <v>223</v>
      </c>
      <c r="AG256" s="218"/>
      <c r="AH256" s="231">
        <v>114.25</v>
      </c>
      <c r="AI256" s="217">
        <v>37.463182467200802</v>
      </c>
      <c r="AJ256" s="232" t="s">
        <v>53</v>
      </c>
      <c r="AK256" s="224">
        <v>0.594653689955568</v>
      </c>
      <c r="AL256" s="225">
        <v>-95.554466208427797</v>
      </c>
      <c r="AM256" s="219"/>
      <c r="AN256" s="219"/>
      <c r="AO256" s="227">
        <v>78</v>
      </c>
      <c r="AP256" s="227">
        <v>117</v>
      </c>
      <c r="AQ256" s="218"/>
      <c r="AR256" s="231">
        <v>5.5</v>
      </c>
      <c r="AS256" s="217">
        <v>1.8034792434976299</v>
      </c>
      <c r="AT256" s="232" t="s">
        <v>54</v>
      </c>
      <c r="AU256" s="224">
        <v>0.11271745271860199</v>
      </c>
      <c r="AV256" s="225">
        <v>-47.783673957695903</v>
      </c>
      <c r="AW256" s="219"/>
      <c r="AX256" s="219"/>
      <c r="AY256" s="227">
        <v>44</v>
      </c>
      <c r="AZ256" s="227">
        <v>54</v>
      </c>
      <c r="BA256" s="218"/>
      <c r="BB256" s="235">
        <v>97.4</v>
      </c>
      <c r="BC256" s="231">
        <v>31.937977875758001</v>
      </c>
      <c r="BD256" s="232" t="s">
        <v>55</v>
      </c>
      <c r="BE256" s="233">
        <v>0.99806180861743898</v>
      </c>
      <c r="BF256" s="234">
        <v>-9.1673479153918898</v>
      </c>
      <c r="BG256" s="219">
        <v>0.01</v>
      </c>
      <c r="BH256" s="219">
        <v>0</v>
      </c>
      <c r="BI256" s="227">
        <v>1</v>
      </c>
      <c r="BJ256" s="227">
        <v>20</v>
      </c>
      <c r="BK256" s="220"/>
      <c r="BL256" s="236">
        <v>0.8</v>
      </c>
      <c r="BM256" s="233">
        <v>0.85</v>
      </c>
      <c r="BN256" s="237">
        <v>1.8749999999999999E-3</v>
      </c>
      <c r="BO256" s="238">
        <v>0.95</v>
      </c>
      <c r="BP256" s="229">
        <v>1</v>
      </c>
      <c r="BQ256" s="237">
        <v>2.5000000000000001E-3</v>
      </c>
    </row>
    <row r="257" spans="1:69" s="207" customFormat="1" ht="22.35" customHeight="1" x14ac:dyDescent="0.2">
      <c r="A257" s="216" t="s">
        <v>275</v>
      </c>
      <c r="B257" s="216" t="s">
        <v>318</v>
      </c>
      <c r="C257" s="216" t="s">
        <v>326</v>
      </c>
      <c r="D257" s="217">
        <v>2.8493458841111101</v>
      </c>
      <c r="E257" s="218"/>
      <c r="F257" s="219">
        <v>0.05</v>
      </c>
      <c r="G257" s="219">
        <v>3.9E-2</v>
      </c>
      <c r="H257" s="220"/>
      <c r="I257" s="221">
        <v>5</v>
      </c>
      <c r="J257" s="221">
        <v>5</v>
      </c>
      <c r="K257" s="218"/>
      <c r="L257" s="222">
        <v>2423.97183</v>
      </c>
      <c r="M257" s="222">
        <v>2422.7262300000002</v>
      </c>
      <c r="N257" s="222">
        <v>4846.6980599999997</v>
      </c>
      <c r="O257" s="217">
        <v>1700.98621126581</v>
      </c>
      <c r="P257" s="223">
        <v>263.75299999999999</v>
      </c>
      <c r="Q257" s="229">
        <v>6.44916346455134</v>
      </c>
      <c r="R257" s="230">
        <v>4026.0343707306201</v>
      </c>
      <c r="S257" s="219">
        <v>0.01</v>
      </c>
      <c r="T257" s="219">
        <v>0.01</v>
      </c>
      <c r="U257" s="226">
        <v>0</v>
      </c>
      <c r="V257" s="227">
        <v>0</v>
      </c>
      <c r="W257" s="218"/>
      <c r="X257" s="226">
        <v>1820.2441100000001</v>
      </c>
      <c r="Y257" s="217">
        <v>638.82876422630204</v>
      </c>
      <c r="Z257" s="228">
        <v>573</v>
      </c>
      <c r="AA257" s="229">
        <v>1.1148844052814999</v>
      </c>
      <c r="AB257" s="230">
        <v>37.362800777532598</v>
      </c>
      <c r="AC257" s="219">
        <v>0.02</v>
      </c>
      <c r="AD257" s="219">
        <v>1.0999999999999999E-2</v>
      </c>
      <c r="AE257" s="227">
        <v>0</v>
      </c>
      <c r="AF257" s="227">
        <v>139</v>
      </c>
      <c r="AG257" s="218"/>
      <c r="AH257" s="231">
        <v>156.25</v>
      </c>
      <c r="AI257" s="217">
        <v>54.837147315565097</v>
      </c>
      <c r="AJ257" s="232" t="s">
        <v>53</v>
      </c>
      <c r="AK257" s="239">
        <v>0.87043090977087401</v>
      </c>
      <c r="AL257" s="222">
        <v>-39.773599443307901</v>
      </c>
      <c r="AM257" s="219"/>
      <c r="AN257" s="219"/>
      <c r="AO257" s="227">
        <v>24</v>
      </c>
      <c r="AP257" s="227">
        <v>60</v>
      </c>
      <c r="AQ257" s="218"/>
      <c r="AR257" s="231">
        <v>29.9</v>
      </c>
      <c r="AS257" s="217">
        <v>10.4936365103065</v>
      </c>
      <c r="AT257" s="232" t="s">
        <v>54</v>
      </c>
      <c r="AU257" s="224">
        <v>0.65585228189415801</v>
      </c>
      <c r="AV257" s="225">
        <v>-19.883771287189301</v>
      </c>
      <c r="AW257" s="219"/>
      <c r="AX257" s="219"/>
      <c r="AY257" s="227">
        <v>16</v>
      </c>
      <c r="AZ257" s="227">
        <v>25</v>
      </c>
      <c r="BA257" s="218"/>
      <c r="BB257" s="235">
        <v>108</v>
      </c>
      <c r="BC257" s="231">
        <v>37.9034362245186</v>
      </c>
      <c r="BD257" s="232" t="s">
        <v>55</v>
      </c>
      <c r="BE257" s="229">
        <v>1.18448238201621</v>
      </c>
      <c r="BF257" s="230">
        <v>8.4324574256213705</v>
      </c>
      <c r="BG257" s="219">
        <v>0.02</v>
      </c>
      <c r="BH257" s="219">
        <v>1.7999999999999999E-2</v>
      </c>
      <c r="BI257" s="227">
        <v>0</v>
      </c>
      <c r="BJ257" s="227">
        <v>2</v>
      </c>
      <c r="BK257" s="220"/>
      <c r="BL257" s="236">
        <v>0.8</v>
      </c>
      <c r="BM257" s="233">
        <v>0.87</v>
      </c>
      <c r="BN257" s="237">
        <v>2.6250000000000002E-3</v>
      </c>
      <c r="BO257" s="238">
        <v>0.95</v>
      </c>
      <c r="BP257" s="229">
        <v>1</v>
      </c>
      <c r="BQ257" s="237">
        <v>2.5000000000000001E-3</v>
      </c>
    </row>
    <row r="258" spans="1:69" s="207" customFormat="1" ht="22.35" customHeight="1" x14ac:dyDescent="0.2">
      <c r="A258" s="216" t="s">
        <v>275</v>
      </c>
      <c r="B258" s="216" t="s">
        <v>318</v>
      </c>
      <c r="C258" s="216" t="s">
        <v>327</v>
      </c>
      <c r="D258" s="217">
        <v>7.8533208782222204</v>
      </c>
      <c r="E258" s="218"/>
      <c r="F258" s="219">
        <v>3.5000000000000003E-2</v>
      </c>
      <c r="G258" s="219">
        <v>1.6E-2</v>
      </c>
      <c r="H258" s="220"/>
      <c r="I258" s="221">
        <v>5</v>
      </c>
      <c r="J258" s="221">
        <v>4</v>
      </c>
      <c r="K258" s="218"/>
      <c r="L258" s="222">
        <v>4301.7128700000003</v>
      </c>
      <c r="M258" s="222">
        <v>-1270.0618999999999</v>
      </c>
      <c r="N258" s="222">
        <v>3031.6509700000001</v>
      </c>
      <c r="O258" s="217">
        <v>386.03426716040201</v>
      </c>
      <c r="P258" s="223">
        <v>267.36500000000001</v>
      </c>
      <c r="Q258" s="229">
        <v>1.4438474264036101</v>
      </c>
      <c r="R258" s="230">
        <v>738.77514482637503</v>
      </c>
      <c r="S258" s="219">
        <v>0.01</v>
      </c>
      <c r="T258" s="219">
        <v>0.01</v>
      </c>
      <c r="U258" s="226">
        <v>0</v>
      </c>
      <c r="V258" s="227">
        <v>0</v>
      </c>
      <c r="W258" s="218"/>
      <c r="X258" s="226">
        <v>4756.6229499999999</v>
      </c>
      <c r="Y258" s="217">
        <v>605.68300006566994</v>
      </c>
      <c r="Z258" s="228">
        <v>573</v>
      </c>
      <c r="AA258" s="233">
        <v>1.0570383945299699</v>
      </c>
      <c r="AB258" s="234">
        <v>-157.32557663769501</v>
      </c>
      <c r="AC258" s="219">
        <v>1.6E-2</v>
      </c>
      <c r="AD258" s="219">
        <v>6.0000000000000001E-3</v>
      </c>
      <c r="AE258" s="227">
        <v>0</v>
      </c>
      <c r="AF258" s="227">
        <v>644</v>
      </c>
      <c r="AG258" s="218"/>
      <c r="AH258" s="231">
        <v>415.3</v>
      </c>
      <c r="AI258" s="217">
        <v>52.882087264720603</v>
      </c>
      <c r="AJ258" s="232" t="s">
        <v>53</v>
      </c>
      <c r="AK258" s="239">
        <v>0.83939821055112096</v>
      </c>
      <c r="AL258" s="222">
        <v>-124.97706313817601</v>
      </c>
      <c r="AM258" s="219"/>
      <c r="AN258" s="219"/>
      <c r="AO258" s="227">
        <v>80</v>
      </c>
      <c r="AP258" s="227">
        <v>179</v>
      </c>
      <c r="AQ258" s="218"/>
      <c r="AR258" s="231">
        <v>61.6</v>
      </c>
      <c r="AS258" s="217">
        <v>7.8438154960433204</v>
      </c>
      <c r="AT258" s="232" t="s">
        <v>54</v>
      </c>
      <c r="AU258" s="224">
        <v>0.49023846850270802</v>
      </c>
      <c r="AV258" s="225">
        <v>-75.613222384298595</v>
      </c>
      <c r="AW258" s="219"/>
      <c r="AX258" s="219"/>
      <c r="AY258" s="227">
        <v>65</v>
      </c>
      <c r="AZ258" s="227">
        <v>90</v>
      </c>
      <c r="BA258" s="218"/>
      <c r="BB258" s="235">
        <v>250.2</v>
      </c>
      <c r="BC258" s="231">
        <v>31.859133719318798</v>
      </c>
      <c r="BD258" s="232" t="s">
        <v>55</v>
      </c>
      <c r="BE258" s="233">
        <v>0.995597928728713</v>
      </c>
      <c r="BF258" s="234">
        <v>-24.226444768597201</v>
      </c>
      <c r="BG258" s="219">
        <v>8.9999999999999993E-3</v>
      </c>
      <c r="BH258" s="219">
        <v>0</v>
      </c>
      <c r="BI258" s="227">
        <v>2</v>
      </c>
      <c r="BJ258" s="227">
        <v>52</v>
      </c>
      <c r="BK258" s="220"/>
      <c r="BL258" s="236">
        <v>0.8</v>
      </c>
      <c r="BM258" s="233">
        <v>0.81</v>
      </c>
      <c r="BN258" s="237">
        <v>3.7500000000000001E-4</v>
      </c>
      <c r="BO258" s="238">
        <v>0.95</v>
      </c>
      <c r="BP258" s="229">
        <v>1</v>
      </c>
      <c r="BQ258" s="237">
        <v>2.5000000000000001E-3</v>
      </c>
    </row>
    <row r="259" spans="1:69" s="207" customFormat="1" ht="22.35" customHeight="1" x14ac:dyDescent="0.2">
      <c r="A259" s="216" t="s">
        <v>275</v>
      </c>
      <c r="B259" s="216" t="s">
        <v>318</v>
      </c>
      <c r="C259" s="216" t="s">
        <v>328</v>
      </c>
      <c r="D259" s="217">
        <v>8.9100383940000007</v>
      </c>
      <c r="E259" s="218"/>
      <c r="F259" s="219">
        <v>3.0000000000000001E-3</v>
      </c>
      <c r="G259" s="219"/>
      <c r="H259" s="220"/>
      <c r="I259" s="221">
        <v>2</v>
      </c>
      <c r="J259" s="221">
        <v>1</v>
      </c>
      <c r="K259" s="218"/>
      <c r="L259" s="222">
        <v>4024.8695699999998</v>
      </c>
      <c r="M259" s="222">
        <v>-1955.86383</v>
      </c>
      <c r="N259" s="222">
        <v>2069.0057400000001</v>
      </c>
      <c r="O259" s="217">
        <v>232.21064248087501</v>
      </c>
      <c r="P259" s="223">
        <v>266.08300000000003</v>
      </c>
      <c r="Q259" s="239">
        <v>0.87270003149721898</v>
      </c>
      <c r="R259" s="222">
        <v>-519.91850262184698</v>
      </c>
      <c r="S259" s="219"/>
      <c r="T259" s="219"/>
      <c r="U259" s="226">
        <v>302</v>
      </c>
      <c r="V259" s="227">
        <v>776</v>
      </c>
      <c r="W259" s="218"/>
      <c r="X259" s="226">
        <v>3567.6172350000002</v>
      </c>
      <c r="Y259" s="217">
        <v>400.40424936916401</v>
      </c>
      <c r="Z259" s="228">
        <v>573</v>
      </c>
      <c r="AA259" s="224">
        <v>0.69878577551337495</v>
      </c>
      <c r="AB259" s="225">
        <v>-2007.5363487401</v>
      </c>
      <c r="AC259" s="219"/>
      <c r="AD259" s="219"/>
      <c r="AE259" s="227">
        <v>1538</v>
      </c>
      <c r="AF259" s="227">
        <v>2559</v>
      </c>
      <c r="AG259" s="218"/>
      <c r="AH259" s="231">
        <v>404.45</v>
      </c>
      <c r="AI259" s="217">
        <v>45.392621458551197</v>
      </c>
      <c r="AJ259" s="232" t="s">
        <v>53</v>
      </c>
      <c r="AK259" s="224">
        <v>0.720517800929385</v>
      </c>
      <c r="AL259" s="225">
        <v>-208.52500135362399</v>
      </c>
      <c r="AM259" s="219"/>
      <c r="AN259" s="219"/>
      <c r="AO259" s="227">
        <v>157</v>
      </c>
      <c r="AP259" s="227">
        <v>270</v>
      </c>
      <c r="AQ259" s="218"/>
      <c r="AR259" s="231">
        <v>60.6</v>
      </c>
      <c r="AS259" s="217">
        <v>6.8013174938514203</v>
      </c>
      <c r="AT259" s="232" t="s">
        <v>54</v>
      </c>
      <c r="AU259" s="224">
        <v>0.42508234336571399</v>
      </c>
      <c r="AV259" s="225">
        <v>-95.076190819968005</v>
      </c>
      <c r="AW259" s="219"/>
      <c r="AX259" s="219"/>
      <c r="AY259" s="227">
        <v>82</v>
      </c>
      <c r="AZ259" s="227">
        <v>111</v>
      </c>
      <c r="BA259" s="218"/>
      <c r="BB259" s="235">
        <v>267.2</v>
      </c>
      <c r="BC259" s="231">
        <v>29.9886474316353</v>
      </c>
      <c r="BD259" s="232" t="s">
        <v>55</v>
      </c>
      <c r="BE259" s="233">
        <v>0.93714523223860302</v>
      </c>
      <c r="BF259" s="234">
        <v>-44.152381639936003</v>
      </c>
      <c r="BG259" s="219">
        <v>3.0000000000000001E-3</v>
      </c>
      <c r="BH259" s="219"/>
      <c r="BI259" s="227">
        <v>18</v>
      </c>
      <c r="BJ259" s="227">
        <v>75</v>
      </c>
      <c r="BK259" s="220"/>
      <c r="BL259" s="236">
        <v>0.8</v>
      </c>
      <c r="BM259" s="239">
        <v>0.73</v>
      </c>
      <c r="BN259" s="237"/>
      <c r="BO259" s="238">
        <v>0.95</v>
      </c>
      <c r="BP259" s="229">
        <v>1</v>
      </c>
      <c r="BQ259" s="237">
        <v>2.5000000000000001E-3</v>
      </c>
    </row>
    <row r="260" spans="1:69" s="207" customFormat="1" ht="22.35" customHeight="1" x14ac:dyDescent="0.2">
      <c r="A260" s="216" t="s">
        <v>275</v>
      </c>
      <c r="B260" s="216" t="s">
        <v>318</v>
      </c>
      <c r="C260" s="216" t="s">
        <v>329</v>
      </c>
      <c r="D260" s="217">
        <v>3.7235578407777798</v>
      </c>
      <c r="E260" s="218"/>
      <c r="F260" s="219">
        <v>5.8000000000000003E-2</v>
      </c>
      <c r="G260" s="219">
        <v>0.05</v>
      </c>
      <c r="H260" s="220"/>
      <c r="I260" s="221">
        <v>5</v>
      </c>
      <c r="J260" s="221">
        <v>4</v>
      </c>
      <c r="K260" s="218"/>
      <c r="L260" s="222">
        <v>1445.00873</v>
      </c>
      <c r="M260" s="222">
        <v>1335.5442399999999</v>
      </c>
      <c r="N260" s="222">
        <v>2780.5529700000002</v>
      </c>
      <c r="O260" s="217">
        <v>746.74628108346997</v>
      </c>
      <c r="P260" s="223">
        <v>287.5</v>
      </c>
      <c r="Q260" s="229">
        <v>2.59737836898598</v>
      </c>
      <c r="R260" s="230">
        <v>1611.5419858878199</v>
      </c>
      <c r="S260" s="219">
        <v>0.01</v>
      </c>
      <c r="T260" s="219">
        <v>0.01</v>
      </c>
      <c r="U260" s="226">
        <v>0</v>
      </c>
      <c r="V260" s="227">
        <v>0</v>
      </c>
      <c r="W260" s="218"/>
      <c r="X260" s="226">
        <v>2821.0601550000001</v>
      </c>
      <c r="Y260" s="217">
        <v>757.62490489760603</v>
      </c>
      <c r="Z260" s="228">
        <v>573</v>
      </c>
      <c r="AA260" s="229">
        <v>1.3222075129103099</v>
      </c>
      <c r="AB260" s="230">
        <v>491.17043709989002</v>
      </c>
      <c r="AC260" s="219">
        <v>0.02</v>
      </c>
      <c r="AD260" s="219">
        <v>0.02</v>
      </c>
      <c r="AE260" s="227">
        <v>0</v>
      </c>
      <c r="AF260" s="227">
        <v>0</v>
      </c>
      <c r="AG260" s="218"/>
      <c r="AH260" s="231">
        <v>230.55</v>
      </c>
      <c r="AI260" s="217">
        <v>61.916588880446298</v>
      </c>
      <c r="AJ260" s="232" t="s">
        <v>53</v>
      </c>
      <c r="AK260" s="233">
        <v>0.98280299810232197</v>
      </c>
      <c r="AL260" s="234">
        <v>-25.6158852141482</v>
      </c>
      <c r="AM260" s="219">
        <v>8.0000000000000002E-3</v>
      </c>
      <c r="AN260" s="219"/>
      <c r="AO260" s="227">
        <v>5</v>
      </c>
      <c r="AP260" s="227">
        <v>51</v>
      </c>
      <c r="AQ260" s="218"/>
      <c r="AR260" s="231">
        <v>29.2</v>
      </c>
      <c r="AS260" s="217">
        <v>7.8419622438040903</v>
      </c>
      <c r="AT260" s="232" t="s">
        <v>54</v>
      </c>
      <c r="AU260" s="224">
        <v>0.49012264023775598</v>
      </c>
      <c r="AV260" s="225">
        <v>-35.858002594069397</v>
      </c>
      <c r="AW260" s="219"/>
      <c r="AX260" s="219"/>
      <c r="AY260" s="227">
        <v>31</v>
      </c>
      <c r="AZ260" s="227">
        <v>43</v>
      </c>
      <c r="BA260" s="218"/>
      <c r="BB260" s="235">
        <v>153.80000000000001</v>
      </c>
      <c r="BC260" s="231">
        <v>41.304581955379</v>
      </c>
      <c r="BD260" s="232" t="s">
        <v>55</v>
      </c>
      <c r="BE260" s="229">
        <v>1.2907681861056</v>
      </c>
      <c r="BF260" s="230">
        <v>23.6839948118613</v>
      </c>
      <c r="BG260" s="219">
        <v>0.02</v>
      </c>
      <c r="BH260" s="219">
        <v>0.02</v>
      </c>
      <c r="BI260" s="227">
        <v>0</v>
      </c>
      <c r="BJ260" s="227">
        <v>0</v>
      </c>
      <c r="BK260" s="220"/>
      <c r="BL260" s="236">
        <v>0.8</v>
      </c>
      <c r="BM260" s="239">
        <v>0.78</v>
      </c>
      <c r="BN260" s="237"/>
      <c r="BO260" s="238">
        <v>0.95</v>
      </c>
      <c r="BP260" s="229">
        <v>1</v>
      </c>
      <c r="BQ260" s="237">
        <v>2.5000000000000001E-3</v>
      </c>
    </row>
    <row r="261" spans="1:69" s="207" customFormat="1" ht="22.35" customHeight="1" x14ac:dyDescent="0.2">
      <c r="A261" s="216" t="s">
        <v>275</v>
      </c>
      <c r="B261" s="216" t="s">
        <v>318</v>
      </c>
      <c r="C261" s="216" t="s">
        <v>330</v>
      </c>
      <c r="D261" s="217">
        <v>2.4875433197777799</v>
      </c>
      <c r="E261" s="218"/>
      <c r="F261" s="219">
        <v>3.4000000000000002E-2</v>
      </c>
      <c r="G261" s="219">
        <v>2.4E-2</v>
      </c>
      <c r="H261" s="220"/>
      <c r="I261" s="221">
        <v>6</v>
      </c>
      <c r="J261" s="221">
        <v>4</v>
      </c>
      <c r="K261" s="218"/>
      <c r="L261" s="222">
        <v>486.73545999999999</v>
      </c>
      <c r="M261" s="222">
        <v>822.65927999999997</v>
      </c>
      <c r="N261" s="222">
        <v>1309.39474</v>
      </c>
      <c r="O261" s="217">
        <v>526.38067831396495</v>
      </c>
      <c r="P261" s="223">
        <v>263.75299999999999</v>
      </c>
      <c r="Q261" s="229">
        <v>1.99573342602346</v>
      </c>
      <c r="R261" s="230">
        <v>592.93680156228697</v>
      </c>
      <c r="S261" s="219">
        <v>0.01</v>
      </c>
      <c r="T261" s="219">
        <v>0.01</v>
      </c>
      <c r="U261" s="226">
        <v>0</v>
      </c>
      <c r="V261" s="227">
        <v>0</v>
      </c>
      <c r="W261" s="218"/>
      <c r="X261" s="226">
        <v>1308.4677750000001</v>
      </c>
      <c r="Y261" s="217">
        <v>526.00803555730295</v>
      </c>
      <c r="Z261" s="228">
        <v>573</v>
      </c>
      <c r="AA261" s="233">
        <v>0.91798959085044096</v>
      </c>
      <c r="AB261" s="234">
        <v>-248.027880878074</v>
      </c>
      <c r="AC261" s="219">
        <v>1E-3</v>
      </c>
      <c r="AD261" s="219"/>
      <c r="AE261" s="227">
        <v>117</v>
      </c>
      <c r="AF261" s="227">
        <v>402</v>
      </c>
      <c r="AG261" s="218"/>
      <c r="AH261" s="231">
        <v>147.6</v>
      </c>
      <c r="AI261" s="217">
        <v>59.335650087567402</v>
      </c>
      <c r="AJ261" s="232" t="s">
        <v>53</v>
      </c>
      <c r="AK261" s="233">
        <v>0.94183571567567304</v>
      </c>
      <c r="AL261" s="234">
        <v>-23.533030227432199</v>
      </c>
      <c r="AM261" s="219">
        <v>3.0000000000000001E-3</v>
      </c>
      <c r="AN261" s="219"/>
      <c r="AO261" s="227">
        <v>10</v>
      </c>
      <c r="AP261" s="227">
        <v>41</v>
      </c>
      <c r="AQ261" s="218"/>
      <c r="AR261" s="231">
        <v>16.399999999999999</v>
      </c>
      <c r="AS261" s="217">
        <v>6.5928500097297098</v>
      </c>
      <c r="AT261" s="232" t="s">
        <v>54</v>
      </c>
      <c r="AU261" s="224">
        <v>0.41205312560810697</v>
      </c>
      <c r="AV261" s="225">
        <v>-27.062356883157399</v>
      </c>
      <c r="AW261" s="219"/>
      <c r="AX261" s="219"/>
      <c r="AY261" s="227">
        <v>24</v>
      </c>
      <c r="AZ261" s="227">
        <v>32</v>
      </c>
      <c r="BA261" s="218"/>
      <c r="BB261" s="235">
        <v>90.6</v>
      </c>
      <c r="BC261" s="231">
        <v>36.421476273262897</v>
      </c>
      <c r="BD261" s="232" t="s">
        <v>55</v>
      </c>
      <c r="BE261" s="229">
        <v>1.13817113353947</v>
      </c>
      <c r="BF261" s="230">
        <v>3.6752862336852399</v>
      </c>
      <c r="BG261" s="219">
        <v>0.02</v>
      </c>
      <c r="BH261" s="219">
        <v>1.4E-2</v>
      </c>
      <c r="BI261" s="227">
        <v>0</v>
      </c>
      <c r="BJ261" s="227">
        <v>5</v>
      </c>
      <c r="BK261" s="220"/>
      <c r="BL261" s="236">
        <v>0.8</v>
      </c>
      <c r="BM261" s="233">
        <v>0.9</v>
      </c>
      <c r="BN261" s="237">
        <v>3.7499999999999999E-3</v>
      </c>
      <c r="BO261" s="238">
        <v>0.95</v>
      </c>
      <c r="BP261" s="229">
        <v>1</v>
      </c>
      <c r="BQ261" s="237">
        <v>2.5000000000000001E-3</v>
      </c>
    </row>
    <row r="262" spans="1:69" s="207" customFormat="1" ht="22.35" customHeight="1" x14ac:dyDescent="0.2">
      <c r="A262" s="216" t="s">
        <v>275</v>
      </c>
      <c r="B262" s="216" t="s">
        <v>318</v>
      </c>
      <c r="C262" s="216" t="s">
        <v>331</v>
      </c>
      <c r="D262" s="217">
        <v>2.6455275504444402</v>
      </c>
      <c r="E262" s="218"/>
      <c r="F262" s="219">
        <v>7.0000000000000007E-2</v>
      </c>
      <c r="G262" s="219">
        <v>6.8000000000000005E-2</v>
      </c>
      <c r="H262" s="220"/>
      <c r="I262" s="221">
        <v>6</v>
      </c>
      <c r="J262" s="221">
        <v>6</v>
      </c>
      <c r="K262" s="218"/>
      <c r="L262" s="222">
        <v>594.21762999999999</v>
      </c>
      <c r="M262" s="222">
        <v>221.00318999999999</v>
      </c>
      <c r="N262" s="222">
        <v>815.22082</v>
      </c>
      <c r="O262" s="217">
        <v>308.15056900958899</v>
      </c>
      <c r="P262" s="223">
        <v>266.08300000000003</v>
      </c>
      <c r="Q262" s="229">
        <v>1.15809942390002</v>
      </c>
      <c r="R262" s="230">
        <v>46.529361332240697</v>
      </c>
      <c r="S262" s="219">
        <v>0.01</v>
      </c>
      <c r="T262" s="219">
        <v>8.0000000000000002E-3</v>
      </c>
      <c r="U262" s="226">
        <v>0</v>
      </c>
      <c r="V262" s="227">
        <v>30</v>
      </c>
      <c r="W262" s="218"/>
      <c r="X262" s="226">
        <v>1911.418365</v>
      </c>
      <c r="Y262" s="217">
        <v>722.50934021794001</v>
      </c>
      <c r="Z262" s="228">
        <v>573</v>
      </c>
      <c r="AA262" s="229">
        <v>1.2609238049178699</v>
      </c>
      <c r="AB262" s="230">
        <v>256.06944824610702</v>
      </c>
      <c r="AC262" s="219">
        <v>0.02</v>
      </c>
      <c r="AD262" s="219">
        <v>0.02</v>
      </c>
      <c r="AE262" s="227">
        <v>0</v>
      </c>
      <c r="AF262" s="227">
        <v>0</v>
      </c>
      <c r="AG262" s="218"/>
      <c r="AH262" s="231">
        <v>269.45</v>
      </c>
      <c r="AI262" s="217">
        <v>101.85114116643101</v>
      </c>
      <c r="AJ262" s="232" t="s">
        <v>53</v>
      </c>
      <c r="AK262" s="229">
        <v>1.6166847804195399</v>
      </c>
      <c r="AL262" s="230">
        <v>87.4482866396243</v>
      </c>
      <c r="AM262" s="219">
        <v>0.02</v>
      </c>
      <c r="AN262" s="219">
        <v>0.02</v>
      </c>
      <c r="AO262" s="227">
        <v>0</v>
      </c>
      <c r="AP262" s="227">
        <v>0</v>
      </c>
      <c r="AQ262" s="218"/>
      <c r="AR262" s="231">
        <v>31.2</v>
      </c>
      <c r="AS262" s="217">
        <v>11.793488975292799</v>
      </c>
      <c r="AT262" s="232" t="s">
        <v>54</v>
      </c>
      <c r="AU262" s="239">
        <v>0.73709306095580096</v>
      </c>
      <c r="AV262" s="222">
        <v>-15.022657361365299</v>
      </c>
      <c r="AW262" s="219"/>
      <c r="AX262" s="219"/>
      <c r="AY262" s="227">
        <v>12</v>
      </c>
      <c r="AZ262" s="227">
        <v>20</v>
      </c>
      <c r="BA262" s="218"/>
      <c r="BB262" s="235">
        <v>167.8</v>
      </c>
      <c r="BC262" s="231">
        <v>63.427802886350499</v>
      </c>
      <c r="BD262" s="232" t="s">
        <v>55</v>
      </c>
      <c r="BE262" s="229">
        <v>1.98211884019845</v>
      </c>
      <c r="BF262" s="230">
        <v>75.354685277269496</v>
      </c>
      <c r="BG262" s="219">
        <v>0.02</v>
      </c>
      <c r="BH262" s="219">
        <v>0.02</v>
      </c>
      <c r="BI262" s="227">
        <v>0</v>
      </c>
      <c r="BJ262" s="227">
        <v>0</v>
      </c>
      <c r="BK262" s="220"/>
      <c r="BL262" s="236">
        <v>0.8</v>
      </c>
      <c r="BM262" s="233">
        <v>0.81</v>
      </c>
      <c r="BN262" s="237">
        <v>3.7500000000000001E-4</v>
      </c>
      <c r="BO262" s="238">
        <v>0.95</v>
      </c>
      <c r="BP262" s="229">
        <v>1</v>
      </c>
      <c r="BQ262" s="237">
        <v>2.5000000000000001E-3</v>
      </c>
    </row>
    <row r="263" spans="1:69" s="207" customFormat="1" ht="22.35" customHeight="1" x14ac:dyDescent="0.2">
      <c r="A263" s="216" t="s">
        <v>275</v>
      </c>
      <c r="B263" s="216" t="s">
        <v>318</v>
      </c>
      <c r="C263" s="216" t="s">
        <v>332</v>
      </c>
      <c r="D263" s="217">
        <v>2.5458872463333302</v>
      </c>
      <c r="E263" s="218"/>
      <c r="F263" s="219">
        <v>3.1E-2</v>
      </c>
      <c r="G263" s="219">
        <v>1.9E-2</v>
      </c>
      <c r="H263" s="220"/>
      <c r="I263" s="221">
        <v>4</v>
      </c>
      <c r="J263" s="221">
        <v>3</v>
      </c>
      <c r="K263" s="218"/>
      <c r="L263" s="222">
        <v>1751.53935</v>
      </c>
      <c r="M263" s="222">
        <v>1246.39967</v>
      </c>
      <c r="N263" s="222">
        <v>2997.9390199999998</v>
      </c>
      <c r="O263" s="217">
        <v>1177.5615845979501</v>
      </c>
      <c r="P263" s="223">
        <v>287.5</v>
      </c>
      <c r="Q263" s="229">
        <v>4.0958663812102598</v>
      </c>
      <c r="R263" s="230">
        <v>2198.65771901365</v>
      </c>
      <c r="S263" s="219">
        <v>0.01</v>
      </c>
      <c r="T263" s="219">
        <v>0.01</v>
      </c>
      <c r="U263" s="226">
        <v>0</v>
      </c>
      <c r="V263" s="227">
        <v>0</v>
      </c>
      <c r="W263" s="218"/>
      <c r="X263" s="226">
        <v>1334.525445</v>
      </c>
      <c r="Y263" s="217">
        <v>524.18874674124902</v>
      </c>
      <c r="Z263" s="228">
        <v>573</v>
      </c>
      <c r="AA263" s="233">
        <v>0.91481456673865502</v>
      </c>
      <c r="AB263" s="234">
        <v>-258.47693922670601</v>
      </c>
      <c r="AC263" s="219">
        <v>1E-3</v>
      </c>
      <c r="AD263" s="219"/>
      <c r="AE263" s="227">
        <v>125</v>
      </c>
      <c r="AF263" s="227">
        <v>417</v>
      </c>
      <c r="AG263" s="218"/>
      <c r="AH263" s="231">
        <v>115.95</v>
      </c>
      <c r="AI263" s="217">
        <v>45.544043699105202</v>
      </c>
      <c r="AJ263" s="232" t="s">
        <v>53</v>
      </c>
      <c r="AK263" s="224">
        <v>0.72292132855722602</v>
      </c>
      <c r="AL263" s="225">
        <v>-59.1968589987478</v>
      </c>
      <c r="AM263" s="219"/>
      <c r="AN263" s="219"/>
      <c r="AO263" s="227">
        <v>45</v>
      </c>
      <c r="AP263" s="227">
        <v>77</v>
      </c>
      <c r="AQ263" s="218"/>
      <c r="AR263" s="231">
        <v>9.8000000000000007</v>
      </c>
      <c r="AS263" s="217">
        <v>3.8493456511533499</v>
      </c>
      <c r="AT263" s="232" t="s">
        <v>54</v>
      </c>
      <c r="AU263" s="224">
        <v>0.24058410319708401</v>
      </c>
      <c r="AV263" s="225">
        <v>-34.681741967935899</v>
      </c>
      <c r="AW263" s="219"/>
      <c r="AX263" s="219"/>
      <c r="AY263" s="227">
        <v>31</v>
      </c>
      <c r="AZ263" s="227">
        <v>40</v>
      </c>
      <c r="BA263" s="218"/>
      <c r="BB263" s="235">
        <v>88.6</v>
      </c>
      <c r="BC263" s="231">
        <v>34.801227009406801</v>
      </c>
      <c r="BD263" s="232" t="s">
        <v>55</v>
      </c>
      <c r="BE263" s="229">
        <v>1.0875383440439601</v>
      </c>
      <c r="BF263" s="230">
        <v>-0.36348393587188399</v>
      </c>
      <c r="BG263" s="219">
        <v>0.02</v>
      </c>
      <c r="BH263" s="219">
        <v>8.9999999999999993E-3</v>
      </c>
      <c r="BI263" s="227">
        <v>0</v>
      </c>
      <c r="BJ263" s="227">
        <v>10</v>
      </c>
      <c r="BK263" s="220"/>
      <c r="BL263" s="236">
        <v>0.8</v>
      </c>
      <c r="BM263" s="239">
        <v>0.8</v>
      </c>
      <c r="BN263" s="237">
        <v>0</v>
      </c>
      <c r="BO263" s="238">
        <v>0.95</v>
      </c>
      <c r="BP263" s="229">
        <v>1</v>
      </c>
      <c r="BQ263" s="237">
        <v>2.5000000000000001E-3</v>
      </c>
    </row>
    <row r="264" spans="1:69" s="207" customFormat="1" ht="22.35" customHeight="1" x14ac:dyDescent="0.2">
      <c r="A264" s="216" t="s">
        <v>275</v>
      </c>
      <c r="B264" s="216" t="s">
        <v>318</v>
      </c>
      <c r="C264" s="216" t="s">
        <v>333</v>
      </c>
      <c r="D264" s="217">
        <v>2.3152426593333302</v>
      </c>
      <c r="E264" s="218"/>
      <c r="F264" s="219">
        <v>0.03</v>
      </c>
      <c r="G264" s="219">
        <v>1.9E-2</v>
      </c>
      <c r="H264" s="220"/>
      <c r="I264" s="221">
        <v>4</v>
      </c>
      <c r="J264" s="221">
        <v>4</v>
      </c>
      <c r="K264" s="218"/>
      <c r="L264" s="222">
        <v>1949.9929</v>
      </c>
      <c r="M264" s="222">
        <v>-1191.20679</v>
      </c>
      <c r="N264" s="222">
        <v>758.78611000000001</v>
      </c>
      <c r="O264" s="217">
        <v>327.73502463819102</v>
      </c>
      <c r="P264" s="223">
        <v>247.95</v>
      </c>
      <c r="Q264" s="229">
        <v>1.32177868375959</v>
      </c>
      <c r="R264" s="230">
        <v>131.907766219184</v>
      </c>
      <c r="S264" s="219">
        <v>0.01</v>
      </c>
      <c r="T264" s="219">
        <v>0.01</v>
      </c>
      <c r="U264" s="226">
        <v>0</v>
      </c>
      <c r="V264" s="227">
        <v>0</v>
      </c>
      <c r="W264" s="218"/>
      <c r="X264" s="226">
        <v>1445.844525</v>
      </c>
      <c r="Y264" s="217">
        <v>624.48941115154003</v>
      </c>
      <c r="Z264" s="228">
        <v>573</v>
      </c>
      <c r="AA264" s="229">
        <v>1.08985935628541</v>
      </c>
      <c r="AB264" s="230">
        <v>-2.83985082741401</v>
      </c>
      <c r="AC264" s="219">
        <v>0.02</v>
      </c>
      <c r="AD264" s="219">
        <v>8.9999999999999993E-3</v>
      </c>
      <c r="AE264" s="227">
        <v>0</v>
      </c>
      <c r="AF264" s="227">
        <v>147</v>
      </c>
      <c r="AG264" s="218"/>
      <c r="AH264" s="231">
        <v>68.349999999999994</v>
      </c>
      <c r="AI264" s="217">
        <v>29.521743530624601</v>
      </c>
      <c r="AJ264" s="232" t="s">
        <v>53</v>
      </c>
      <c r="AK264" s="224">
        <v>0.46859910366070801</v>
      </c>
      <c r="AL264" s="225">
        <v>-90.929433991495799</v>
      </c>
      <c r="AM264" s="219"/>
      <c r="AN264" s="219"/>
      <c r="AO264" s="227">
        <v>78</v>
      </c>
      <c r="AP264" s="227">
        <v>107</v>
      </c>
      <c r="AQ264" s="218"/>
      <c r="AR264" s="231">
        <v>6</v>
      </c>
      <c r="AS264" s="217">
        <v>2.5915210121982102</v>
      </c>
      <c r="AT264" s="232" t="s">
        <v>54</v>
      </c>
      <c r="AU264" s="224">
        <v>0.161970063262388</v>
      </c>
      <c r="AV264" s="225">
        <v>-34.451919743871898</v>
      </c>
      <c r="AW264" s="219"/>
      <c r="AX264" s="219"/>
      <c r="AY264" s="227">
        <v>32</v>
      </c>
      <c r="AZ264" s="227">
        <v>39</v>
      </c>
      <c r="BA264" s="218"/>
      <c r="BB264" s="235">
        <v>61</v>
      </c>
      <c r="BC264" s="231">
        <v>26.3471302906818</v>
      </c>
      <c r="BD264" s="232" t="s">
        <v>55</v>
      </c>
      <c r="BE264" s="239">
        <v>0.82334782158380704</v>
      </c>
      <c r="BF264" s="222">
        <v>-19.903839487743902</v>
      </c>
      <c r="BG264" s="219"/>
      <c r="BH264" s="219"/>
      <c r="BI264" s="227">
        <v>14</v>
      </c>
      <c r="BJ264" s="227">
        <v>28</v>
      </c>
      <c r="BK264" s="220"/>
      <c r="BL264" s="236">
        <v>0.8</v>
      </c>
      <c r="BM264" s="233">
        <v>0.86</v>
      </c>
      <c r="BN264" s="237">
        <v>2.2499999999999998E-3</v>
      </c>
      <c r="BO264" s="238">
        <v>0.95</v>
      </c>
      <c r="BP264" s="229">
        <v>1</v>
      </c>
      <c r="BQ264" s="237">
        <v>2.5000000000000001E-3</v>
      </c>
    </row>
    <row r="265" spans="1:69" s="207" customFormat="1" ht="22.35" customHeight="1" x14ac:dyDescent="0.2">
      <c r="A265" s="216" t="s">
        <v>275</v>
      </c>
      <c r="B265" s="216" t="s">
        <v>318</v>
      </c>
      <c r="C265" s="216" t="s">
        <v>334</v>
      </c>
      <c r="D265" s="217">
        <v>8.72427697</v>
      </c>
      <c r="E265" s="218"/>
      <c r="F265" s="219">
        <v>1.4999999999999999E-2</v>
      </c>
      <c r="G265" s="219">
        <v>0.01</v>
      </c>
      <c r="H265" s="220"/>
      <c r="I265" s="221">
        <v>3</v>
      </c>
      <c r="J265" s="221">
        <v>2</v>
      </c>
      <c r="K265" s="218"/>
      <c r="L265" s="222">
        <v>9726.3323999999993</v>
      </c>
      <c r="M265" s="222">
        <v>919.89266999999995</v>
      </c>
      <c r="N265" s="222">
        <v>10646.22507</v>
      </c>
      <c r="O265" s="217">
        <v>1220.2988404206999</v>
      </c>
      <c r="P265" s="223">
        <v>287.5</v>
      </c>
      <c r="Q265" s="229">
        <v>4.2445177058111296</v>
      </c>
      <c r="R265" s="230">
        <v>7907.2383152684997</v>
      </c>
      <c r="S265" s="219">
        <v>0.01</v>
      </c>
      <c r="T265" s="219">
        <v>0.01</v>
      </c>
      <c r="U265" s="226">
        <v>0</v>
      </c>
      <c r="V265" s="227">
        <v>0</v>
      </c>
      <c r="W265" s="218"/>
      <c r="X265" s="226">
        <v>3451.98261</v>
      </c>
      <c r="Y265" s="217">
        <v>395.67549515796702</v>
      </c>
      <c r="Z265" s="228">
        <v>573</v>
      </c>
      <c r="AA265" s="224">
        <v>0.69053315036294405</v>
      </c>
      <c r="AB265" s="225">
        <v>-2006.9370785605199</v>
      </c>
      <c r="AC265" s="219"/>
      <c r="AD265" s="219"/>
      <c r="AE265" s="227">
        <v>1548</v>
      </c>
      <c r="AF265" s="227">
        <v>2547</v>
      </c>
      <c r="AG265" s="218"/>
      <c r="AH265" s="231">
        <v>489.75</v>
      </c>
      <c r="AI265" s="217">
        <v>56.136457116629103</v>
      </c>
      <c r="AJ265" s="232" t="s">
        <v>53</v>
      </c>
      <c r="AK265" s="239">
        <v>0.89105487486712898</v>
      </c>
      <c r="AL265" s="222">
        <v>-110.44535842812</v>
      </c>
      <c r="AM265" s="219"/>
      <c r="AN265" s="219"/>
      <c r="AO265" s="227">
        <v>60</v>
      </c>
      <c r="AP265" s="227">
        <v>170</v>
      </c>
      <c r="AQ265" s="218"/>
      <c r="AR265" s="231">
        <v>24.6</v>
      </c>
      <c r="AS265" s="217">
        <v>2.8197179072365</v>
      </c>
      <c r="AT265" s="232" t="s">
        <v>54</v>
      </c>
      <c r="AU265" s="224">
        <v>0.176232369202281</v>
      </c>
      <c r="AV265" s="225">
        <v>-127.83056721984001</v>
      </c>
      <c r="AW265" s="219"/>
      <c r="AX265" s="219"/>
      <c r="AY265" s="227">
        <v>115</v>
      </c>
      <c r="AZ265" s="227">
        <v>143</v>
      </c>
      <c r="BA265" s="218"/>
      <c r="BB265" s="235">
        <v>267</v>
      </c>
      <c r="BC265" s="231">
        <v>30.604255334640101</v>
      </c>
      <c r="BD265" s="232" t="s">
        <v>55</v>
      </c>
      <c r="BE265" s="233">
        <v>0.95638297920750204</v>
      </c>
      <c r="BF265" s="234">
        <v>-37.861134439680001</v>
      </c>
      <c r="BG265" s="219">
        <v>5.0000000000000001E-3</v>
      </c>
      <c r="BH265" s="219"/>
      <c r="BI265" s="227">
        <v>13</v>
      </c>
      <c r="BJ265" s="227">
        <v>69</v>
      </c>
      <c r="BK265" s="220"/>
      <c r="BL265" s="236">
        <v>0.8</v>
      </c>
      <c r="BM265" s="239">
        <v>0.73</v>
      </c>
      <c r="BN265" s="237"/>
      <c r="BO265" s="238">
        <v>0.95</v>
      </c>
      <c r="BP265" s="229">
        <v>1</v>
      </c>
      <c r="BQ265" s="237">
        <v>2.5000000000000001E-3</v>
      </c>
    </row>
    <row r="266" spans="1:69" s="207" customFormat="1" ht="22.35" customHeight="1" x14ac:dyDescent="0.2">
      <c r="A266" s="216" t="s">
        <v>275</v>
      </c>
      <c r="B266" s="216" t="s">
        <v>318</v>
      </c>
      <c r="C266" s="216" t="s">
        <v>335</v>
      </c>
      <c r="D266" s="217">
        <v>1.9537440934444401</v>
      </c>
      <c r="E266" s="218"/>
      <c r="F266" s="219">
        <v>0.08</v>
      </c>
      <c r="G266" s="219">
        <v>0.08</v>
      </c>
      <c r="H266" s="220"/>
      <c r="I266" s="221">
        <v>7</v>
      </c>
      <c r="J266" s="221">
        <v>7</v>
      </c>
      <c r="K266" s="218"/>
      <c r="L266" s="222">
        <v>1677.0603699999999</v>
      </c>
      <c r="M266" s="222">
        <v>3248.50621</v>
      </c>
      <c r="N266" s="222">
        <v>4925.5665799999997</v>
      </c>
      <c r="O266" s="217">
        <v>2521.0909640250002</v>
      </c>
      <c r="P266" s="223">
        <v>242.66300000000001</v>
      </c>
      <c r="Q266" s="229">
        <v>10.3892680961869</v>
      </c>
      <c r="R266" s="230">
        <v>4407.8478479813202</v>
      </c>
      <c r="S266" s="219">
        <v>0.01</v>
      </c>
      <c r="T266" s="219">
        <v>0.01</v>
      </c>
      <c r="U266" s="226">
        <v>0</v>
      </c>
      <c r="V266" s="227">
        <v>0</v>
      </c>
      <c r="W266" s="218"/>
      <c r="X266" s="226">
        <v>1773.9150950000001</v>
      </c>
      <c r="Y266" s="217">
        <v>907.95672829013802</v>
      </c>
      <c r="Z266" s="228">
        <v>573</v>
      </c>
      <c r="AA266" s="229">
        <v>1.5845667160386401</v>
      </c>
      <c r="AB266" s="230">
        <v>551.42615582631902</v>
      </c>
      <c r="AC266" s="219">
        <v>0.02</v>
      </c>
      <c r="AD266" s="219">
        <v>0.02</v>
      </c>
      <c r="AE266" s="227">
        <v>0</v>
      </c>
      <c r="AF266" s="227">
        <v>0</v>
      </c>
      <c r="AG266" s="218"/>
      <c r="AH266" s="231">
        <v>159.5</v>
      </c>
      <c r="AI266" s="217">
        <v>81.638122687194894</v>
      </c>
      <c r="AJ266" s="232" t="s">
        <v>53</v>
      </c>
      <c r="AK266" s="229">
        <v>1.29584321725706</v>
      </c>
      <c r="AL266" s="230">
        <v>25.090221347396302</v>
      </c>
      <c r="AM266" s="219">
        <v>0.02</v>
      </c>
      <c r="AN266" s="219">
        <v>0.02</v>
      </c>
      <c r="AO266" s="227">
        <v>0</v>
      </c>
      <c r="AP266" s="227">
        <v>0</v>
      </c>
      <c r="AQ266" s="218"/>
      <c r="AR266" s="231">
        <v>43.7</v>
      </c>
      <c r="AS266" s="217">
        <v>22.367310103011999</v>
      </c>
      <c r="AT266" s="232" t="s">
        <v>54</v>
      </c>
      <c r="AU266" s="229">
        <v>1.3979568814382499</v>
      </c>
      <c r="AV266" s="230">
        <v>9.5641831993387498</v>
      </c>
      <c r="AW266" s="219">
        <v>0.01</v>
      </c>
      <c r="AX266" s="219">
        <v>0.01</v>
      </c>
      <c r="AY266" s="227">
        <v>0</v>
      </c>
      <c r="AZ266" s="227">
        <v>0</v>
      </c>
      <c r="BA266" s="218"/>
      <c r="BB266" s="235">
        <v>101.8</v>
      </c>
      <c r="BC266" s="231">
        <v>52.105083947062298</v>
      </c>
      <c r="BD266" s="232" t="s">
        <v>55</v>
      </c>
      <c r="BE266" s="229">
        <v>1.6282838733456999</v>
      </c>
      <c r="BF266" s="230">
        <v>33.528366398677498</v>
      </c>
      <c r="BG266" s="219">
        <v>0.02</v>
      </c>
      <c r="BH266" s="219">
        <v>0.02</v>
      </c>
      <c r="BI266" s="227">
        <v>0</v>
      </c>
      <c r="BJ266" s="227">
        <v>0</v>
      </c>
      <c r="BK266" s="220"/>
      <c r="BL266" s="236">
        <v>0.8</v>
      </c>
      <c r="BM266" s="233">
        <v>0.87</v>
      </c>
      <c r="BN266" s="237">
        <v>2.6250000000000002E-3</v>
      </c>
      <c r="BO266" s="238">
        <v>0.95</v>
      </c>
      <c r="BP266" s="229">
        <v>1</v>
      </c>
      <c r="BQ266" s="237">
        <v>2.5000000000000001E-3</v>
      </c>
    </row>
    <row r="267" spans="1:69" s="207" customFormat="1" ht="22.35" customHeight="1" x14ac:dyDescent="0.2">
      <c r="A267" s="216" t="s">
        <v>275</v>
      </c>
      <c r="B267" s="216" t="s">
        <v>318</v>
      </c>
      <c r="C267" s="216" t="s">
        <v>336</v>
      </c>
      <c r="D267" s="217">
        <v>1.6595588506666701</v>
      </c>
      <c r="E267" s="218"/>
      <c r="F267" s="219"/>
      <c r="G267" s="219"/>
      <c r="H267" s="220"/>
      <c r="I267" s="221">
        <v>1</v>
      </c>
      <c r="J267" s="221">
        <v>1</v>
      </c>
      <c r="K267" s="218"/>
      <c r="L267" s="222"/>
      <c r="M267" s="222">
        <v>149.07517000000001</v>
      </c>
      <c r="N267" s="222">
        <v>149.07517000000001</v>
      </c>
      <c r="O267" s="217">
        <v>89.828191353451899</v>
      </c>
      <c r="P267" s="223">
        <v>287.5</v>
      </c>
      <c r="Q267" s="224">
        <v>0.31244588296852799</v>
      </c>
      <c r="R267" s="225">
        <v>-371.94333116680099</v>
      </c>
      <c r="S267" s="219"/>
      <c r="T267" s="219"/>
      <c r="U267" s="226">
        <v>329</v>
      </c>
      <c r="V267" s="227">
        <v>424</v>
      </c>
      <c r="W267" s="218"/>
      <c r="X267" s="226">
        <v>186.24148</v>
      </c>
      <c r="Y267" s="217">
        <v>112.223486335049</v>
      </c>
      <c r="Z267" s="228">
        <v>573</v>
      </c>
      <c r="AA267" s="224">
        <v>0.19585250669293</v>
      </c>
      <c r="AB267" s="225">
        <v>-852.17104580374598</v>
      </c>
      <c r="AC267" s="219"/>
      <c r="AD267" s="219"/>
      <c r="AE267" s="227">
        <v>765</v>
      </c>
      <c r="AF267" s="227">
        <v>955</v>
      </c>
      <c r="AG267" s="218"/>
      <c r="AH267" s="231">
        <v>13.8</v>
      </c>
      <c r="AI267" s="217">
        <v>8.3154628680123999</v>
      </c>
      <c r="AJ267" s="232" t="s">
        <v>53</v>
      </c>
      <c r="AK267" s="224">
        <v>0.13199147409543499</v>
      </c>
      <c r="AL267" s="225">
        <v>-100.371010690464</v>
      </c>
      <c r="AM267" s="219"/>
      <c r="AN267" s="219"/>
      <c r="AO267" s="227">
        <v>91</v>
      </c>
      <c r="AP267" s="227">
        <v>112</v>
      </c>
      <c r="AQ267" s="218"/>
      <c r="AR267" s="231"/>
      <c r="AS267" s="217" t="s">
        <v>145</v>
      </c>
      <c r="AT267" s="232" t="s">
        <v>54</v>
      </c>
      <c r="AU267" s="224"/>
      <c r="AV267" s="225"/>
      <c r="AW267" s="219"/>
      <c r="AX267" s="219"/>
      <c r="AY267" s="227">
        <v>27</v>
      </c>
      <c r="AZ267" s="227">
        <v>32</v>
      </c>
      <c r="BA267" s="218"/>
      <c r="BB267" s="235">
        <v>1</v>
      </c>
      <c r="BC267" s="231">
        <v>0.60256977304437698</v>
      </c>
      <c r="BD267" s="232" t="s">
        <v>55</v>
      </c>
      <c r="BE267" s="224">
        <v>1.8830305407636801E-2</v>
      </c>
      <c r="BF267" s="225">
        <v>-56.991624477696099</v>
      </c>
      <c r="BG267" s="219"/>
      <c r="BH267" s="219"/>
      <c r="BI267" s="227">
        <v>53</v>
      </c>
      <c r="BJ267" s="227">
        <v>63</v>
      </c>
      <c r="BK267" s="220"/>
      <c r="BL267" s="236">
        <v>0.8</v>
      </c>
      <c r="BM267" s="224"/>
      <c r="BN267" s="237"/>
      <c r="BO267" s="238">
        <v>0.95</v>
      </c>
      <c r="BP267" s="229">
        <v>1</v>
      </c>
      <c r="BQ267" s="237">
        <v>2.5000000000000001E-3</v>
      </c>
    </row>
    <row r="268" spans="1:69" s="207" customFormat="1" ht="22.35" customHeight="1" x14ac:dyDescent="0.2">
      <c r="A268" s="216" t="s">
        <v>275</v>
      </c>
      <c r="B268" s="216" t="s">
        <v>318</v>
      </c>
      <c r="C268" s="216" t="s">
        <v>337</v>
      </c>
      <c r="D268" s="217">
        <v>1.9110045248888901</v>
      </c>
      <c r="E268" s="218"/>
      <c r="F268" s="219">
        <v>7.6999999999999999E-2</v>
      </c>
      <c r="G268" s="219">
        <v>7.1999999999999995E-2</v>
      </c>
      <c r="H268" s="220"/>
      <c r="I268" s="221">
        <v>6</v>
      </c>
      <c r="J268" s="221">
        <v>6</v>
      </c>
      <c r="K268" s="218"/>
      <c r="L268" s="222">
        <v>1157.6691499999999</v>
      </c>
      <c r="M268" s="222">
        <v>1313.32446</v>
      </c>
      <c r="N268" s="222">
        <v>2470.99361</v>
      </c>
      <c r="O268" s="217">
        <v>1293.03388757997</v>
      </c>
      <c r="P268" s="223">
        <v>245.202</v>
      </c>
      <c r="Q268" s="229">
        <v>5.2733415207868202</v>
      </c>
      <c r="R268" s="230">
        <v>1959.3019223891099</v>
      </c>
      <c r="S268" s="219">
        <v>0.01</v>
      </c>
      <c r="T268" s="219">
        <v>0.01</v>
      </c>
      <c r="U268" s="226">
        <v>0</v>
      </c>
      <c r="V268" s="227">
        <v>0</v>
      </c>
      <c r="W268" s="218"/>
      <c r="X268" s="226">
        <v>1369.4345249999999</v>
      </c>
      <c r="Y268" s="217">
        <v>716.60454340348701</v>
      </c>
      <c r="Z268" s="228">
        <v>573</v>
      </c>
      <c r="AA268" s="229">
        <v>1.2506187493952701</v>
      </c>
      <c r="AB268" s="230">
        <v>173.68841770462299</v>
      </c>
      <c r="AC268" s="219">
        <v>0.02</v>
      </c>
      <c r="AD268" s="219">
        <v>0.02</v>
      </c>
      <c r="AE268" s="227">
        <v>0</v>
      </c>
      <c r="AF268" s="227">
        <v>0</v>
      </c>
      <c r="AG268" s="218"/>
      <c r="AH268" s="231">
        <v>155.69999999999999</v>
      </c>
      <c r="AI268" s="217">
        <v>81.475474271340502</v>
      </c>
      <c r="AJ268" s="232" t="s">
        <v>53</v>
      </c>
      <c r="AK268" s="229">
        <v>1.29326149637048</v>
      </c>
      <c r="AL268" s="230">
        <v>24.230532705743901</v>
      </c>
      <c r="AM268" s="219">
        <v>0.02</v>
      </c>
      <c r="AN268" s="219">
        <v>0.02</v>
      </c>
      <c r="AO268" s="227">
        <v>0</v>
      </c>
      <c r="AP268" s="227">
        <v>0</v>
      </c>
      <c r="AQ268" s="218"/>
      <c r="AR268" s="231">
        <v>31.8</v>
      </c>
      <c r="AS268" s="217">
        <v>16.640462953298801</v>
      </c>
      <c r="AT268" s="232" t="s">
        <v>54</v>
      </c>
      <c r="AU268" s="233">
        <v>1.04002893458118</v>
      </c>
      <c r="AV268" s="234">
        <v>-1.5890710588586801</v>
      </c>
      <c r="AW268" s="219">
        <v>7.0000000000000001E-3</v>
      </c>
      <c r="AX268" s="219">
        <v>2E-3</v>
      </c>
      <c r="AY268" s="227">
        <v>0</v>
      </c>
      <c r="AZ268" s="227">
        <v>5</v>
      </c>
      <c r="BA268" s="218"/>
      <c r="BB268" s="235">
        <v>129</v>
      </c>
      <c r="BC268" s="231">
        <v>67.5037648105519</v>
      </c>
      <c r="BD268" s="232" t="s">
        <v>55</v>
      </c>
      <c r="BE268" s="229">
        <v>2.10949265032975</v>
      </c>
      <c r="BF268" s="230">
        <v>62.221857882282599</v>
      </c>
      <c r="BG268" s="219">
        <v>0.02</v>
      </c>
      <c r="BH268" s="219">
        <v>0.02</v>
      </c>
      <c r="BI268" s="227">
        <v>0</v>
      </c>
      <c r="BJ268" s="227">
        <v>0</v>
      </c>
      <c r="BK268" s="220"/>
      <c r="BL268" s="236">
        <v>0.8</v>
      </c>
      <c r="BM268" s="239">
        <v>0.76</v>
      </c>
      <c r="BN268" s="237"/>
      <c r="BO268" s="238">
        <v>0.95</v>
      </c>
      <c r="BP268" s="229">
        <v>1</v>
      </c>
      <c r="BQ268" s="237">
        <v>2.5000000000000001E-3</v>
      </c>
    </row>
    <row r="269" spans="1:69" s="207" customFormat="1" ht="22.35" customHeight="1" x14ac:dyDescent="0.2">
      <c r="A269" s="216" t="s">
        <v>275</v>
      </c>
      <c r="B269" s="216" t="s">
        <v>318</v>
      </c>
      <c r="C269" s="216" t="s">
        <v>338</v>
      </c>
      <c r="D269" s="217">
        <v>4.3293466174444397</v>
      </c>
      <c r="E269" s="218"/>
      <c r="F269" s="219">
        <v>3.4000000000000002E-2</v>
      </c>
      <c r="G269" s="219">
        <v>0.02</v>
      </c>
      <c r="H269" s="220"/>
      <c r="I269" s="221">
        <v>4</v>
      </c>
      <c r="J269" s="221">
        <v>3</v>
      </c>
      <c r="K269" s="218"/>
      <c r="L269" s="222">
        <v>2114.3624199999999</v>
      </c>
      <c r="M269" s="222">
        <v>1298.0138899999999</v>
      </c>
      <c r="N269" s="222">
        <v>3412.3763100000001</v>
      </c>
      <c r="O269" s="217">
        <v>788.19660598445705</v>
      </c>
      <c r="P269" s="223">
        <v>287.5</v>
      </c>
      <c r="Q269" s="229">
        <v>2.7415534121198499</v>
      </c>
      <c r="R269" s="230">
        <v>2053.1779394533201</v>
      </c>
      <c r="S269" s="219">
        <v>0.01</v>
      </c>
      <c r="T269" s="219">
        <v>0.01</v>
      </c>
      <c r="U269" s="226">
        <v>0</v>
      </c>
      <c r="V269" s="227">
        <v>0</v>
      </c>
      <c r="W269" s="218"/>
      <c r="X269" s="226">
        <v>2340.9368049999998</v>
      </c>
      <c r="Y269" s="217">
        <v>540.71364846777396</v>
      </c>
      <c r="Z269" s="228">
        <v>573</v>
      </c>
      <c r="AA269" s="233">
        <v>0.94365383676749304</v>
      </c>
      <c r="AB269" s="234">
        <v>-368.00464308086498</v>
      </c>
      <c r="AC269" s="219">
        <v>4.0000000000000001E-3</v>
      </c>
      <c r="AD269" s="219"/>
      <c r="AE269" s="227">
        <v>140</v>
      </c>
      <c r="AF269" s="227">
        <v>636</v>
      </c>
      <c r="AG269" s="218"/>
      <c r="AH269" s="231">
        <v>210.1</v>
      </c>
      <c r="AI269" s="217">
        <v>48.529262857687101</v>
      </c>
      <c r="AJ269" s="232" t="s">
        <v>53</v>
      </c>
      <c r="AK269" s="239">
        <v>0.77030575964582704</v>
      </c>
      <c r="AL269" s="222">
        <v>-87.741729893707699</v>
      </c>
      <c r="AM269" s="219"/>
      <c r="AN269" s="219"/>
      <c r="AO269" s="227">
        <v>63</v>
      </c>
      <c r="AP269" s="227">
        <v>118</v>
      </c>
      <c r="AQ269" s="218"/>
      <c r="AR269" s="231">
        <v>30.6</v>
      </c>
      <c r="AS269" s="217">
        <v>7.0680411396726601</v>
      </c>
      <c r="AT269" s="232" t="s">
        <v>54</v>
      </c>
      <c r="AU269" s="224">
        <v>0.44175257122954098</v>
      </c>
      <c r="AV269" s="225">
        <v>-45.0423440999893</v>
      </c>
      <c r="AW269" s="219"/>
      <c r="AX269" s="219"/>
      <c r="AY269" s="227">
        <v>39</v>
      </c>
      <c r="AZ269" s="227">
        <v>53</v>
      </c>
      <c r="BA269" s="218"/>
      <c r="BB269" s="235">
        <v>152.80000000000001</v>
      </c>
      <c r="BC269" s="231">
        <v>35.294009351045197</v>
      </c>
      <c r="BD269" s="232" t="s">
        <v>55</v>
      </c>
      <c r="BE269" s="229">
        <v>1.10293779222016</v>
      </c>
      <c r="BF269" s="230">
        <v>1.51531180002149</v>
      </c>
      <c r="BG269" s="219">
        <v>0.02</v>
      </c>
      <c r="BH269" s="219">
        <v>0.01</v>
      </c>
      <c r="BI269" s="227">
        <v>0</v>
      </c>
      <c r="BJ269" s="227">
        <v>14</v>
      </c>
      <c r="BK269" s="220"/>
      <c r="BL269" s="236">
        <v>0.8</v>
      </c>
      <c r="BM269" s="239">
        <v>0.79</v>
      </c>
      <c r="BN269" s="237"/>
      <c r="BO269" s="238">
        <v>0.95</v>
      </c>
      <c r="BP269" s="229">
        <v>1</v>
      </c>
      <c r="BQ269" s="237">
        <v>2.5000000000000001E-3</v>
      </c>
    </row>
    <row r="270" spans="1:69" s="207" customFormat="1" ht="22.35" customHeight="1" x14ac:dyDescent="0.2">
      <c r="A270" s="216" t="s">
        <v>339</v>
      </c>
      <c r="B270" s="216" t="s">
        <v>340</v>
      </c>
      <c r="C270" s="216" t="s">
        <v>341</v>
      </c>
      <c r="D270" s="217">
        <v>3.4371100664444398</v>
      </c>
      <c r="E270" s="218"/>
      <c r="F270" s="219">
        <v>0.01</v>
      </c>
      <c r="G270" s="219">
        <v>0.01</v>
      </c>
      <c r="H270" s="220"/>
      <c r="I270" s="221">
        <v>3</v>
      </c>
      <c r="J270" s="221">
        <v>3</v>
      </c>
      <c r="K270" s="218"/>
      <c r="L270" s="222">
        <v>1791.69309</v>
      </c>
      <c r="M270" s="222">
        <v>2750.7207800000001</v>
      </c>
      <c r="N270" s="222">
        <v>4542.4138700000003</v>
      </c>
      <c r="O270" s="217">
        <v>1321.57940309981</v>
      </c>
      <c r="P270" s="223">
        <v>242.35900000000001</v>
      </c>
      <c r="Q270" s="229">
        <v>5.4529825717213303</v>
      </c>
      <c r="R270" s="230">
        <v>3632.7619720160001</v>
      </c>
      <c r="S270" s="219">
        <v>0.01</v>
      </c>
      <c r="T270" s="219">
        <v>0.01</v>
      </c>
      <c r="U270" s="226">
        <v>0</v>
      </c>
      <c r="V270" s="227">
        <v>0</v>
      </c>
      <c r="W270" s="218"/>
      <c r="X270" s="226">
        <v>1356.5941499999999</v>
      </c>
      <c r="Y270" s="217">
        <v>394.69034269343098</v>
      </c>
      <c r="Z270" s="228">
        <v>573</v>
      </c>
      <c r="AA270" s="224">
        <v>0.68881386159412095</v>
      </c>
      <c r="AB270" s="225">
        <v>-794.06061233534899</v>
      </c>
      <c r="AC270" s="219"/>
      <c r="AD270" s="219"/>
      <c r="AE270" s="227">
        <v>613</v>
      </c>
      <c r="AF270" s="227">
        <v>1007</v>
      </c>
      <c r="AG270" s="218"/>
      <c r="AH270" s="231">
        <v>125.8</v>
      </c>
      <c r="AI270" s="217">
        <v>36.600515423742401</v>
      </c>
      <c r="AJ270" s="232" t="s">
        <v>53</v>
      </c>
      <c r="AK270" s="224">
        <v>0.58096056228162496</v>
      </c>
      <c r="AL270" s="225">
        <v>-110.659424131112</v>
      </c>
      <c r="AM270" s="219"/>
      <c r="AN270" s="219"/>
      <c r="AO270" s="227">
        <v>91</v>
      </c>
      <c r="AP270" s="227">
        <v>135</v>
      </c>
      <c r="AQ270" s="218"/>
      <c r="AR270" s="231">
        <v>15.8</v>
      </c>
      <c r="AS270" s="217">
        <v>4.5968850850169298</v>
      </c>
      <c r="AT270" s="232" t="s">
        <v>54</v>
      </c>
      <c r="AU270" s="224">
        <v>0.287305317813558</v>
      </c>
      <c r="AV270" s="225">
        <v>-44.2531870809173</v>
      </c>
      <c r="AW270" s="219"/>
      <c r="AX270" s="219"/>
      <c r="AY270" s="227">
        <v>40</v>
      </c>
      <c r="AZ270" s="227">
        <v>51</v>
      </c>
      <c r="BA270" s="218"/>
      <c r="BB270" s="235">
        <v>93.6</v>
      </c>
      <c r="BC270" s="231">
        <v>27.232179997315399</v>
      </c>
      <c r="BD270" s="232" t="s">
        <v>55</v>
      </c>
      <c r="BE270" s="239">
        <v>0.85100562491610798</v>
      </c>
      <c r="BF270" s="222">
        <v>-26.506374161834501</v>
      </c>
      <c r="BG270" s="219"/>
      <c r="BH270" s="219"/>
      <c r="BI270" s="227">
        <v>17</v>
      </c>
      <c r="BJ270" s="227">
        <v>39</v>
      </c>
      <c r="BK270" s="220"/>
      <c r="BL270" s="236">
        <v>0.8</v>
      </c>
      <c r="BM270" s="233">
        <v>0.83</v>
      </c>
      <c r="BN270" s="237">
        <v>1.1249999999999999E-3</v>
      </c>
      <c r="BO270" s="238">
        <v>0.95</v>
      </c>
      <c r="BP270" s="229">
        <v>1</v>
      </c>
      <c r="BQ270" s="237">
        <v>2.5000000000000001E-3</v>
      </c>
    </row>
    <row r="271" spans="1:69" s="207" customFormat="1" ht="22.35" customHeight="1" x14ac:dyDescent="0.2">
      <c r="A271" s="216" t="s">
        <v>339</v>
      </c>
      <c r="B271" s="216" t="s">
        <v>340</v>
      </c>
      <c r="C271" s="216" t="s">
        <v>342</v>
      </c>
      <c r="D271" s="217">
        <v>2.6865209235555598</v>
      </c>
      <c r="E271" s="218"/>
      <c r="F271" s="219">
        <v>0.05</v>
      </c>
      <c r="G271" s="219">
        <v>3.7999999999999999E-2</v>
      </c>
      <c r="H271" s="220"/>
      <c r="I271" s="221">
        <v>4</v>
      </c>
      <c r="J271" s="221">
        <v>4</v>
      </c>
      <c r="K271" s="218"/>
      <c r="L271" s="222">
        <v>1001.21659</v>
      </c>
      <c r="M271" s="222">
        <v>-29.028079999999999</v>
      </c>
      <c r="N271" s="222">
        <v>972.18850999999995</v>
      </c>
      <c r="O271" s="217">
        <v>361.876396150799</v>
      </c>
      <c r="P271" s="223">
        <v>212.5</v>
      </c>
      <c r="Q271" s="229">
        <v>1.70294774659199</v>
      </c>
      <c r="R271" s="230">
        <v>348.78132968893198</v>
      </c>
      <c r="S271" s="219">
        <v>0.01</v>
      </c>
      <c r="T271" s="219">
        <v>0.01</v>
      </c>
      <c r="U271" s="226">
        <v>0</v>
      </c>
      <c r="V271" s="227">
        <v>0</v>
      </c>
      <c r="W271" s="218"/>
      <c r="X271" s="226">
        <v>1819.8643300000001</v>
      </c>
      <c r="Y271" s="217">
        <v>677.40560441697505</v>
      </c>
      <c r="Z271" s="228">
        <v>573</v>
      </c>
      <c r="AA271" s="229">
        <v>1.182208733712</v>
      </c>
      <c r="AB271" s="230">
        <v>138.86520379650901</v>
      </c>
      <c r="AC271" s="219">
        <v>0.02</v>
      </c>
      <c r="AD271" s="219">
        <v>1.7999999999999999E-2</v>
      </c>
      <c r="AE271" s="227">
        <v>0</v>
      </c>
      <c r="AF271" s="227">
        <v>28</v>
      </c>
      <c r="AG271" s="218"/>
      <c r="AH271" s="231">
        <v>150.9</v>
      </c>
      <c r="AI271" s="217">
        <v>56.169300107399501</v>
      </c>
      <c r="AJ271" s="232" t="s">
        <v>53</v>
      </c>
      <c r="AK271" s="239">
        <v>0.89157619218094397</v>
      </c>
      <c r="AL271" s="222">
        <v>-33.921893456928302</v>
      </c>
      <c r="AM271" s="219"/>
      <c r="AN271" s="219"/>
      <c r="AO271" s="227">
        <v>19</v>
      </c>
      <c r="AP271" s="227">
        <v>53</v>
      </c>
      <c r="AQ271" s="218"/>
      <c r="AR271" s="231">
        <v>15</v>
      </c>
      <c r="AS271" s="217">
        <v>5.58342943413514</v>
      </c>
      <c r="AT271" s="232" t="s">
        <v>54</v>
      </c>
      <c r="AU271" s="224">
        <v>0.34896433963344597</v>
      </c>
      <c r="AV271" s="225">
        <v>-31.938893576362702</v>
      </c>
      <c r="AW271" s="219"/>
      <c r="AX271" s="219"/>
      <c r="AY271" s="227">
        <v>28</v>
      </c>
      <c r="AZ271" s="227">
        <v>37</v>
      </c>
      <c r="BA271" s="218"/>
      <c r="BB271" s="235">
        <v>94.4</v>
      </c>
      <c r="BC271" s="231">
        <v>35.138382572157099</v>
      </c>
      <c r="BD271" s="232" t="s">
        <v>55</v>
      </c>
      <c r="BE271" s="229">
        <v>1.09807445537991</v>
      </c>
      <c r="BF271" s="230">
        <v>0.522212847274517</v>
      </c>
      <c r="BG271" s="219">
        <v>0.02</v>
      </c>
      <c r="BH271" s="219">
        <v>0.01</v>
      </c>
      <c r="BI271" s="227">
        <v>0</v>
      </c>
      <c r="BJ271" s="227">
        <v>9</v>
      </c>
      <c r="BK271" s="220"/>
      <c r="BL271" s="236">
        <v>0.8</v>
      </c>
      <c r="BM271" s="239">
        <v>0.75</v>
      </c>
      <c r="BN271" s="237"/>
      <c r="BO271" s="238">
        <v>0.95</v>
      </c>
      <c r="BP271" s="229">
        <v>1</v>
      </c>
      <c r="BQ271" s="237">
        <v>2.5000000000000001E-3</v>
      </c>
    </row>
    <row r="272" spans="1:69" s="207" customFormat="1" ht="22.35" customHeight="1" x14ac:dyDescent="0.2">
      <c r="A272" s="216" t="s">
        <v>339</v>
      </c>
      <c r="B272" s="216" t="s">
        <v>340</v>
      </c>
      <c r="C272" s="216" t="s">
        <v>343</v>
      </c>
      <c r="D272" s="217">
        <v>1</v>
      </c>
      <c r="E272" s="218"/>
      <c r="F272" s="219">
        <v>0.03</v>
      </c>
      <c r="G272" s="219">
        <v>0.03</v>
      </c>
      <c r="H272" s="220"/>
      <c r="I272" s="221">
        <v>4</v>
      </c>
      <c r="J272" s="221">
        <v>4</v>
      </c>
      <c r="K272" s="218"/>
      <c r="L272" s="222">
        <v>514.62725</v>
      </c>
      <c r="M272" s="222">
        <v>225.52687</v>
      </c>
      <c r="N272" s="222">
        <v>740.15412000000003</v>
      </c>
      <c r="O272" s="217">
        <v>740.15412000000003</v>
      </c>
      <c r="P272" s="223">
        <v>212.5</v>
      </c>
      <c r="Q272" s="229">
        <v>3.4830782117647101</v>
      </c>
      <c r="R272" s="230">
        <v>508.10412000000002</v>
      </c>
      <c r="S272" s="219">
        <v>0.01</v>
      </c>
      <c r="T272" s="219">
        <v>0.01</v>
      </c>
      <c r="U272" s="226">
        <v>0</v>
      </c>
      <c r="V272" s="227">
        <v>0</v>
      </c>
      <c r="W272" s="218"/>
      <c r="X272" s="226">
        <v>350.16750500000001</v>
      </c>
      <c r="Y272" s="217">
        <v>350.16750500000001</v>
      </c>
      <c r="Z272" s="228">
        <v>573</v>
      </c>
      <c r="AA272" s="224">
        <v>0.61111257417103004</v>
      </c>
      <c r="AB272" s="225">
        <v>-275.548495</v>
      </c>
      <c r="AC272" s="219"/>
      <c r="AD272" s="219"/>
      <c r="AE272" s="227">
        <v>223</v>
      </c>
      <c r="AF272" s="227">
        <v>338</v>
      </c>
      <c r="AG272" s="218"/>
      <c r="AH272" s="231">
        <v>51.7</v>
      </c>
      <c r="AI272" s="217">
        <v>51.7</v>
      </c>
      <c r="AJ272" s="232" t="s">
        <v>53</v>
      </c>
      <c r="AK272" s="239">
        <v>0.82063492063492105</v>
      </c>
      <c r="AL272" s="222">
        <v>-17.096</v>
      </c>
      <c r="AM272" s="219"/>
      <c r="AN272" s="219"/>
      <c r="AO272" s="227">
        <v>12</v>
      </c>
      <c r="AP272" s="227">
        <v>24</v>
      </c>
      <c r="AQ272" s="218"/>
      <c r="AR272" s="231">
        <v>1</v>
      </c>
      <c r="AS272" s="217">
        <v>1</v>
      </c>
      <c r="AT272" s="232" t="s">
        <v>54</v>
      </c>
      <c r="AU272" s="224">
        <v>6.25E-2</v>
      </c>
      <c r="AV272" s="225">
        <v>-16.472000000000001</v>
      </c>
      <c r="AW272" s="219"/>
      <c r="AX272" s="219"/>
      <c r="AY272" s="227">
        <v>15</v>
      </c>
      <c r="AZ272" s="227">
        <v>19</v>
      </c>
      <c r="BA272" s="218"/>
      <c r="BB272" s="235">
        <v>47.2</v>
      </c>
      <c r="BC272" s="231">
        <v>47.2</v>
      </c>
      <c r="BD272" s="232" t="s">
        <v>55</v>
      </c>
      <c r="BE272" s="229">
        <v>1.4750000000000001</v>
      </c>
      <c r="BF272" s="230">
        <v>12.256</v>
      </c>
      <c r="BG272" s="219">
        <v>0.02</v>
      </c>
      <c r="BH272" s="219">
        <v>0.02</v>
      </c>
      <c r="BI272" s="227">
        <v>0</v>
      </c>
      <c r="BJ272" s="227">
        <v>0</v>
      </c>
      <c r="BK272" s="220"/>
      <c r="BL272" s="236">
        <v>0.8</v>
      </c>
      <c r="BM272" s="233">
        <v>0.85</v>
      </c>
      <c r="BN272" s="237">
        <v>1.8749999999999999E-3</v>
      </c>
      <c r="BO272" s="238">
        <v>0.95</v>
      </c>
      <c r="BP272" s="229">
        <v>1</v>
      </c>
      <c r="BQ272" s="237">
        <v>2.5000000000000001E-3</v>
      </c>
    </row>
    <row r="273" spans="1:69" s="207" customFormat="1" ht="22.35" customHeight="1" x14ac:dyDescent="0.2">
      <c r="A273" s="216" t="s">
        <v>339</v>
      </c>
      <c r="B273" s="216" t="s">
        <v>340</v>
      </c>
      <c r="C273" s="216" t="s">
        <v>344</v>
      </c>
      <c r="D273" s="217">
        <v>2.6251377059999998</v>
      </c>
      <c r="E273" s="218"/>
      <c r="F273" s="219"/>
      <c r="G273" s="219"/>
      <c r="H273" s="220"/>
      <c r="I273" s="221">
        <v>2</v>
      </c>
      <c r="J273" s="221">
        <v>2</v>
      </c>
      <c r="K273" s="218"/>
      <c r="L273" s="222">
        <v>833.91980000000001</v>
      </c>
      <c r="M273" s="222">
        <v>-663.44854999999995</v>
      </c>
      <c r="N273" s="222">
        <v>170.47125</v>
      </c>
      <c r="O273" s="217">
        <v>64.938021959904006</v>
      </c>
      <c r="P273" s="223">
        <v>212.5</v>
      </c>
      <c r="Q273" s="224">
        <v>0.30559069157601898</v>
      </c>
      <c r="R273" s="225">
        <v>-438.69195467729998</v>
      </c>
      <c r="S273" s="219"/>
      <c r="T273" s="219"/>
      <c r="U273" s="226">
        <v>388</v>
      </c>
      <c r="V273" s="227">
        <v>499</v>
      </c>
      <c r="W273" s="218"/>
      <c r="X273" s="226">
        <v>1338.6740299999999</v>
      </c>
      <c r="Y273" s="217">
        <v>509.94430766063601</v>
      </c>
      <c r="Z273" s="228">
        <v>573</v>
      </c>
      <c r="AA273" s="239">
        <v>0.88995516171140598</v>
      </c>
      <c r="AB273" s="222">
        <v>-303.91663484749603</v>
      </c>
      <c r="AC273" s="219"/>
      <c r="AD273" s="219"/>
      <c r="AE273" s="227">
        <v>166</v>
      </c>
      <c r="AF273" s="227">
        <v>467</v>
      </c>
      <c r="AG273" s="218"/>
      <c r="AH273" s="231">
        <v>78.2</v>
      </c>
      <c r="AI273" s="217">
        <v>29.7889134810972</v>
      </c>
      <c r="AJ273" s="232" t="s">
        <v>53</v>
      </c>
      <c r="AK273" s="224">
        <v>0.47283989652535202</v>
      </c>
      <c r="AL273" s="225">
        <v>-102.398973621976</v>
      </c>
      <c r="AM273" s="219"/>
      <c r="AN273" s="219"/>
      <c r="AO273" s="227">
        <v>88</v>
      </c>
      <c r="AP273" s="227">
        <v>121</v>
      </c>
      <c r="AQ273" s="218"/>
      <c r="AR273" s="231">
        <v>6</v>
      </c>
      <c r="AS273" s="217">
        <v>2.28559438473892</v>
      </c>
      <c r="AT273" s="232" t="s">
        <v>54</v>
      </c>
      <c r="AU273" s="224">
        <v>0.142849649046182</v>
      </c>
      <c r="AV273" s="225">
        <v>-39.866405999232001</v>
      </c>
      <c r="AW273" s="219"/>
      <c r="AX273" s="219"/>
      <c r="AY273" s="227">
        <v>37</v>
      </c>
      <c r="AZ273" s="227">
        <v>45</v>
      </c>
      <c r="BA273" s="218"/>
      <c r="BB273" s="235">
        <v>43.6</v>
      </c>
      <c r="BC273" s="231">
        <v>16.608652529102802</v>
      </c>
      <c r="BD273" s="232" t="s">
        <v>55</v>
      </c>
      <c r="BE273" s="224">
        <v>0.519020391534462</v>
      </c>
      <c r="BF273" s="225">
        <v>-48.132811998464</v>
      </c>
      <c r="BG273" s="219"/>
      <c r="BH273" s="219"/>
      <c r="BI273" s="227">
        <v>41</v>
      </c>
      <c r="BJ273" s="227">
        <v>58</v>
      </c>
      <c r="BK273" s="220"/>
      <c r="BL273" s="236">
        <v>0.8</v>
      </c>
      <c r="BM273" s="233">
        <v>0.82</v>
      </c>
      <c r="BN273" s="237">
        <v>7.5000000000000002E-4</v>
      </c>
      <c r="BO273" s="238">
        <v>0.95</v>
      </c>
      <c r="BP273" s="229">
        <v>1</v>
      </c>
      <c r="BQ273" s="237">
        <v>2.5000000000000001E-3</v>
      </c>
    </row>
    <row r="274" spans="1:69" s="207" customFormat="1" ht="22.35" customHeight="1" x14ac:dyDescent="0.2">
      <c r="A274" s="216" t="s">
        <v>339</v>
      </c>
      <c r="B274" s="216" t="s">
        <v>340</v>
      </c>
      <c r="C274" s="216" t="s">
        <v>345</v>
      </c>
      <c r="D274" s="217">
        <v>4.5014537384444404</v>
      </c>
      <c r="E274" s="218"/>
      <c r="F274" s="219">
        <v>0.01</v>
      </c>
      <c r="G274" s="219">
        <v>0.01</v>
      </c>
      <c r="H274" s="220"/>
      <c r="I274" s="221">
        <v>3</v>
      </c>
      <c r="J274" s="221">
        <v>3</v>
      </c>
      <c r="K274" s="218"/>
      <c r="L274" s="222">
        <v>3027.5766699999999</v>
      </c>
      <c r="M274" s="222">
        <v>-333.04876000000002</v>
      </c>
      <c r="N274" s="222">
        <v>2694.5279099999998</v>
      </c>
      <c r="O274" s="217">
        <v>598.59060351715198</v>
      </c>
      <c r="P274" s="223">
        <v>218.52799999999999</v>
      </c>
      <c r="Q274" s="229">
        <v>2.7391940781829001</v>
      </c>
      <c r="R274" s="230">
        <v>1620.33440865017</v>
      </c>
      <c r="S274" s="219">
        <v>0.01</v>
      </c>
      <c r="T274" s="219">
        <v>0.01</v>
      </c>
      <c r="U274" s="226">
        <v>0</v>
      </c>
      <c r="V274" s="227">
        <v>0</v>
      </c>
      <c r="W274" s="218"/>
      <c r="X274" s="226">
        <v>2284.5295099999998</v>
      </c>
      <c r="Y274" s="217">
        <v>507.50927205784399</v>
      </c>
      <c r="Z274" s="228">
        <v>573</v>
      </c>
      <c r="AA274" s="239">
        <v>0.88570553587756295</v>
      </c>
      <c r="AB274" s="222">
        <v>-532.10211740450097</v>
      </c>
      <c r="AC274" s="219"/>
      <c r="AD274" s="219"/>
      <c r="AE274" s="227">
        <v>295</v>
      </c>
      <c r="AF274" s="227">
        <v>811</v>
      </c>
      <c r="AG274" s="218"/>
      <c r="AH274" s="231">
        <v>167.9</v>
      </c>
      <c r="AI274" s="217">
        <v>37.299061537844601</v>
      </c>
      <c r="AJ274" s="232" t="s">
        <v>53</v>
      </c>
      <c r="AK274" s="224">
        <v>0.59204859583880298</v>
      </c>
      <c r="AL274" s="225">
        <v>-141.782011390024</v>
      </c>
      <c r="AM274" s="219"/>
      <c r="AN274" s="219"/>
      <c r="AO274" s="227">
        <v>116</v>
      </c>
      <c r="AP274" s="227">
        <v>173</v>
      </c>
      <c r="AQ274" s="218"/>
      <c r="AR274" s="231">
        <v>19.3</v>
      </c>
      <c r="AS274" s="217">
        <v>4.2875037979773696</v>
      </c>
      <c r="AT274" s="232" t="s">
        <v>54</v>
      </c>
      <c r="AU274" s="224">
        <v>0.26796898737358599</v>
      </c>
      <c r="AV274" s="225">
        <v>-59.349399718101303</v>
      </c>
      <c r="AW274" s="219"/>
      <c r="AX274" s="219"/>
      <c r="AY274" s="227">
        <v>53</v>
      </c>
      <c r="AZ274" s="227">
        <v>68</v>
      </c>
      <c r="BA274" s="218"/>
      <c r="BB274" s="235">
        <v>122.4</v>
      </c>
      <c r="BC274" s="231">
        <v>27.191215796499002</v>
      </c>
      <c r="BD274" s="232" t="s">
        <v>55</v>
      </c>
      <c r="BE274" s="239">
        <v>0.84972549364059302</v>
      </c>
      <c r="BF274" s="222">
        <v>-34.898799436202502</v>
      </c>
      <c r="BG274" s="219"/>
      <c r="BH274" s="219"/>
      <c r="BI274" s="227">
        <v>22</v>
      </c>
      <c r="BJ274" s="227">
        <v>51</v>
      </c>
      <c r="BK274" s="220"/>
      <c r="BL274" s="236">
        <v>0.8</v>
      </c>
      <c r="BM274" s="233">
        <v>0.85</v>
      </c>
      <c r="BN274" s="237">
        <v>1.8749999999999999E-3</v>
      </c>
      <c r="BO274" s="238">
        <v>0.95</v>
      </c>
      <c r="BP274" s="229">
        <v>1</v>
      </c>
      <c r="BQ274" s="237">
        <v>2.5000000000000001E-3</v>
      </c>
    </row>
    <row r="275" spans="1:69" s="207" customFormat="1" ht="22.35" customHeight="1" x14ac:dyDescent="0.2">
      <c r="A275" s="216" t="s">
        <v>339</v>
      </c>
      <c r="B275" s="216" t="s">
        <v>340</v>
      </c>
      <c r="C275" s="216" t="s">
        <v>346</v>
      </c>
      <c r="D275" s="217">
        <v>8.6759634033333306</v>
      </c>
      <c r="E275" s="218"/>
      <c r="F275" s="219">
        <v>0.03</v>
      </c>
      <c r="G275" s="219">
        <v>0.03</v>
      </c>
      <c r="H275" s="220"/>
      <c r="I275" s="221">
        <v>3</v>
      </c>
      <c r="J275" s="221">
        <v>3</v>
      </c>
      <c r="K275" s="218"/>
      <c r="L275" s="222">
        <v>7631.9891200000002</v>
      </c>
      <c r="M275" s="222">
        <v>3454.4063599999999</v>
      </c>
      <c r="N275" s="222">
        <v>11086.395479999999</v>
      </c>
      <c r="O275" s="217">
        <v>1277.8287510687901</v>
      </c>
      <c r="P275" s="223">
        <v>246.08699999999999</v>
      </c>
      <c r="Q275" s="229">
        <v>5.1925894137796398</v>
      </c>
      <c r="R275" s="230">
        <v>8754.9298278085898</v>
      </c>
      <c r="S275" s="219">
        <v>0.01</v>
      </c>
      <c r="T275" s="219">
        <v>0.01</v>
      </c>
      <c r="U275" s="226">
        <v>0</v>
      </c>
      <c r="V275" s="227">
        <v>0</v>
      </c>
      <c r="W275" s="218"/>
      <c r="X275" s="226">
        <v>4102.5174299999999</v>
      </c>
      <c r="Y275" s="217">
        <v>472.86015849534402</v>
      </c>
      <c r="Z275" s="228">
        <v>573</v>
      </c>
      <c r="AA275" s="239">
        <v>0.82523587870042503</v>
      </c>
      <c r="AB275" s="222">
        <v>-1326.17168688012</v>
      </c>
      <c r="AC275" s="219"/>
      <c r="AD275" s="219"/>
      <c r="AE275" s="227">
        <v>869</v>
      </c>
      <c r="AF275" s="227">
        <v>1864</v>
      </c>
      <c r="AG275" s="218"/>
      <c r="AH275" s="231">
        <v>474.15</v>
      </c>
      <c r="AI275" s="217">
        <v>54.650991245286903</v>
      </c>
      <c r="AJ275" s="232" t="s">
        <v>53</v>
      </c>
      <c r="AK275" s="239">
        <v>0.86747605151249096</v>
      </c>
      <c r="AL275" s="222">
        <v>-122.72157829571999</v>
      </c>
      <c r="AM275" s="219"/>
      <c r="AN275" s="219"/>
      <c r="AO275" s="227">
        <v>73</v>
      </c>
      <c r="AP275" s="227">
        <v>182</v>
      </c>
      <c r="AQ275" s="218"/>
      <c r="AR275" s="231">
        <v>49.7</v>
      </c>
      <c r="AS275" s="217">
        <v>5.7284704521581</v>
      </c>
      <c r="AT275" s="232" t="s">
        <v>54</v>
      </c>
      <c r="AU275" s="224">
        <v>0.35802940325988097</v>
      </c>
      <c r="AV275" s="225">
        <v>-101.88643258304</v>
      </c>
      <c r="AW275" s="219"/>
      <c r="AX275" s="219"/>
      <c r="AY275" s="227">
        <v>90</v>
      </c>
      <c r="AZ275" s="227">
        <v>117</v>
      </c>
      <c r="BA275" s="218"/>
      <c r="BB275" s="235">
        <v>535.79999999999995</v>
      </c>
      <c r="BC275" s="231">
        <v>61.756830347410599</v>
      </c>
      <c r="BD275" s="232" t="s">
        <v>55</v>
      </c>
      <c r="BE275" s="229">
        <v>1.9299009483565801</v>
      </c>
      <c r="BF275" s="230">
        <v>232.62713483392</v>
      </c>
      <c r="BG275" s="219">
        <v>0.02</v>
      </c>
      <c r="BH275" s="219">
        <v>0.02</v>
      </c>
      <c r="BI275" s="227">
        <v>0</v>
      </c>
      <c r="BJ275" s="227">
        <v>0</v>
      </c>
      <c r="BK275" s="220"/>
      <c r="BL275" s="236">
        <v>0.8</v>
      </c>
      <c r="BM275" s="239">
        <v>0.74</v>
      </c>
      <c r="BN275" s="237"/>
      <c r="BO275" s="238">
        <v>0.95</v>
      </c>
      <c r="BP275" s="229">
        <v>1</v>
      </c>
      <c r="BQ275" s="237">
        <v>2.5000000000000001E-3</v>
      </c>
    </row>
    <row r="276" spans="1:69" s="207" customFormat="1" ht="22.35" customHeight="1" x14ac:dyDescent="0.2">
      <c r="A276" s="216" t="s">
        <v>339</v>
      </c>
      <c r="B276" s="216" t="s">
        <v>340</v>
      </c>
      <c r="C276" s="216" t="s">
        <v>347</v>
      </c>
      <c r="D276" s="217">
        <v>1.8989247312222199</v>
      </c>
      <c r="E276" s="218"/>
      <c r="F276" s="219">
        <v>0.03</v>
      </c>
      <c r="G276" s="219">
        <v>0.03</v>
      </c>
      <c r="H276" s="220"/>
      <c r="I276" s="221">
        <v>3</v>
      </c>
      <c r="J276" s="221">
        <v>3</v>
      </c>
      <c r="K276" s="218"/>
      <c r="L276" s="222">
        <v>713.65629000000001</v>
      </c>
      <c r="M276" s="222">
        <v>582.46632999999997</v>
      </c>
      <c r="N276" s="222">
        <v>1296.1226200000001</v>
      </c>
      <c r="O276" s="217">
        <v>682.55607960077703</v>
      </c>
      <c r="P276" s="223">
        <v>246.08699999999999</v>
      </c>
      <c r="Q276" s="229">
        <v>2.7736372892545198</v>
      </c>
      <c r="R276" s="230">
        <v>785.830266157148</v>
      </c>
      <c r="S276" s="219">
        <v>0.01</v>
      </c>
      <c r="T276" s="219">
        <v>0.01</v>
      </c>
      <c r="U276" s="226">
        <v>0</v>
      </c>
      <c r="V276" s="227">
        <v>0</v>
      </c>
      <c r="W276" s="218"/>
      <c r="X276" s="226">
        <v>967.91809499999999</v>
      </c>
      <c r="Y276" s="217">
        <v>509.71904209021</v>
      </c>
      <c r="Z276" s="228">
        <v>573</v>
      </c>
      <c r="AA276" s="239">
        <v>0.889562028080645</v>
      </c>
      <c r="AB276" s="222">
        <v>-220.26949212144299</v>
      </c>
      <c r="AC276" s="219"/>
      <c r="AD276" s="219"/>
      <c r="AE276" s="227">
        <v>121</v>
      </c>
      <c r="AF276" s="227">
        <v>338</v>
      </c>
      <c r="AG276" s="218"/>
      <c r="AH276" s="231">
        <v>101.7</v>
      </c>
      <c r="AI276" s="217">
        <v>53.556625140450898</v>
      </c>
      <c r="AJ276" s="232" t="s">
        <v>53</v>
      </c>
      <c r="AK276" s="239">
        <v>0.85010516095953803</v>
      </c>
      <c r="AL276" s="222">
        <v>-28.938425809163899</v>
      </c>
      <c r="AM276" s="219"/>
      <c r="AN276" s="219"/>
      <c r="AO276" s="227">
        <v>18</v>
      </c>
      <c r="AP276" s="227">
        <v>42</v>
      </c>
      <c r="AQ276" s="218"/>
      <c r="AR276" s="231">
        <v>15.8</v>
      </c>
      <c r="AS276" s="217">
        <v>8.320498301073</v>
      </c>
      <c r="AT276" s="232" t="s">
        <v>54</v>
      </c>
      <c r="AU276" s="224">
        <v>0.52003114381706295</v>
      </c>
      <c r="AV276" s="225">
        <v>-17.378012903914598</v>
      </c>
      <c r="AW276" s="219"/>
      <c r="AX276" s="219"/>
      <c r="AY276" s="227">
        <v>15</v>
      </c>
      <c r="AZ276" s="227">
        <v>21</v>
      </c>
      <c r="BA276" s="218"/>
      <c r="BB276" s="235">
        <v>83.4</v>
      </c>
      <c r="BC276" s="231">
        <v>43.919592298068899</v>
      </c>
      <c r="BD276" s="232" t="s">
        <v>55</v>
      </c>
      <c r="BE276" s="229">
        <v>1.37248725931465</v>
      </c>
      <c r="BF276" s="230">
        <v>17.043974192170801</v>
      </c>
      <c r="BG276" s="219">
        <v>0.02</v>
      </c>
      <c r="BH276" s="219">
        <v>0.02</v>
      </c>
      <c r="BI276" s="227">
        <v>0</v>
      </c>
      <c r="BJ276" s="227">
        <v>0</v>
      </c>
      <c r="BK276" s="220"/>
      <c r="BL276" s="236">
        <v>0.8</v>
      </c>
      <c r="BM276" s="239">
        <v>0.78</v>
      </c>
      <c r="BN276" s="237"/>
      <c r="BO276" s="238">
        <v>0.95</v>
      </c>
      <c r="BP276" s="229">
        <v>1</v>
      </c>
      <c r="BQ276" s="237">
        <v>2.5000000000000001E-3</v>
      </c>
    </row>
    <row r="277" spans="1:69" s="207" customFormat="1" ht="22.35" customHeight="1" x14ac:dyDescent="0.2">
      <c r="A277" s="216" t="s">
        <v>339</v>
      </c>
      <c r="B277" s="216" t="s">
        <v>340</v>
      </c>
      <c r="C277" s="216" t="s">
        <v>348</v>
      </c>
      <c r="D277" s="217">
        <v>1.8613756613333301</v>
      </c>
      <c r="E277" s="218"/>
      <c r="F277" s="219">
        <v>0.08</v>
      </c>
      <c r="G277" s="219">
        <v>0.08</v>
      </c>
      <c r="H277" s="220"/>
      <c r="I277" s="221">
        <v>7</v>
      </c>
      <c r="J277" s="221">
        <v>7</v>
      </c>
      <c r="K277" s="218"/>
      <c r="L277" s="222">
        <v>1223.3950199999999</v>
      </c>
      <c r="M277" s="222">
        <v>2838.4063099999998</v>
      </c>
      <c r="N277" s="222">
        <v>4061.8013299999998</v>
      </c>
      <c r="O277" s="217">
        <v>2182.15023134581</v>
      </c>
      <c r="P277" s="223">
        <v>246.08699999999999</v>
      </c>
      <c r="Q277" s="229">
        <v>8.8673933663534008</v>
      </c>
      <c r="R277" s="230">
        <v>3561.5994252113801</v>
      </c>
      <c r="S277" s="219">
        <v>0.01</v>
      </c>
      <c r="T277" s="219">
        <v>0.01</v>
      </c>
      <c r="U277" s="226">
        <v>0</v>
      </c>
      <c r="V277" s="227">
        <v>0</v>
      </c>
      <c r="W277" s="218"/>
      <c r="X277" s="226">
        <v>1735.7796249999999</v>
      </c>
      <c r="Y277" s="217">
        <v>932.52515387282597</v>
      </c>
      <c r="Z277" s="228">
        <v>573</v>
      </c>
      <c r="AA277" s="229">
        <v>1.62744354951628</v>
      </c>
      <c r="AB277" s="230">
        <v>571.08709169315398</v>
      </c>
      <c r="AC277" s="219">
        <v>0.02</v>
      </c>
      <c r="AD277" s="219">
        <v>0.02</v>
      </c>
      <c r="AE277" s="227">
        <v>0</v>
      </c>
      <c r="AF277" s="227">
        <v>0</v>
      </c>
      <c r="AG277" s="218"/>
      <c r="AH277" s="231">
        <v>140.80000000000001</v>
      </c>
      <c r="AI277" s="217">
        <v>75.642978967041302</v>
      </c>
      <c r="AJ277" s="232" t="s">
        <v>53</v>
      </c>
      <c r="AK277" s="229">
        <v>1.20068220582605</v>
      </c>
      <c r="AL277" s="230">
        <v>12.7448000029122</v>
      </c>
      <c r="AM277" s="219">
        <v>0.02</v>
      </c>
      <c r="AN277" s="219">
        <v>0.02</v>
      </c>
      <c r="AO277" s="227">
        <v>0</v>
      </c>
      <c r="AP277" s="227">
        <v>0</v>
      </c>
      <c r="AQ277" s="218"/>
      <c r="AR277" s="231">
        <v>47</v>
      </c>
      <c r="AS277" s="217">
        <v>25.250142126782301</v>
      </c>
      <c r="AT277" s="232" t="s">
        <v>54</v>
      </c>
      <c r="AU277" s="229">
        <v>1.57813388292389</v>
      </c>
      <c r="AV277" s="230">
        <v>14.4780444451841</v>
      </c>
      <c r="AW277" s="219">
        <v>0.01</v>
      </c>
      <c r="AX277" s="219">
        <v>0.01</v>
      </c>
      <c r="AY277" s="227">
        <v>0</v>
      </c>
      <c r="AZ277" s="227">
        <v>0</v>
      </c>
      <c r="BA277" s="218"/>
      <c r="BB277" s="235">
        <v>105.8</v>
      </c>
      <c r="BC277" s="231">
        <v>56.839681638586498</v>
      </c>
      <c r="BD277" s="232" t="s">
        <v>55</v>
      </c>
      <c r="BE277" s="229">
        <v>1.7762400512058301</v>
      </c>
      <c r="BF277" s="230">
        <v>40.756088890368098</v>
      </c>
      <c r="BG277" s="219">
        <v>0.02</v>
      </c>
      <c r="BH277" s="219">
        <v>0.02</v>
      </c>
      <c r="BI277" s="227">
        <v>0</v>
      </c>
      <c r="BJ277" s="227">
        <v>0</v>
      </c>
      <c r="BK277" s="220"/>
      <c r="BL277" s="236">
        <v>0.8</v>
      </c>
      <c r="BM277" s="233">
        <v>0.87</v>
      </c>
      <c r="BN277" s="237">
        <v>2.6250000000000002E-3</v>
      </c>
      <c r="BO277" s="238">
        <v>0.95</v>
      </c>
      <c r="BP277" s="229">
        <v>1</v>
      </c>
      <c r="BQ277" s="237">
        <v>2.5000000000000001E-3</v>
      </c>
    </row>
    <row r="278" spans="1:69" s="207" customFormat="1" ht="22.35" customHeight="1" x14ac:dyDescent="0.2">
      <c r="A278" s="216" t="s">
        <v>339</v>
      </c>
      <c r="B278" s="216" t="s">
        <v>340</v>
      </c>
      <c r="C278" s="216" t="s">
        <v>349</v>
      </c>
      <c r="D278" s="217">
        <v>4.0649831650000001</v>
      </c>
      <c r="E278" s="218"/>
      <c r="F278" s="219">
        <v>2.9000000000000001E-2</v>
      </c>
      <c r="G278" s="219">
        <v>1.7999999999999999E-2</v>
      </c>
      <c r="H278" s="220"/>
      <c r="I278" s="221">
        <v>3</v>
      </c>
      <c r="J278" s="221">
        <v>3</v>
      </c>
      <c r="K278" s="218"/>
      <c r="L278" s="222">
        <v>986.04044999999996</v>
      </c>
      <c r="M278" s="222">
        <v>616.46918000000005</v>
      </c>
      <c r="N278" s="222">
        <v>1602.50963</v>
      </c>
      <c r="O278" s="217">
        <v>394.22294384828001</v>
      </c>
      <c r="P278" s="223">
        <v>212.5</v>
      </c>
      <c r="Q278" s="229">
        <v>1.85516679458014</v>
      </c>
      <c r="R278" s="230">
        <v>659.23028656174995</v>
      </c>
      <c r="S278" s="219">
        <v>0.01</v>
      </c>
      <c r="T278" s="219">
        <v>0.01</v>
      </c>
      <c r="U278" s="226">
        <v>0</v>
      </c>
      <c r="V278" s="227">
        <v>0</v>
      </c>
      <c r="W278" s="218"/>
      <c r="X278" s="226">
        <v>1478.75477</v>
      </c>
      <c r="Y278" s="217">
        <v>363.77881776541102</v>
      </c>
      <c r="Z278" s="228">
        <v>573</v>
      </c>
      <c r="AA278" s="224">
        <v>0.63486704671101402</v>
      </c>
      <c r="AB278" s="225">
        <v>-1064.7702360711401</v>
      </c>
      <c r="AC278" s="219"/>
      <c r="AD278" s="219"/>
      <c r="AE278" s="227">
        <v>851</v>
      </c>
      <c r="AF278" s="227">
        <v>1317</v>
      </c>
      <c r="AG278" s="218"/>
      <c r="AH278" s="231">
        <v>153.5</v>
      </c>
      <c r="AI278" s="217">
        <v>37.761534001334503</v>
      </c>
      <c r="AJ278" s="232" t="s">
        <v>53</v>
      </c>
      <c r="AK278" s="224">
        <v>0.59938942859261202</v>
      </c>
      <c r="AL278" s="225">
        <v>-126.15458181934</v>
      </c>
      <c r="AM278" s="219"/>
      <c r="AN278" s="219"/>
      <c r="AO278" s="227">
        <v>103</v>
      </c>
      <c r="AP278" s="227">
        <v>154</v>
      </c>
      <c r="AQ278" s="218"/>
      <c r="AR278" s="231">
        <v>23.4</v>
      </c>
      <c r="AS278" s="217">
        <v>5.7564814047636998</v>
      </c>
      <c r="AT278" s="232" t="s">
        <v>54</v>
      </c>
      <c r="AU278" s="224">
        <v>0.35978008779773102</v>
      </c>
      <c r="AV278" s="225">
        <v>-47.623385858879999</v>
      </c>
      <c r="AW278" s="219"/>
      <c r="AX278" s="219"/>
      <c r="AY278" s="227">
        <v>42</v>
      </c>
      <c r="AZ278" s="227">
        <v>55</v>
      </c>
      <c r="BA278" s="218"/>
      <c r="BB278" s="235">
        <v>140.4</v>
      </c>
      <c r="BC278" s="231">
        <v>34.538888428582197</v>
      </c>
      <c r="BD278" s="232" t="s">
        <v>55</v>
      </c>
      <c r="BE278" s="233">
        <v>1.0793402633931899</v>
      </c>
      <c r="BF278" s="234">
        <v>-1.6467717177600001</v>
      </c>
      <c r="BG278" s="219">
        <v>1.9E-2</v>
      </c>
      <c r="BH278" s="219">
        <v>8.0000000000000002E-3</v>
      </c>
      <c r="BI278" s="227">
        <v>0</v>
      </c>
      <c r="BJ278" s="227">
        <v>16</v>
      </c>
      <c r="BK278" s="220"/>
      <c r="BL278" s="236">
        <v>0.8</v>
      </c>
      <c r="BM278" s="239">
        <v>0.79</v>
      </c>
      <c r="BN278" s="237"/>
      <c r="BO278" s="238">
        <v>0.95</v>
      </c>
      <c r="BP278" s="229">
        <v>1</v>
      </c>
      <c r="BQ278" s="237">
        <v>2.5000000000000001E-3</v>
      </c>
    </row>
    <row r="279" spans="1:69" s="207" customFormat="1" ht="22.35" customHeight="1" x14ac:dyDescent="0.2">
      <c r="A279" s="216" t="s">
        <v>339</v>
      </c>
      <c r="B279" s="216" t="s">
        <v>340</v>
      </c>
      <c r="C279" s="216" t="s">
        <v>350</v>
      </c>
      <c r="D279" s="217">
        <v>2.7843147968888902</v>
      </c>
      <c r="E279" s="218"/>
      <c r="F279" s="219">
        <v>1.0999999999999999E-2</v>
      </c>
      <c r="G279" s="219">
        <v>0.01</v>
      </c>
      <c r="H279" s="220"/>
      <c r="I279" s="221">
        <v>4</v>
      </c>
      <c r="J279" s="221">
        <v>3</v>
      </c>
      <c r="K279" s="218"/>
      <c r="L279" s="222">
        <v>1261.4038700000001</v>
      </c>
      <c r="M279" s="222">
        <v>495.44992000000002</v>
      </c>
      <c r="N279" s="222">
        <v>1756.8537899999999</v>
      </c>
      <c r="O279" s="217">
        <v>630.98245642448796</v>
      </c>
      <c r="P279" s="223">
        <v>243.43</v>
      </c>
      <c r="Q279" s="229">
        <v>2.59204887000159</v>
      </c>
      <c r="R279" s="230">
        <v>1016.71174990072</v>
      </c>
      <c r="S279" s="219">
        <v>0.01</v>
      </c>
      <c r="T279" s="219">
        <v>0.01</v>
      </c>
      <c r="U279" s="226">
        <v>0</v>
      </c>
      <c r="V279" s="227">
        <v>0</v>
      </c>
      <c r="W279" s="218"/>
      <c r="X279" s="226">
        <v>762.15051500000004</v>
      </c>
      <c r="Y279" s="217">
        <v>273.73000921146001</v>
      </c>
      <c r="Z279" s="228">
        <v>573</v>
      </c>
      <c r="AA279" s="224">
        <v>0.47771380316136097</v>
      </c>
      <c r="AB279" s="225">
        <v>-980.03980245012895</v>
      </c>
      <c r="AC279" s="219"/>
      <c r="AD279" s="219"/>
      <c r="AE279" s="227">
        <v>834</v>
      </c>
      <c r="AF279" s="227">
        <v>1153</v>
      </c>
      <c r="AG279" s="218"/>
      <c r="AH279" s="231">
        <v>150.19999999999999</v>
      </c>
      <c r="AI279" s="217">
        <v>53.945049664581397</v>
      </c>
      <c r="AJ279" s="232" t="s">
        <v>53</v>
      </c>
      <c r="AK279" s="239">
        <v>0.85627062959653</v>
      </c>
      <c r="AL279" s="222">
        <v>-41.349720766768101</v>
      </c>
      <c r="AM279" s="219"/>
      <c r="AN279" s="219"/>
      <c r="AO279" s="227">
        <v>26</v>
      </c>
      <c r="AP279" s="227">
        <v>61</v>
      </c>
      <c r="AQ279" s="218"/>
      <c r="AR279" s="231">
        <v>8.8000000000000007</v>
      </c>
      <c r="AS279" s="217">
        <v>3.1605621641032999</v>
      </c>
      <c r="AT279" s="232" t="s">
        <v>54</v>
      </c>
      <c r="AU279" s="224">
        <v>0.197535135256456</v>
      </c>
      <c r="AV279" s="225">
        <v>-39.847548131242696</v>
      </c>
      <c r="AW279" s="219"/>
      <c r="AX279" s="219"/>
      <c r="AY279" s="227">
        <v>36</v>
      </c>
      <c r="AZ279" s="227">
        <v>45</v>
      </c>
      <c r="BA279" s="218"/>
      <c r="BB279" s="235">
        <v>81.8</v>
      </c>
      <c r="BC279" s="231">
        <v>29.3788619345057</v>
      </c>
      <c r="BD279" s="232" t="s">
        <v>55</v>
      </c>
      <c r="BE279" s="233">
        <v>0.91808943545330302</v>
      </c>
      <c r="BF279" s="234">
        <v>-15.495096262485401</v>
      </c>
      <c r="BG279" s="219">
        <v>1E-3</v>
      </c>
      <c r="BH279" s="219"/>
      <c r="BI279" s="227">
        <v>8</v>
      </c>
      <c r="BJ279" s="227">
        <v>26</v>
      </c>
      <c r="BK279" s="220"/>
      <c r="BL279" s="236">
        <v>0.8</v>
      </c>
      <c r="BM279" s="233">
        <v>0.82</v>
      </c>
      <c r="BN279" s="237">
        <v>7.5000000000000002E-4</v>
      </c>
      <c r="BO279" s="238">
        <v>0.95</v>
      </c>
      <c r="BP279" s="229">
        <v>1</v>
      </c>
      <c r="BQ279" s="237">
        <v>2.5000000000000001E-3</v>
      </c>
    </row>
    <row r="280" spans="1:69" s="207" customFormat="1" ht="22.35" customHeight="1" x14ac:dyDescent="0.2">
      <c r="A280" s="216" t="s">
        <v>339</v>
      </c>
      <c r="B280" s="216" t="s">
        <v>340</v>
      </c>
      <c r="C280" s="216" t="s">
        <v>351</v>
      </c>
      <c r="D280" s="217">
        <v>4.6097894054444399</v>
      </c>
      <c r="E280" s="218"/>
      <c r="F280" s="219"/>
      <c r="G280" s="219"/>
      <c r="H280" s="220"/>
      <c r="I280" s="221">
        <v>1</v>
      </c>
      <c r="J280" s="221">
        <v>1</v>
      </c>
      <c r="K280" s="218"/>
      <c r="L280" s="222">
        <v>1167.36924</v>
      </c>
      <c r="M280" s="222">
        <v>-320.76745</v>
      </c>
      <c r="N280" s="222">
        <v>846.60179000000005</v>
      </c>
      <c r="O280" s="217">
        <v>183.65302957226399</v>
      </c>
      <c r="P280" s="223">
        <v>254.44499999999999</v>
      </c>
      <c r="Q280" s="224">
        <v>0.72177888963141101</v>
      </c>
      <c r="R280" s="225">
        <v>-434.24635887299502</v>
      </c>
      <c r="S280" s="219"/>
      <c r="T280" s="219"/>
      <c r="U280" s="226">
        <v>327</v>
      </c>
      <c r="V280" s="227">
        <v>561</v>
      </c>
      <c r="W280" s="218"/>
      <c r="X280" s="226">
        <v>1691.20444</v>
      </c>
      <c r="Y280" s="217">
        <v>366.87238640502397</v>
      </c>
      <c r="Z280" s="228">
        <v>573</v>
      </c>
      <c r="AA280" s="224">
        <v>0.64026594486042598</v>
      </c>
      <c r="AB280" s="225">
        <v>-1193.2145476170699</v>
      </c>
      <c r="AC280" s="219"/>
      <c r="AD280" s="219"/>
      <c r="AE280" s="227">
        <v>951</v>
      </c>
      <c r="AF280" s="227">
        <v>1479</v>
      </c>
      <c r="AG280" s="218"/>
      <c r="AH280" s="231">
        <v>238.2</v>
      </c>
      <c r="AI280" s="217">
        <v>51.672642511319701</v>
      </c>
      <c r="AJ280" s="232" t="s">
        <v>53</v>
      </c>
      <c r="AK280" s="239">
        <v>0.82020067478285297</v>
      </c>
      <c r="AL280" s="222">
        <v>-78.935071936955694</v>
      </c>
      <c r="AM280" s="219"/>
      <c r="AN280" s="219"/>
      <c r="AO280" s="227">
        <v>53</v>
      </c>
      <c r="AP280" s="227">
        <v>111</v>
      </c>
      <c r="AQ280" s="218"/>
      <c r="AR280" s="231">
        <v>13</v>
      </c>
      <c r="AS280" s="217">
        <v>2.8200854435229101</v>
      </c>
      <c r="AT280" s="232" t="s">
        <v>54</v>
      </c>
      <c r="AU280" s="224">
        <v>0.17625534022018199</v>
      </c>
      <c r="AV280" s="225">
        <v>-67.542240491925298</v>
      </c>
      <c r="AW280" s="219"/>
      <c r="AX280" s="219"/>
      <c r="AY280" s="227">
        <v>61</v>
      </c>
      <c r="AZ280" s="227">
        <v>76</v>
      </c>
      <c r="BA280" s="218"/>
      <c r="BB280" s="235">
        <v>133.19999999999999</v>
      </c>
      <c r="BC280" s="231">
        <v>28.895029313634701</v>
      </c>
      <c r="BD280" s="232" t="s">
        <v>55</v>
      </c>
      <c r="BE280" s="239">
        <v>0.90296966605108497</v>
      </c>
      <c r="BF280" s="222">
        <v>-27.884480983850501</v>
      </c>
      <c r="BG280" s="219"/>
      <c r="BH280" s="219"/>
      <c r="BI280" s="227">
        <v>15</v>
      </c>
      <c r="BJ280" s="227">
        <v>44</v>
      </c>
      <c r="BK280" s="220"/>
      <c r="BL280" s="236">
        <v>0.8</v>
      </c>
      <c r="BM280" s="239">
        <v>0.78</v>
      </c>
      <c r="BN280" s="237"/>
      <c r="BO280" s="238">
        <v>0.95</v>
      </c>
      <c r="BP280" s="229">
        <v>1</v>
      </c>
      <c r="BQ280" s="237">
        <v>2.5000000000000001E-3</v>
      </c>
    </row>
    <row r="281" spans="1:69" s="207" customFormat="1" ht="22.35" customHeight="1" x14ac:dyDescent="0.2">
      <c r="A281" s="216" t="s">
        <v>339</v>
      </c>
      <c r="B281" s="216" t="s">
        <v>340</v>
      </c>
      <c r="C281" s="216" t="s">
        <v>352</v>
      </c>
      <c r="D281" s="217">
        <v>4.6161616162222199</v>
      </c>
      <c r="E281" s="218"/>
      <c r="F281" s="219">
        <v>2.4E-2</v>
      </c>
      <c r="G281" s="219">
        <v>1.0999999999999999E-2</v>
      </c>
      <c r="H281" s="220"/>
      <c r="I281" s="221">
        <v>4</v>
      </c>
      <c r="J281" s="221">
        <v>3</v>
      </c>
      <c r="K281" s="218"/>
      <c r="L281" s="222">
        <v>2390.1131</v>
      </c>
      <c r="M281" s="222">
        <v>2576.4576900000002</v>
      </c>
      <c r="N281" s="222">
        <v>4966.5707899999998</v>
      </c>
      <c r="O281" s="217">
        <v>1075.90920832285</v>
      </c>
      <c r="P281" s="223">
        <v>212.5</v>
      </c>
      <c r="Q281" s="229">
        <v>5.06310215681341</v>
      </c>
      <c r="R281" s="230">
        <v>3895.39048695563</v>
      </c>
      <c r="S281" s="219">
        <v>0.01</v>
      </c>
      <c r="T281" s="219">
        <v>0.01</v>
      </c>
      <c r="U281" s="226">
        <v>0</v>
      </c>
      <c r="V281" s="227">
        <v>0</v>
      </c>
      <c r="W281" s="218"/>
      <c r="X281" s="226">
        <v>2481.2841250000001</v>
      </c>
      <c r="Y281" s="217">
        <v>537.52106864720997</v>
      </c>
      <c r="Z281" s="228">
        <v>573</v>
      </c>
      <c r="AA281" s="233">
        <v>0.93808214423596803</v>
      </c>
      <c r="AB281" s="234">
        <v>-407.12205685610297</v>
      </c>
      <c r="AC281" s="219">
        <v>3.0000000000000001E-3</v>
      </c>
      <c r="AD281" s="219"/>
      <c r="AE281" s="227">
        <v>164</v>
      </c>
      <c r="AF281" s="227">
        <v>693</v>
      </c>
      <c r="AG281" s="218"/>
      <c r="AH281" s="231">
        <v>169.95</v>
      </c>
      <c r="AI281" s="217">
        <v>36.816301968882101</v>
      </c>
      <c r="AJ281" s="232" t="s">
        <v>53</v>
      </c>
      <c r="AK281" s="224">
        <v>0.58438574553780998</v>
      </c>
      <c r="AL281" s="225">
        <v>-147.623454549624</v>
      </c>
      <c r="AM281" s="219"/>
      <c r="AN281" s="219"/>
      <c r="AO281" s="227">
        <v>121</v>
      </c>
      <c r="AP281" s="227">
        <v>180</v>
      </c>
      <c r="AQ281" s="218"/>
      <c r="AR281" s="231">
        <v>38.799999999999997</v>
      </c>
      <c r="AS281" s="217">
        <v>8.4052516410274993</v>
      </c>
      <c r="AT281" s="232" t="s">
        <v>54</v>
      </c>
      <c r="AU281" s="224">
        <v>0.52532822756421904</v>
      </c>
      <c r="AV281" s="225">
        <v>-41.853575758634598</v>
      </c>
      <c r="AW281" s="219"/>
      <c r="AX281" s="219"/>
      <c r="AY281" s="227">
        <v>36</v>
      </c>
      <c r="AZ281" s="227">
        <v>50</v>
      </c>
      <c r="BA281" s="218"/>
      <c r="BB281" s="235">
        <v>149.19999999999999</v>
      </c>
      <c r="BC281" s="231">
        <v>32.321225382507798</v>
      </c>
      <c r="BD281" s="232" t="s">
        <v>55</v>
      </c>
      <c r="BE281" s="233">
        <v>1.01003829320337</v>
      </c>
      <c r="BF281" s="234">
        <v>-12.1071515172692</v>
      </c>
      <c r="BG281" s="219">
        <v>1.0999999999999999E-2</v>
      </c>
      <c r="BH281" s="219">
        <v>1E-3</v>
      </c>
      <c r="BI281" s="227">
        <v>0</v>
      </c>
      <c r="BJ281" s="227">
        <v>29</v>
      </c>
      <c r="BK281" s="220"/>
      <c r="BL281" s="236">
        <v>0.8</v>
      </c>
      <c r="BM281" s="239">
        <v>0.76</v>
      </c>
      <c r="BN281" s="237"/>
      <c r="BO281" s="238">
        <v>0.95</v>
      </c>
      <c r="BP281" s="229">
        <v>1</v>
      </c>
      <c r="BQ281" s="237">
        <v>2.5000000000000001E-3</v>
      </c>
    </row>
    <row r="282" spans="1:69" s="207" customFormat="1" ht="22.35" customHeight="1" x14ac:dyDescent="0.2">
      <c r="A282" s="216" t="s">
        <v>339</v>
      </c>
      <c r="B282" s="216" t="s">
        <v>340</v>
      </c>
      <c r="C282" s="216" t="s">
        <v>353</v>
      </c>
      <c r="D282" s="217">
        <v>6.3981030344444401</v>
      </c>
      <c r="E282" s="218"/>
      <c r="F282" s="219">
        <v>0.03</v>
      </c>
      <c r="G282" s="219">
        <v>2.4E-2</v>
      </c>
      <c r="H282" s="220"/>
      <c r="I282" s="221">
        <v>3</v>
      </c>
      <c r="J282" s="221">
        <v>3</v>
      </c>
      <c r="K282" s="218"/>
      <c r="L282" s="222">
        <v>2133.5116899999998</v>
      </c>
      <c r="M282" s="222">
        <v>3332.8605299999999</v>
      </c>
      <c r="N282" s="222">
        <v>5466.3722200000002</v>
      </c>
      <c r="O282" s="217">
        <v>854.37389653957803</v>
      </c>
      <c r="P282" s="223">
        <v>250.489</v>
      </c>
      <c r="Q282" s="229">
        <v>3.4108240143861699</v>
      </c>
      <c r="R282" s="230">
        <v>3716.2735813535101</v>
      </c>
      <c r="S282" s="219">
        <v>0.01</v>
      </c>
      <c r="T282" s="219">
        <v>0.01</v>
      </c>
      <c r="U282" s="226">
        <v>0</v>
      </c>
      <c r="V282" s="227">
        <v>0</v>
      </c>
      <c r="W282" s="218"/>
      <c r="X282" s="226">
        <v>2497.36319</v>
      </c>
      <c r="Y282" s="217">
        <v>390.328692200695</v>
      </c>
      <c r="Z282" s="228">
        <v>573</v>
      </c>
      <c r="AA282" s="224">
        <v>0.681201906109416</v>
      </c>
      <c r="AB282" s="225">
        <v>-1506.03224830044</v>
      </c>
      <c r="AC282" s="219"/>
      <c r="AD282" s="219"/>
      <c r="AE282" s="227">
        <v>1169</v>
      </c>
      <c r="AF282" s="227">
        <v>1902</v>
      </c>
      <c r="AG282" s="218"/>
      <c r="AH282" s="231">
        <v>242.9</v>
      </c>
      <c r="AI282" s="217">
        <v>37.964377674497896</v>
      </c>
      <c r="AJ282" s="232" t="s">
        <v>53</v>
      </c>
      <c r="AK282" s="224">
        <v>0.60260916943647502</v>
      </c>
      <c r="AL282" s="225">
        <v>-197.26389635763999</v>
      </c>
      <c r="AM282" s="219"/>
      <c r="AN282" s="219"/>
      <c r="AO282" s="227">
        <v>161</v>
      </c>
      <c r="AP282" s="227">
        <v>241</v>
      </c>
      <c r="AQ282" s="218"/>
      <c r="AR282" s="231">
        <v>47.4</v>
      </c>
      <c r="AS282" s="217">
        <v>7.4084458697867497</v>
      </c>
      <c r="AT282" s="232" t="s">
        <v>54</v>
      </c>
      <c r="AU282" s="224">
        <v>0.46302786686167202</v>
      </c>
      <c r="AV282" s="225">
        <v>-64.387656217813301</v>
      </c>
      <c r="AW282" s="219"/>
      <c r="AX282" s="219"/>
      <c r="AY282" s="227">
        <v>55</v>
      </c>
      <c r="AZ282" s="227">
        <v>76</v>
      </c>
      <c r="BA282" s="218"/>
      <c r="BB282" s="235">
        <v>233.8</v>
      </c>
      <c r="BC282" s="231">
        <v>36.542081104559898</v>
      </c>
      <c r="BD282" s="232" t="s">
        <v>55</v>
      </c>
      <c r="BE282" s="229">
        <v>1.1419400345174999</v>
      </c>
      <c r="BF282" s="230">
        <v>10.2246875643735</v>
      </c>
      <c r="BG282" s="219">
        <v>0.02</v>
      </c>
      <c r="BH282" s="219">
        <v>1.4E-2</v>
      </c>
      <c r="BI282" s="227">
        <v>0</v>
      </c>
      <c r="BJ282" s="227">
        <v>12</v>
      </c>
      <c r="BK282" s="220"/>
      <c r="BL282" s="236">
        <v>0.8</v>
      </c>
      <c r="BM282" s="239">
        <v>0.77</v>
      </c>
      <c r="BN282" s="237"/>
      <c r="BO282" s="238">
        <v>0.95</v>
      </c>
      <c r="BP282" s="229">
        <v>1</v>
      </c>
      <c r="BQ282" s="237">
        <v>2.5000000000000001E-3</v>
      </c>
    </row>
    <row r="283" spans="1:69" s="207" customFormat="1" ht="22.35" customHeight="1" x14ac:dyDescent="0.2">
      <c r="A283" s="216" t="s">
        <v>339</v>
      </c>
      <c r="B283" s="216" t="s">
        <v>340</v>
      </c>
      <c r="C283" s="216" t="s">
        <v>354</v>
      </c>
      <c r="D283" s="217">
        <v>5.0444772765555603</v>
      </c>
      <c r="E283" s="218"/>
      <c r="F283" s="219">
        <v>4.5999999999999999E-2</v>
      </c>
      <c r="G283" s="219">
        <v>2.9000000000000001E-2</v>
      </c>
      <c r="H283" s="220"/>
      <c r="I283" s="221">
        <v>4</v>
      </c>
      <c r="J283" s="221">
        <v>4</v>
      </c>
      <c r="K283" s="218"/>
      <c r="L283" s="222">
        <v>1628.31556</v>
      </c>
      <c r="M283" s="222">
        <v>1098.26316</v>
      </c>
      <c r="N283" s="222">
        <v>2726.57872</v>
      </c>
      <c r="O283" s="217">
        <v>540.50768206884402</v>
      </c>
      <c r="P283" s="223">
        <v>216.363</v>
      </c>
      <c r="Q283" s="229">
        <v>2.49815209656385</v>
      </c>
      <c r="R283" s="230">
        <v>1534.7281652097699</v>
      </c>
      <c r="S283" s="219">
        <v>0.01</v>
      </c>
      <c r="T283" s="219">
        <v>0.01</v>
      </c>
      <c r="U283" s="226">
        <v>0</v>
      </c>
      <c r="V283" s="227">
        <v>0</v>
      </c>
      <c r="W283" s="218"/>
      <c r="X283" s="226">
        <v>3063.7462500000001</v>
      </c>
      <c r="Y283" s="217">
        <v>607.34662523685097</v>
      </c>
      <c r="Z283" s="228">
        <v>573</v>
      </c>
      <c r="AA283" s="233">
        <v>1.05994175434005</v>
      </c>
      <c r="AB283" s="234">
        <v>-92.663893577238497</v>
      </c>
      <c r="AC283" s="219">
        <v>1.6E-2</v>
      </c>
      <c r="AD283" s="219">
        <v>6.0000000000000001E-3</v>
      </c>
      <c r="AE283" s="227">
        <v>0</v>
      </c>
      <c r="AF283" s="227">
        <v>405</v>
      </c>
      <c r="AG283" s="218"/>
      <c r="AH283" s="231">
        <v>192.1</v>
      </c>
      <c r="AI283" s="217">
        <v>38.081249942941298</v>
      </c>
      <c r="AJ283" s="232" t="s">
        <v>53</v>
      </c>
      <c r="AK283" s="224">
        <v>0.60446428480859205</v>
      </c>
      <c r="AL283" s="225">
        <v>-154.939858717916</v>
      </c>
      <c r="AM283" s="219"/>
      <c r="AN283" s="219"/>
      <c r="AO283" s="227">
        <v>126</v>
      </c>
      <c r="AP283" s="227">
        <v>190</v>
      </c>
      <c r="AQ283" s="218"/>
      <c r="AR283" s="231">
        <v>26.8</v>
      </c>
      <c r="AS283" s="217">
        <v>5.3127407520605301</v>
      </c>
      <c r="AT283" s="232" t="s">
        <v>54</v>
      </c>
      <c r="AU283" s="224">
        <v>0.33204629700378302</v>
      </c>
      <c r="AV283" s="225">
        <v>-61.337106975978699</v>
      </c>
      <c r="AW283" s="219"/>
      <c r="AX283" s="219"/>
      <c r="AY283" s="227">
        <v>54</v>
      </c>
      <c r="AZ283" s="227">
        <v>71</v>
      </c>
      <c r="BA283" s="218"/>
      <c r="BB283" s="235">
        <v>182.2</v>
      </c>
      <c r="BC283" s="231">
        <v>36.118707650202502</v>
      </c>
      <c r="BD283" s="232" t="s">
        <v>55</v>
      </c>
      <c r="BE283" s="229">
        <v>1.12870961406883</v>
      </c>
      <c r="BF283" s="230">
        <v>5.9257860480425402</v>
      </c>
      <c r="BG283" s="219">
        <v>0.02</v>
      </c>
      <c r="BH283" s="219">
        <v>1.2999999999999999E-2</v>
      </c>
      <c r="BI283" s="227">
        <v>0</v>
      </c>
      <c r="BJ283" s="227">
        <v>12</v>
      </c>
      <c r="BK283" s="220"/>
      <c r="BL283" s="236">
        <v>0.8</v>
      </c>
      <c r="BM283" s="239">
        <v>0.79</v>
      </c>
      <c r="BN283" s="237"/>
      <c r="BO283" s="238">
        <v>0.95</v>
      </c>
      <c r="BP283" s="229">
        <v>1</v>
      </c>
      <c r="BQ283" s="237">
        <v>2.5000000000000001E-3</v>
      </c>
    </row>
    <row r="284" spans="1:69" s="207" customFormat="1" ht="22.35" customHeight="1" x14ac:dyDescent="0.2">
      <c r="A284" s="216" t="s">
        <v>339</v>
      </c>
      <c r="B284" s="216" t="s">
        <v>340</v>
      </c>
      <c r="C284" s="216" t="s">
        <v>355</v>
      </c>
      <c r="D284" s="217">
        <v>3.2630691803333298</v>
      </c>
      <c r="E284" s="218"/>
      <c r="F284" s="219">
        <v>4.3999999999999997E-2</v>
      </c>
      <c r="G284" s="219">
        <v>2.8000000000000001E-2</v>
      </c>
      <c r="H284" s="220"/>
      <c r="I284" s="221">
        <v>6</v>
      </c>
      <c r="J284" s="221">
        <v>5</v>
      </c>
      <c r="K284" s="218"/>
      <c r="L284" s="222">
        <v>2012.2664299999999</v>
      </c>
      <c r="M284" s="222">
        <v>806.86382000000003</v>
      </c>
      <c r="N284" s="222">
        <v>2819.1302500000002</v>
      </c>
      <c r="O284" s="217">
        <v>863.95050003567997</v>
      </c>
      <c r="P284" s="223">
        <v>249.714</v>
      </c>
      <c r="Q284" s="229">
        <v>3.4597599655433</v>
      </c>
      <c r="R284" s="230">
        <v>1929.3314594308499</v>
      </c>
      <c r="S284" s="219">
        <v>0.01</v>
      </c>
      <c r="T284" s="219">
        <v>0.01</v>
      </c>
      <c r="U284" s="226">
        <v>0</v>
      </c>
      <c r="V284" s="227">
        <v>0</v>
      </c>
      <c r="W284" s="218"/>
      <c r="X284" s="226">
        <v>1763.1288999999999</v>
      </c>
      <c r="Y284" s="217">
        <v>540.328384891886</v>
      </c>
      <c r="Z284" s="228">
        <v>573</v>
      </c>
      <c r="AA284" s="233">
        <v>0.94298147450590897</v>
      </c>
      <c r="AB284" s="234">
        <v>-278.62569524144999</v>
      </c>
      <c r="AC284" s="219">
        <v>4.0000000000000001E-3</v>
      </c>
      <c r="AD284" s="219"/>
      <c r="AE284" s="227">
        <v>107</v>
      </c>
      <c r="AF284" s="227">
        <v>481</v>
      </c>
      <c r="AG284" s="218"/>
      <c r="AH284" s="231">
        <v>205.8</v>
      </c>
      <c r="AI284" s="217">
        <v>63.069456584115997</v>
      </c>
      <c r="AJ284" s="232" t="s">
        <v>53</v>
      </c>
      <c r="AK284" s="233">
        <v>1.00110248546216</v>
      </c>
      <c r="AL284" s="234">
        <v>-18.686107330211801</v>
      </c>
      <c r="AM284" s="219">
        <v>0.01</v>
      </c>
      <c r="AN284" s="219">
        <v>1E-3</v>
      </c>
      <c r="AO284" s="227">
        <v>0</v>
      </c>
      <c r="AP284" s="227">
        <v>41</v>
      </c>
      <c r="AQ284" s="218"/>
      <c r="AR284" s="231">
        <v>13.3</v>
      </c>
      <c r="AS284" s="217">
        <v>4.0759172622387903</v>
      </c>
      <c r="AT284" s="232" t="s">
        <v>54</v>
      </c>
      <c r="AU284" s="224">
        <v>0.254744828889924</v>
      </c>
      <c r="AV284" s="225">
        <v>-43.712344718783903</v>
      </c>
      <c r="AW284" s="219"/>
      <c r="AX284" s="219"/>
      <c r="AY284" s="227">
        <v>39</v>
      </c>
      <c r="AZ284" s="227">
        <v>50</v>
      </c>
      <c r="BA284" s="218"/>
      <c r="BB284" s="235">
        <v>122.2</v>
      </c>
      <c r="BC284" s="231">
        <v>37.449405221472098</v>
      </c>
      <c r="BD284" s="232" t="s">
        <v>55</v>
      </c>
      <c r="BE284" s="229">
        <v>1.170293913171</v>
      </c>
      <c r="BF284" s="230">
        <v>8.1753105624321201</v>
      </c>
      <c r="BG284" s="219">
        <v>0.02</v>
      </c>
      <c r="BH284" s="219">
        <v>1.7000000000000001E-2</v>
      </c>
      <c r="BI284" s="227">
        <v>0</v>
      </c>
      <c r="BJ284" s="227">
        <v>4</v>
      </c>
      <c r="BK284" s="220"/>
      <c r="BL284" s="236">
        <v>0.8</v>
      </c>
      <c r="BM284" s="233">
        <v>0.84</v>
      </c>
      <c r="BN284" s="237">
        <v>1.5E-3</v>
      </c>
      <c r="BO284" s="238">
        <v>0.95</v>
      </c>
      <c r="BP284" s="229">
        <v>1</v>
      </c>
      <c r="BQ284" s="237">
        <v>2.5000000000000001E-3</v>
      </c>
    </row>
    <row r="285" spans="1:69" s="207" customFormat="1" ht="22.35" customHeight="1" x14ac:dyDescent="0.2">
      <c r="A285" s="216" t="s">
        <v>339</v>
      </c>
      <c r="B285" s="216" t="s">
        <v>340</v>
      </c>
      <c r="C285" s="216" t="s">
        <v>356</v>
      </c>
      <c r="D285" s="217">
        <v>2.6091871092222201</v>
      </c>
      <c r="E285" s="218"/>
      <c r="F285" s="219">
        <v>6.0999999999999999E-2</v>
      </c>
      <c r="G285" s="219">
        <v>5.0999999999999997E-2</v>
      </c>
      <c r="H285" s="220"/>
      <c r="I285" s="221">
        <v>6</v>
      </c>
      <c r="J285" s="221">
        <v>6</v>
      </c>
      <c r="K285" s="218"/>
      <c r="L285" s="222">
        <v>770.84589000000005</v>
      </c>
      <c r="M285" s="222">
        <v>230.63695999999999</v>
      </c>
      <c r="N285" s="222">
        <v>1001.48285</v>
      </c>
      <c r="O285" s="217">
        <v>383.829448819611</v>
      </c>
      <c r="P285" s="223">
        <v>212.5</v>
      </c>
      <c r="Q285" s="229">
        <v>1.8062562297393501</v>
      </c>
      <c r="R285" s="230">
        <v>396.02098130498399</v>
      </c>
      <c r="S285" s="219">
        <v>0.01</v>
      </c>
      <c r="T285" s="219">
        <v>0.01</v>
      </c>
      <c r="U285" s="226">
        <v>0</v>
      </c>
      <c r="V285" s="227">
        <v>0</v>
      </c>
      <c r="W285" s="218"/>
      <c r="X285" s="226">
        <v>1860.5121549999999</v>
      </c>
      <c r="Y285" s="217">
        <v>713.06199100247898</v>
      </c>
      <c r="Z285" s="228">
        <v>573</v>
      </c>
      <c r="AA285" s="229">
        <v>1.24443628447204</v>
      </c>
      <c r="AB285" s="230">
        <v>227.90203376590901</v>
      </c>
      <c r="AC285" s="219">
        <v>0.02</v>
      </c>
      <c r="AD285" s="219">
        <v>0.02</v>
      </c>
      <c r="AE285" s="227">
        <v>0</v>
      </c>
      <c r="AF285" s="227">
        <v>0</v>
      </c>
      <c r="AG285" s="218"/>
      <c r="AH285" s="231">
        <v>165.4</v>
      </c>
      <c r="AI285" s="217">
        <v>63.391390910751703</v>
      </c>
      <c r="AJ285" s="232" t="s">
        <v>53</v>
      </c>
      <c r="AK285" s="233">
        <v>1.00621255413892</v>
      </c>
      <c r="AL285" s="234">
        <v>-14.101636366051901</v>
      </c>
      <c r="AM285" s="219">
        <v>1.0999999999999999E-2</v>
      </c>
      <c r="AN285" s="219">
        <v>1E-3</v>
      </c>
      <c r="AO285" s="227">
        <v>0</v>
      </c>
      <c r="AP285" s="227">
        <v>32</v>
      </c>
      <c r="AQ285" s="218"/>
      <c r="AR285" s="231">
        <v>12.2</v>
      </c>
      <c r="AS285" s="217">
        <v>4.6757857866455304</v>
      </c>
      <c r="AT285" s="232" t="s">
        <v>54</v>
      </c>
      <c r="AU285" s="224">
        <v>0.29223661166534598</v>
      </c>
      <c r="AV285" s="225">
        <v>-33.387717172330603</v>
      </c>
      <c r="AW285" s="219"/>
      <c r="AX285" s="219"/>
      <c r="AY285" s="227">
        <v>30</v>
      </c>
      <c r="AZ285" s="227">
        <v>38</v>
      </c>
      <c r="BA285" s="218"/>
      <c r="BB285" s="235">
        <v>117</v>
      </c>
      <c r="BC285" s="231">
        <v>44.841552216190699</v>
      </c>
      <c r="BD285" s="232" t="s">
        <v>55</v>
      </c>
      <c r="BE285" s="229">
        <v>1.40129850675596</v>
      </c>
      <c r="BF285" s="230">
        <v>25.824565655338699</v>
      </c>
      <c r="BG285" s="219">
        <v>0.02</v>
      </c>
      <c r="BH285" s="219">
        <v>0.02</v>
      </c>
      <c r="BI285" s="227">
        <v>0</v>
      </c>
      <c r="BJ285" s="227">
        <v>0</v>
      </c>
      <c r="BK285" s="220"/>
      <c r="BL285" s="236">
        <v>0.8</v>
      </c>
      <c r="BM285" s="233">
        <v>0.85</v>
      </c>
      <c r="BN285" s="237">
        <v>1.8749999999999999E-3</v>
      </c>
      <c r="BO285" s="238">
        <v>0.95</v>
      </c>
      <c r="BP285" s="229">
        <v>1</v>
      </c>
      <c r="BQ285" s="237">
        <v>2.5000000000000001E-3</v>
      </c>
    </row>
    <row r="286" spans="1:69" s="207" customFormat="1" ht="22.35" customHeight="1" x14ac:dyDescent="0.2">
      <c r="A286" s="216" t="s">
        <v>339</v>
      </c>
      <c r="B286" s="216" t="s">
        <v>357</v>
      </c>
      <c r="C286" s="216" t="s">
        <v>358</v>
      </c>
      <c r="D286" s="217">
        <v>2.5673660413333299</v>
      </c>
      <c r="E286" s="218"/>
      <c r="F286" s="219">
        <v>7.0000000000000007E-2</v>
      </c>
      <c r="G286" s="219">
        <v>7.0000000000000007E-2</v>
      </c>
      <c r="H286" s="220"/>
      <c r="I286" s="221">
        <v>6</v>
      </c>
      <c r="J286" s="221">
        <v>6</v>
      </c>
      <c r="K286" s="218"/>
      <c r="L286" s="222">
        <v>2034.1059399999999</v>
      </c>
      <c r="M286" s="222">
        <v>1300.2124899999999</v>
      </c>
      <c r="N286" s="222">
        <v>3334.3184299999998</v>
      </c>
      <c r="O286" s="217">
        <v>1298.7312195920299</v>
      </c>
      <c r="P286" s="223">
        <v>212.5</v>
      </c>
      <c r="Q286" s="229">
        <v>6.1116763274919101</v>
      </c>
      <c r="R286" s="230">
        <v>2738.5611401085998</v>
      </c>
      <c r="S286" s="219">
        <v>0.01</v>
      </c>
      <c r="T286" s="219">
        <v>0.01</v>
      </c>
      <c r="U286" s="226">
        <v>0</v>
      </c>
      <c r="V286" s="227">
        <v>0</v>
      </c>
      <c r="W286" s="218"/>
      <c r="X286" s="226">
        <v>2171.9652900000001</v>
      </c>
      <c r="Y286" s="217">
        <v>845.98972450068504</v>
      </c>
      <c r="Z286" s="228">
        <v>573</v>
      </c>
      <c r="AA286" s="229">
        <v>1.47642185776734</v>
      </c>
      <c r="AB286" s="230">
        <v>565.52328008107395</v>
      </c>
      <c r="AC286" s="219">
        <v>0.02</v>
      </c>
      <c r="AD286" s="219">
        <v>0.02</v>
      </c>
      <c r="AE286" s="227">
        <v>0</v>
      </c>
      <c r="AF286" s="227">
        <v>0</v>
      </c>
      <c r="AG286" s="218"/>
      <c r="AH286" s="231">
        <v>211.3</v>
      </c>
      <c r="AI286" s="217">
        <v>82.302249308502795</v>
      </c>
      <c r="AJ286" s="232" t="s">
        <v>53</v>
      </c>
      <c r="AK286" s="229">
        <v>1.3063849096587801</v>
      </c>
      <c r="AL286" s="230">
        <v>34.675485820432201</v>
      </c>
      <c r="AM286" s="219">
        <v>0.02</v>
      </c>
      <c r="AN286" s="219">
        <v>0.02</v>
      </c>
      <c r="AO286" s="227">
        <v>0</v>
      </c>
      <c r="AP286" s="227">
        <v>0</v>
      </c>
      <c r="AQ286" s="218"/>
      <c r="AR286" s="231">
        <v>22.4</v>
      </c>
      <c r="AS286" s="217">
        <v>8.7248953360646606</v>
      </c>
      <c r="AT286" s="232" t="s">
        <v>54</v>
      </c>
      <c r="AU286" s="224">
        <v>0.54530595850404096</v>
      </c>
      <c r="AV286" s="225">
        <v>-22.457019474175901</v>
      </c>
      <c r="AW286" s="219"/>
      <c r="AX286" s="219"/>
      <c r="AY286" s="227">
        <v>19</v>
      </c>
      <c r="AZ286" s="227">
        <v>27</v>
      </c>
      <c r="BA286" s="218"/>
      <c r="BB286" s="235">
        <v>131.4</v>
      </c>
      <c r="BC286" s="231">
        <v>51.180859248165</v>
      </c>
      <c r="BD286" s="232" t="s">
        <v>55</v>
      </c>
      <c r="BE286" s="229">
        <v>1.59940185150516</v>
      </c>
      <c r="BF286" s="230">
        <v>41.6859610516481</v>
      </c>
      <c r="BG286" s="219">
        <v>0.02</v>
      </c>
      <c r="BH286" s="219">
        <v>0.02</v>
      </c>
      <c r="BI286" s="227">
        <v>0</v>
      </c>
      <c r="BJ286" s="227">
        <v>0</v>
      </c>
      <c r="BK286" s="220"/>
      <c r="BL286" s="236">
        <v>0.8</v>
      </c>
      <c r="BM286" s="233">
        <v>0.81</v>
      </c>
      <c r="BN286" s="237">
        <v>3.7500000000000001E-4</v>
      </c>
      <c r="BO286" s="238">
        <v>0.95</v>
      </c>
      <c r="BP286" s="229">
        <v>1</v>
      </c>
      <c r="BQ286" s="237">
        <v>2.5000000000000001E-3</v>
      </c>
    </row>
    <row r="287" spans="1:69" s="207" customFormat="1" ht="22.35" customHeight="1" x14ac:dyDescent="0.2">
      <c r="A287" s="216" t="s">
        <v>339</v>
      </c>
      <c r="B287" s="216" t="s">
        <v>357</v>
      </c>
      <c r="C287" s="216" t="s">
        <v>359</v>
      </c>
      <c r="D287" s="217">
        <v>2.9278143756666699</v>
      </c>
      <c r="E287" s="218"/>
      <c r="F287" s="219">
        <v>6.8000000000000005E-2</v>
      </c>
      <c r="G287" s="219">
        <v>5.3999999999999999E-2</v>
      </c>
      <c r="H287" s="220"/>
      <c r="I287" s="221">
        <v>6</v>
      </c>
      <c r="J287" s="221">
        <v>6</v>
      </c>
      <c r="K287" s="218"/>
      <c r="L287" s="222">
        <v>1753.98982</v>
      </c>
      <c r="M287" s="222">
        <v>1013.408</v>
      </c>
      <c r="N287" s="222">
        <v>2767.3978200000001</v>
      </c>
      <c r="O287" s="217">
        <v>945.20945145979795</v>
      </c>
      <c r="P287" s="223">
        <v>220.75700000000001</v>
      </c>
      <c r="Q287" s="229">
        <v>4.2816737474227198</v>
      </c>
      <c r="R287" s="230">
        <v>2061.5994342030799</v>
      </c>
      <c r="S287" s="219">
        <v>0.01</v>
      </c>
      <c r="T287" s="219">
        <v>0.01</v>
      </c>
      <c r="U287" s="226">
        <v>0</v>
      </c>
      <c r="V287" s="227">
        <v>0</v>
      </c>
      <c r="W287" s="218"/>
      <c r="X287" s="226">
        <v>1960.322905</v>
      </c>
      <c r="Y287" s="217">
        <v>669.55163595493696</v>
      </c>
      <c r="Z287" s="228">
        <v>573</v>
      </c>
      <c r="AA287" s="229">
        <v>1.1685019824693501</v>
      </c>
      <c r="AB287" s="230">
        <v>128.34260511535399</v>
      </c>
      <c r="AC287" s="219">
        <v>0.02</v>
      </c>
      <c r="AD287" s="219">
        <v>1.7000000000000001E-2</v>
      </c>
      <c r="AE287" s="227">
        <v>0</v>
      </c>
      <c r="AF287" s="227">
        <v>53</v>
      </c>
      <c r="AG287" s="218"/>
      <c r="AH287" s="231">
        <v>197.9</v>
      </c>
      <c r="AI287" s="217">
        <v>67.593082964809895</v>
      </c>
      <c r="AJ287" s="232" t="s">
        <v>53</v>
      </c>
      <c r="AK287" s="233">
        <v>1.0729060788065099</v>
      </c>
      <c r="AL287" s="234">
        <v>-3.5219177883642501</v>
      </c>
      <c r="AM287" s="219">
        <v>1.7999999999999999E-2</v>
      </c>
      <c r="AN287" s="219">
        <v>7.0000000000000001E-3</v>
      </c>
      <c r="AO287" s="227">
        <v>0</v>
      </c>
      <c r="AP287" s="227">
        <v>24</v>
      </c>
      <c r="AQ287" s="218"/>
      <c r="AR287" s="231">
        <v>11</v>
      </c>
      <c r="AS287" s="217">
        <v>3.7570687853103002</v>
      </c>
      <c r="AT287" s="232" t="s">
        <v>54</v>
      </c>
      <c r="AU287" s="224">
        <v>0.23481679908189401</v>
      </c>
      <c r="AV287" s="225">
        <v>-40.154772771648098</v>
      </c>
      <c r="AW287" s="219"/>
      <c r="AX287" s="219"/>
      <c r="AY287" s="227">
        <v>36</v>
      </c>
      <c r="AZ287" s="227">
        <v>46</v>
      </c>
      <c r="BA287" s="218"/>
      <c r="BB287" s="235">
        <v>118.8</v>
      </c>
      <c r="BC287" s="231">
        <v>40.576342881351202</v>
      </c>
      <c r="BD287" s="232" t="s">
        <v>55</v>
      </c>
      <c r="BE287" s="229">
        <v>1.26801071504223</v>
      </c>
      <c r="BF287" s="230">
        <v>16.490454456703901</v>
      </c>
      <c r="BG287" s="219">
        <v>0.02</v>
      </c>
      <c r="BH287" s="219">
        <v>0.02</v>
      </c>
      <c r="BI287" s="227">
        <v>0</v>
      </c>
      <c r="BJ287" s="227">
        <v>0</v>
      </c>
      <c r="BK287" s="220"/>
      <c r="BL287" s="236">
        <v>0.8</v>
      </c>
      <c r="BM287" s="233">
        <v>0.87</v>
      </c>
      <c r="BN287" s="237">
        <v>2.6250000000000002E-3</v>
      </c>
      <c r="BO287" s="238">
        <v>0.95</v>
      </c>
      <c r="BP287" s="229">
        <v>1</v>
      </c>
      <c r="BQ287" s="237">
        <v>2.5000000000000001E-3</v>
      </c>
    </row>
    <row r="288" spans="1:69" s="207" customFormat="1" ht="22.35" customHeight="1" x14ac:dyDescent="0.2">
      <c r="A288" s="216" t="s">
        <v>339</v>
      </c>
      <c r="B288" s="216" t="s">
        <v>357</v>
      </c>
      <c r="C288" s="216" t="s">
        <v>360</v>
      </c>
      <c r="D288" s="217">
        <v>3.9837235643333302</v>
      </c>
      <c r="E288" s="218"/>
      <c r="F288" s="219">
        <v>3.4000000000000002E-2</v>
      </c>
      <c r="G288" s="219">
        <v>1.4999999999999999E-2</v>
      </c>
      <c r="H288" s="220"/>
      <c r="I288" s="221">
        <v>5</v>
      </c>
      <c r="J288" s="221">
        <v>4</v>
      </c>
      <c r="K288" s="218"/>
      <c r="L288" s="222">
        <v>1836.29216</v>
      </c>
      <c r="M288" s="222">
        <v>303.46744999999999</v>
      </c>
      <c r="N288" s="222">
        <v>2139.7596100000001</v>
      </c>
      <c r="O288" s="217">
        <v>537.125524762179</v>
      </c>
      <c r="P288" s="223">
        <v>222.58099999999999</v>
      </c>
      <c r="Q288" s="229">
        <v>2.4131688004015599</v>
      </c>
      <c r="R288" s="230">
        <v>1171.4819272572199</v>
      </c>
      <c r="S288" s="219">
        <v>0.01</v>
      </c>
      <c r="T288" s="219">
        <v>0.01</v>
      </c>
      <c r="U288" s="226">
        <v>0</v>
      </c>
      <c r="V288" s="227">
        <v>0</v>
      </c>
      <c r="W288" s="218"/>
      <c r="X288" s="226">
        <v>2262.2503000000002</v>
      </c>
      <c r="Y288" s="217">
        <v>567.87331336294199</v>
      </c>
      <c r="Z288" s="228">
        <v>573</v>
      </c>
      <c r="AA288" s="233">
        <v>0.99105290290216796</v>
      </c>
      <c r="AB288" s="234">
        <v>-230.429273780394</v>
      </c>
      <c r="AC288" s="219">
        <v>8.9999999999999993E-3</v>
      </c>
      <c r="AD288" s="219"/>
      <c r="AE288" s="227">
        <v>21</v>
      </c>
      <c r="AF288" s="227">
        <v>477</v>
      </c>
      <c r="AG288" s="218"/>
      <c r="AH288" s="231">
        <v>191.45</v>
      </c>
      <c r="AI288" s="217">
        <v>48.058053453826602</v>
      </c>
      <c r="AJ288" s="232" t="s">
        <v>53</v>
      </c>
      <c r="AK288" s="239">
        <v>0.76282624529883503</v>
      </c>
      <c r="AL288" s="222">
        <v>-82.614246331875805</v>
      </c>
      <c r="AM288" s="219"/>
      <c r="AN288" s="219"/>
      <c r="AO288" s="227">
        <v>60</v>
      </c>
      <c r="AP288" s="227">
        <v>110</v>
      </c>
      <c r="AQ288" s="218"/>
      <c r="AR288" s="231">
        <v>12.8</v>
      </c>
      <c r="AS288" s="217">
        <v>3.2130743494853999</v>
      </c>
      <c r="AT288" s="232" t="s">
        <v>54</v>
      </c>
      <c r="AU288" s="224">
        <v>0.200817146842837</v>
      </c>
      <c r="AV288" s="225">
        <v>-56.803618116031899</v>
      </c>
      <c r="AW288" s="219"/>
      <c r="AX288" s="219"/>
      <c r="AY288" s="227">
        <v>51</v>
      </c>
      <c r="AZ288" s="227">
        <v>64</v>
      </c>
      <c r="BA288" s="218"/>
      <c r="BB288" s="235">
        <v>133.6</v>
      </c>
      <c r="BC288" s="231">
        <v>33.536463522753898</v>
      </c>
      <c r="BD288" s="232" t="s">
        <v>55</v>
      </c>
      <c r="BE288" s="233">
        <v>1.04801448508606</v>
      </c>
      <c r="BF288" s="234">
        <v>-5.6072362320638804</v>
      </c>
      <c r="BG288" s="219">
        <v>1.4999999999999999E-2</v>
      </c>
      <c r="BH288" s="219">
        <v>5.0000000000000001E-3</v>
      </c>
      <c r="BI288" s="227">
        <v>0</v>
      </c>
      <c r="BJ288" s="227">
        <v>20</v>
      </c>
      <c r="BK288" s="220"/>
      <c r="BL288" s="236">
        <v>0.8</v>
      </c>
      <c r="BM288" s="233">
        <v>0.82</v>
      </c>
      <c r="BN288" s="237">
        <v>7.5000000000000002E-4</v>
      </c>
      <c r="BO288" s="238">
        <v>0.95</v>
      </c>
      <c r="BP288" s="229">
        <v>1</v>
      </c>
      <c r="BQ288" s="237">
        <v>2.5000000000000001E-3</v>
      </c>
    </row>
    <row r="289" spans="1:69" s="207" customFormat="1" ht="22.35" customHeight="1" x14ac:dyDescent="0.2">
      <c r="A289" s="216" t="s">
        <v>339</v>
      </c>
      <c r="B289" s="216" t="s">
        <v>357</v>
      </c>
      <c r="C289" s="216" t="s">
        <v>361</v>
      </c>
      <c r="D289" s="217">
        <v>5.0138817773333297</v>
      </c>
      <c r="E289" s="218"/>
      <c r="F289" s="219">
        <v>5.0999999999999997E-2</v>
      </c>
      <c r="G289" s="219">
        <v>3.4000000000000002E-2</v>
      </c>
      <c r="H289" s="220"/>
      <c r="I289" s="221">
        <v>6</v>
      </c>
      <c r="J289" s="221">
        <v>5</v>
      </c>
      <c r="K289" s="218"/>
      <c r="L289" s="222">
        <v>4991.2485999999999</v>
      </c>
      <c r="M289" s="222">
        <v>4067.6492600000001</v>
      </c>
      <c r="N289" s="222">
        <v>9058.8978599999991</v>
      </c>
      <c r="O289" s="217">
        <v>1806.7633546832501</v>
      </c>
      <c r="P289" s="223">
        <v>268.01799999999997</v>
      </c>
      <c r="Q289" s="229">
        <v>6.7412015412518898</v>
      </c>
      <c r="R289" s="230">
        <v>7591.4567217125204</v>
      </c>
      <c r="S289" s="219">
        <v>0.01</v>
      </c>
      <c r="T289" s="219">
        <v>0.01</v>
      </c>
      <c r="U289" s="226">
        <v>0</v>
      </c>
      <c r="V289" s="227">
        <v>0</v>
      </c>
      <c r="W289" s="218"/>
      <c r="X289" s="226">
        <v>3122.2858449999999</v>
      </c>
      <c r="Y289" s="217">
        <v>622.72825400773797</v>
      </c>
      <c r="Z289" s="228">
        <v>573</v>
      </c>
      <c r="AA289" s="233">
        <v>1.0867857836086201</v>
      </c>
      <c r="AB289" s="234">
        <v>-14.9802051859015</v>
      </c>
      <c r="AC289" s="219">
        <v>1.9E-2</v>
      </c>
      <c r="AD289" s="219">
        <v>8.9999999999999993E-3</v>
      </c>
      <c r="AE289" s="227">
        <v>0</v>
      </c>
      <c r="AF289" s="227">
        <v>326</v>
      </c>
      <c r="AG289" s="218"/>
      <c r="AH289" s="231">
        <v>294.14999999999998</v>
      </c>
      <c r="AI289" s="217">
        <v>58.667119222832099</v>
      </c>
      <c r="AJ289" s="232" t="s">
        <v>53</v>
      </c>
      <c r="AK289" s="233">
        <v>0.93122411464812904</v>
      </c>
      <c r="AL289" s="234">
        <v>-50.785010753423798</v>
      </c>
      <c r="AM289" s="219">
        <v>2E-3</v>
      </c>
      <c r="AN289" s="219"/>
      <c r="AO289" s="227">
        <v>22</v>
      </c>
      <c r="AP289" s="227">
        <v>85</v>
      </c>
      <c r="AQ289" s="218"/>
      <c r="AR289" s="231">
        <v>54.5</v>
      </c>
      <c r="AS289" s="217">
        <v>10.869821511624499</v>
      </c>
      <c r="AT289" s="232" t="s">
        <v>54</v>
      </c>
      <c r="AU289" s="224">
        <v>0.67936384447653198</v>
      </c>
      <c r="AV289" s="225">
        <v>-33.102542413567903</v>
      </c>
      <c r="AW289" s="219"/>
      <c r="AX289" s="219"/>
      <c r="AY289" s="227">
        <v>26</v>
      </c>
      <c r="AZ289" s="227">
        <v>42</v>
      </c>
      <c r="BA289" s="218"/>
      <c r="BB289" s="235">
        <v>185.2</v>
      </c>
      <c r="BC289" s="231">
        <v>36.937448512896502</v>
      </c>
      <c r="BD289" s="232" t="s">
        <v>55</v>
      </c>
      <c r="BE289" s="229">
        <v>1.1542952660280199</v>
      </c>
      <c r="BF289" s="230">
        <v>9.9949151728641308</v>
      </c>
      <c r="BG289" s="219">
        <v>0.02</v>
      </c>
      <c r="BH289" s="219">
        <v>1.4999999999999999E-2</v>
      </c>
      <c r="BI289" s="227">
        <v>0</v>
      </c>
      <c r="BJ289" s="227">
        <v>8</v>
      </c>
      <c r="BK289" s="220"/>
      <c r="BL289" s="236">
        <v>0.8</v>
      </c>
      <c r="BM289" s="233">
        <v>0.82</v>
      </c>
      <c r="BN289" s="237">
        <v>7.5000000000000002E-4</v>
      </c>
      <c r="BO289" s="238">
        <v>0.95</v>
      </c>
      <c r="BP289" s="229">
        <v>1</v>
      </c>
      <c r="BQ289" s="237">
        <v>2.5000000000000001E-3</v>
      </c>
    </row>
    <row r="290" spans="1:69" s="207" customFormat="1" ht="22.35" customHeight="1" x14ac:dyDescent="0.2">
      <c r="A290" s="216" t="s">
        <v>339</v>
      </c>
      <c r="B290" s="216" t="s">
        <v>357</v>
      </c>
      <c r="C290" s="216" t="s">
        <v>362</v>
      </c>
      <c r="D290" s="217">
        <v>1.8723945526666701</v>
      </c>
      <c r="E290" s="218"/>
      <c r="F290" s="219">
        <v>7.0000000000000007E-2</v>
      </c>
      <c r="G290" s="219">
        <v>6.8500000000000005E-2</v>
      </c>
      <c r="H290" s="220"/>
      <c r="I290" s="221">
        <v>6</v>
      </c>
      <c r="J290" s="221">
        <v>6</v>
      </c>
      <c r="K290" s="218"/>
      <c r="L290" s="222">
        <v>261.03483999999997</v>
      </c>
      <c r="M290" s="222">
        <v>216.99044000000001</v>
      </c>
      <c r="N290" s="222">
        <v>478.02528000000001</v>
      </c>
      <c r="O290" s="217">
        <v>255.30157589873099</v>
      </c>
      <c r="P290" s="223">
        <v>218.47</v>
      </c>
      <c r="Q290" s="229">
        <v>1.1685887119454901</v>
      </c>
      <c r="R290" s="230">
        <v>31.329534590172599</v>
      </c>
      <c r="S290" s="219">
        <v>0.01</v>
      </c>
      <c r="T290" s="219">
        <v>8.5000000000000006E-3</v>
      </c>
      <c r="U290" s="226">
        <v>0</v>
      </c>
      <c r="V290" s="227">
        <v>13</v>
      </c>
      <c r="W290" s="218"/>
      <c r="X290" s="226">
        <v>1861.2276099999999</v>
      </c>
      <c r="Y290" s="217">
        <v>994.03600985125502</v>
      </c>
      <c r="Z290" s="228">
        <v>573</v>
      </c>
      <c r="AA290" s="229">
        <v>1.73479233830935</v>
      </c>
      <c r="AB290" s="230">
        <v>689.64038008362195</v>
      </c>
      <c r="AC290" s="219">
        <v>0.02</v>
      </c>
      <c r="AD290" s="219">
        <v>0.02</v>
      </c>
      <c r="AE290" s="227">
        <v>0</v>
      </c>
      <c r="AF290" s="227">
        <v>0</v>
      </c>
      <c r="AG290" s="218"/>
      <c r="AH290" s="231">
        <v>173</v>
      </c>
      <c r="AI290" s="217">
        <v>92.395056241545404</v>
      </c>
      <c r="AJ290" s="232" t="s">
        <v>53</v>
      </c>
      <c r="AK290" s="229">
        <v>1.4665881943102499</v>
      </c>
      <c r="AL290" s="230">
        <v>44.186744354743801</v>
      </c>
      <c r="AM290" s="219">
        <v>0.02</v>
      </c>
      <c r="AN290" s="219">
        <v>0.02</v>
      </c>
      <c r="AO290" s="227">
        <v>0</v>
      </c>
      <c r="AP290" s="227">
        <v>0</v>
      </c>
      <c r="AQ290" s="218"/>
      <c r="AR290" s="231">
        <v>8</v>
      </c>
      <c r="AS290" s="217">
        <v>4.2726037568344699</v>
      </c>
      <c r="AT290" s="232" t="s">
        <v>54</v>
      </c>
      <c r="AU290" s="224">
        <v>0.26703773480215398</v>
      </c>
      <c r="AV290" s="225">
        <v>-24.714477624192099</v>
      </c>
      <c r="AW290" s="219"/>
      <c r="AX290" s="219"/>
      <c r="AY290" s="227">
        <v>22</v>
      </c>
      <c r="AZ290" s="227">
        <v>28</v>
      </c>
      <c r="BA290" s="218"/>
      <c r="BB290" s="235">
        <v>85.4</v>
      </c>
      <c r="BC290" s="231">
        <v>45.610045104207998</v>
      </c>
      <c r="BD290" s="232" t="s">
        <v>55</v>
      </c>
      <c r="BE290" s="229">
        <v>1.4253139095064999</v>
      </c>
      <c r="BF290" s="230">
        <v>19.971044751615899</v>
      </c>
      <c r="BG290" s="219">
        <v>0.02</v>
      </c>
      <c r="BH290" s="219">
        <v>0.02</v>
      </c>
      <c r="BI290" s="227">
        <v>0</v>
      </c>
      <c r="BJ290" s="227">
        <v>0</v>
      </c>
      <c r="BK290" s="220"/>
      <c r="BL290" s="236">
        <v>0.8</v>
      </c>
      <c r="BM290" s="233">
        <v>0.84</v>
      </c>
      <c r="BN290" s="237">
        <v>1.5E-3</v>
      </c>
      <c r="BO290" s="238">
        <v>0.95</v>
      </c>
      <c r="BP290" s="229">
        <v>1</v>
      </c>
      <c r="BQ290" s="237">
        <v>2.5000000000000001E-3</v>
      </c>
    </row>
    <row r="291" spans="1:69" s="207" customFormat="1" ht="22.35" customHeight="1" x14ac:dyDescent="0.2">
      <c r="A291" s="216" t="s">
        <v>339</v>
      </c>
      <c r="B291" s="216" t="s">
        <v>357</v>
      </c>
      <c r="C291" s="216" t="s">
        <v>363</v>
      </c>
      <c r="D291" s="217">
        <v>2.0195966231111102</v>
      </c>
      <c r="E291" s="218"/>
      <c r="F291" s="219">
        <v>0.01</v>
      </c>
      <c r="G291" s="219">
        <v>0.01</v>
      </c>
      <c r="H291" s="220"/>
      <c r="I291" s="221">
        <v>2</v>
      </c>
      <c r="J291" s="221">
        <v>2</v>
      </c>
      <c r="K291" s="218"/>
      <c r="L291" s="222">
        <v>1181.7398499999999</v>
      </c>
      <c r="M291" s="222">
        <v>-105.41585000000001</v>
      </c>
      <c r="N291" s="222">
        <v>1076.3240000000001</v>
      </c>
      <c r="O291" s="217">
        <v>532.94008698725395</v>
      </c>
      <c r="P291" s="223">
        <v>212.5</v>
      </c>
      <c r="Q291" s="229">
        <v>2.5079533505282501</v>
      </c>
      <c r="R291" s="230">
        <v>607.67660360706702</v>
      </c>
      <c r="S291" s="219">
        <v>0.01</v>
      </c>
      <c r="T291" s="219">
        <v>0.01</v>
      </c>
      <c r="U291" s="226">
        <v>0</v>
      </c>
      <c r="V291" s="227">
        <v>0</v>
      </c>
      <c r="W291" s="218"/>
      <c r="X291" s="226">
        <v>896.42077500000005</v>
      </c>
      <c r="Y291" s="217">
        <v>443.861296232065</v>
      </c>
      <c r="Z291" s="228">
        <v>573</v>
      </c>
      <c r="AA291" s="239">
        <v>0.77462704403501803</v>
      </c>
      <c r="AB291" s="222">
        <v>-367.27314562659097</v>
      </c>
      <c r="AC291" s="219"/>
      <c r="AD291" s="219"/>
      <c r="AE291" s="227">
        <v>261</v>
      </c>
      <c r="AF291" s="227">
        <v>493</v>
      </c>
      <c r="AG291" s="218"/>
      <c r="AH291" s="231">
        <v>76.7</v>
      </c>
      <c r="AI291" s="217">
        <v>37.977880890812003</v>
      </c>
      <c r="AJ291" s="232" t="s">
        <v>53</v>
      </c>
      <c r="AK291" s="224">
        <v>0.602823506203366</v>
      </c>
      <c r="AL291" s="225">
        <v>-62.2401692835519</v>
      </c>
      <c r="AM291" s="219"/>
      <c r="AN291" s="219"/>
      <c r="AO291" s="227">
        <v>51</v>
      </c>
      <c r="AP291" s="227">
        <v>76</v>
      </c>
      <c r="AQ291" s="218"/>
      <c r="AR291" s="231">
        <v>6</v>
      </c>
      <c r="AS291" s="217">
        <v>2.9708902913281898</v>
      </c>
      <c r="AT291" s="232" t="s">
        <v>54</v>
      </c>
      <c r="AU291" s="224">
        <v>0.185680643208012</v>
      </c>
      <c r="AV291" s="225">
        <v>-29.286392198997302</v>
      </c>
      <c r="AW291" s="219"/>
      <c r="AX291" s="219"/>
      <c r="AY291" s="227">
        <v>27</v>
      </c>
      <c r="AZ291" s="227">
        <v>33</v>
      </c>
      <c r="BA291" s="218"/>
      <c r="BB291" s="235">
        <v>55</v>
      </c>
      <c r="BC291" s="231">
        <v>27.233161003841701</v>
      </c>
      <c r="BD291" s="232" t="s">
        <v>55</v>
      </c>
      <c r="BE291" s="239">
        <v>0.85103628137005505</v>
      </c>
      <c r="BF291" s="222">
        <v>-15.572784397994599</v>
      </c>
      <c r="BG291" s="219"/>
      <c r="BH291" s="219"/>
      <c r="BI291" s="227">
        <v>10</v>
      </c>
      <c r="BJ291" s="227">
        <v>23</v>
      </c>
      <c r="BK291" s="220"/>
      <c r="BL291" s="236">
        <v>0.8</v>
      </c>
      <c r="BM291" s="239">
        <v>0.75</v>
      </c>
      <c r="BN291" s="237"/>
      <c r="BO291" s="238">
        <v>0.95</v>
      </c>
      <c r="BP291" s="229">
        <v>1</v>
      </c>
      <c r="BQ291" s="237">
        <v>2.5000000000000001E-3</v>
      </c>
    </row>
    <row r="292" spans="1:69" s="207" customFormat="1" ht="22.35" customHeight="1" x14ac:dyDescent="0.2">
      <c r="A292" s="216" t="s">
        <v>339</v>
      </c>
      <c r="B292" s="216" t="s">
        <v>357</v>
      </c>
      <c r="C292" s="216" t="s">
        <v>364</v>
      </c>
      <c r="D292" s="217">
        <v>2.89402288477778</v>
      </c>
      <c r="E292" s="218"/>
      <c r="F292" s="219">
        <v>0.01</v>
      </c>
      <c r="G292" s="219">
        <v>0.01</v>
      </c>
      <c r="H292" s="220"/>
      <c r="I292" s="221">
        <v>3</v>
      </c>
      <c r="J292" s="221">
        <v>3</v>
      </c>
      <c r="K292" s="218"/>
      <c r="L292" s="222">
        <v>1071.0959399999999</v>
      </c>
      <c r="M292" s="222">
        <v>575.09711000000004</v>
      </c>
      <c r="N292" s="222">
        <v>1646.1930500000001</v>
      </c>
      <c r="O292" s="217">
        <v>568.82516674584099</v>
      </c>
      <c r="P292" s="223">
        <v>212.5</v>
      </c>
      <c r="Q292" s="229">
        <v>2.6768243140980799</v>
      </c>
      <c r="R292" s="230">
        <v>974.63503958731599</v>
      </c>
      <c r="S292" s="219">
        <v>0.01</v>
      </c>
      <c r="T292" s="219">
        <v>0.01</v>
      </c>
      <c r="U292" s="226">
        <v>0</v>
      </c>
      <c r="V292" s="227">
        <v>0</v>
      </c>
      <c r="W292" s="218"/>
      <c r="X292" s="226">
        <v>1364.4360650000001</v>
      </c>
      <c r="Y292" s="217">
        <v>471.46692314590001</v>
      </c>
      <c r="Z292" s="228">
        <v>573</v>
      </c>
      <c r="AA292" s="239">
        <v>0.82280440339598604</v>
      </c>
      <c r="AB292" s="222">
        <v>-446.40035837161298</v>
      </c>
      <c r="AC292" s="219"/>
      <c r="AD292" s="219"/>
      <c r="AE292" s="227">
        <v>294</v>
      </c>
      <c r="AF292" s="227">
        <v>626</v>
      </c>
      <c r="AG292" s="218"/>
      <c r="AH292" s="231">
        <v>92.4</v>
      </c>
      <c r="AI292" s="217">
        <v>31.9278746847557</v>
      </c>
      <c r="AJ292" s="232" t="s">
        <v>53</v>
      </c>
      <c r="AK292" s="224">
        <v>0.506791661662788</v>
      </c>
      <c r="AL292" s="225">
        <v>-106.697198381172</v>
      </c>
      <c r="AM292" s="219"/>
      <c r="AN292" s="219"/>
      <c r="AO292" s="227">
        <v>90</v>
      </c>
      <c r="AP292" s="227">
        <v>127</v>
      </c>
      <c r="AQ292" s="218"/>
      <c r="AR292" s="231">
        <v>1</v>
      </c>
      <c r="AS292" s="217">
        <v>0.34553976931553798</v>
      </c>
      <c r="AT292" s="232" t="s">
        <v>54</v>
      </c>
      <c r="AU292" s="224">
        <v>2.15962355822211E-2</v>
      </c>
      <c r="AV292" s="225">
        <v>-49.564367842837399</v>
      </c>
      <c r="AW292" s="219"/>
      <c r="AX292" s="219"/>
      <c r="AY292" s="227">
        <v>46</v>
      </c>
      <c r="AZ292" s="227">
        <v>55</v>
      </c>
      <c r="BA292" s="218"/>
      <c r="BB292" s="235">
        <v>63.2</v>
      </c>
      <c r="BC292" s="231">
        <v>21.838113420742001</v>
      </c>
      <c r="BD292" s="232" t="s">
        <v>55</v>
      </c>
      <c r="BE292" s="224">
        <v>0.68244104439818698</v>
      </c>
      <c r="BF292" s="225">
        <v>-37.928735685674802</v>
      </c>
      <c r="BG292" s="219"/>
      <c r="BH292" s="219"/>
      <c r="BI292" s="227">
        <v>30</v>
      </c>
      <c r="BJ292" s="227">
        <v>48</v>
      </c>
      <c r="BK292" s="220"/>
      <c r="BL292" s="236">
        <v>0.8</v>
      </c>
      <c r="BM292" s="233">
        <v>0.85</v>
      </c>
      <c r="BN292" s="237">
        <v>1.8749999999999999E-3</v>
      </c>
      <c r="BO292" s="238">
        <v>0.95</v>
      </c>
      <c r="BP292" s="229">
        <v>1</v>
      </c>
      <c r="BQ292" s="237">
        <v>2.5000000000000001E-3</v>
      </c>
    </row>
    <row r="293" spans="1:69" s="207" customFormat="1" ht="22.35" customHeight="1" x14ac:dyDescent="0.2">
      <c r="A293" s="216" t="s">
        <v>339</v>
      </c>
      <c r="B293" s="216" t="s">
        <v>357</v>
      </c>
      <c r="C293" s="216" t="s">
        <v>365</v>
      </c>
      <c r="D293" s="217">
        <v>3.7017378756666699</v>
      </c>
      <c r="E293" s="218"/>
      <c r="F293" s="219">
        <v>0.04</v>
      </c>
      <c r="G293" s="219">
        <v>2.1999999999999999E-2</v>
      </c>
      <c r="H293" s="220"/>
      <c r="I293" s="221">
        <v>4</v>
      </c>
      <c r="J293" s="221">
        <v>4</v>
      </c>
      <c r="K293" s="218"/>
      <c r="L293" s="222">
        <v>2120.3780499999998</v>
      </c>
      <c r="M293" s="222">
        <v>-394.74322000000001</v>
      </c>
      <c r="N293" s="222">
        <v>1725.63483</v>
      </c>
      <c r="O293" s="217">
        <v>466.168834196349</v>
      </c>
      <c r="P293" s="223">
        <v>229.78899999999999</v>
      </c>
      <c r="Q293" s="229">
        <v>2.0286821135752802</v>
      </c>
      <c r="R293" s="230">
        <v>796.75926997496697</v>
      </c>
      <c r="S293" s="219">
        <v>0.01</v>
      </c>
      <c r="T293" s="219">
        <v>0.01</v>
      </c>
      <c r="U293" s="226">
        <v>0</v>
      </c>
      <c r="V293" s="227">
        <v>0</v>
      </c>
      <c r="W293" s="218"/>
      <c r="X293" s="226">
        <v>2126.98389</v>
      </c>
      <c r="Y293" s="217">
        <v>574.59062781881596</v>
      </c>
      <c r="Z293" s="228">
        <v>573</v>
      </c>
      <c r="AA293" s="233">
        <v>1.00277596477978</v>
      </c>
      <c r="AB293" s="234">
        <v>-189.25272661064599</v>
      </c>
      <c r="AC293" s="219">
        <v>0.01</v>
      </c>
      <c r="AD293" s="219">
        <v>1E-3</v>
      </c>
      <c r="AE293" s="227">
        <v>0</v>
      </c>
      <c r="AF293" s="227">
        <v>419</v>
      </c>
      <c r="AG293" s="218"/>
      <c r="AH293" s="231">
        <v>165.2</v>
      </c>
      <c r="AI293" s="217">
        <v>44.627687196854303</v>
      </c>
      <c r="AJ293" s="232" t="s">
        <v>53</v>
      </c>
      <c r="AK293" s="224">
        <v>0.70837598725165596</v>
      </c>
      <c r="AL293" s="225">
        <v>-89.464758894364195</v>
      </c>
      <c r="AM293" s="219"/>
      <c r="AN293" s="219"/>
      <c r="AO293" s="227">
        <v>69</v>
      </c>
      <c r="AP293" s="227">
        <v>115</v>
      </c>
      <c r="AQ293" s="218"/>
      <c r="AR293" s="231">
        <v>18</v>
      </c>
      <c r="AS293" s="217">
        <v>4.8625809294393303</v>
      </c>
      <c r="AT293" s="232" t="s">
        <v>54</v>
      </c>
      <c r="AU293" s="224">
        <v>0.30391130808995798</v>
      </c>
      <c r="AV293" s="225">
        <v>-46.676764163648102</v>
      </c>
      <c r="AW293" s="219"/>
      <c r="AX293" s="219"/>
      <c r="AY293" s="227">
        <v>42</v>
      </c>
      <c r="AZ293" s="227">
        <v>54</v>
      </c>
      <c r="BA293" s="218"/>
      <c r="BB293" s="235">
        <v>131.80000000000001</v>
      </c>
      <c r="BC293" s="231">
        <v>35.604898138894697</v>
      </c>
      <c r="BD293" s="232" t="s">
        <v>55</v>
      </c>
      <c r="BE293" s="229">
        <v>1.1126530668404599</v>
      </c>
      <c r="BF293" s="230">
        <v>2.4464716727038902</v>
      </c>
      <c r="BG293" s="219">
        <v>0.02</v>
      </c>
      <c r="BH293" s="219">
        <v>1.0999999999999999E-2</v>
      </c>
      <c r="BI293" s="227">
        <v>0</v>
      </c>
      <c r="BJ293" s="227">
        <v>11</v>
      </c>
      <c r="BK293" s="220"/>
      <c r="BL293" s="236">
        <v>0.8</v>
      </c>
      <c r="BM293" s="239">
        <v>0.76</v>
      </c>
      <c r="BN293" s="237"/>
      <c r="BO293" s="238">
        <v>0.95</v>
      </c>
      <c r="BP293" s="229">
        <v>1</v>
      </c>
      <c r="BQ293" s="237">
        <v>2.5000000000000001E-3</v>
      </c>
    </row>
    <row r="294" spans="1:69" s="207" customFormat="1" ht="22.35" customHeight="1" x14ac:dyDescent="0.2">
      <c r="A294" s="216" t="s">
        <v>339</v>
      </c>
      <c r="B294" s="216" t="s">
        <v>357</v>
      </c>
      <c r="C294" s="216" t="s">
        <v>366</v>
      </c>
      <c r="D294" s="217">
        <v>3.4620816407777801</v>
      </c>
      <c r="E294" s="218"/>
      <c r="F294" s="219">
        <v>0.05</v>
      </c>
      <c r="G294" s="219">
        <v>4.3999999999999997E-2</v>
      </c>
      <c r="H294" s="220"/>
      <c r="I294" s="221">
        <v>5</v>
      </c>
      <c r="J294" s="221">
        <v>5</v>
      </c>
      <c r="K294" s="218"/>
      <c r="L294" s="222">
        <v>1295.2341899999999</v>
      </c>
      <c r="M294" s="222">
        <v>27.224640000000001</v>
      </c>
      <c r="N294" s="222">
        <v>1322.45883</v>
      </c>
      <c r="O294" s="217">
        <v>381.98372170764299</v>
      </c>
      <c r="P294" s="223">
        <v>212.5</v>
      </c>
      <c r="Q294" s="229">
        <v>1.79757045509479</v>
      </c>
      <c r="R294" s="230">
        <v>519.08278525751598</v>
      </c>
      <c r="S294" s="219">
        <v>0.01</v>
      </c>
      <c r="T294" s="219">
        <v>0.01</v>
      </c>
      <c r="U294" s="226">
        <v>0</v>
      </c>
      <c r="V294" s="227">
        <v>0</v>
      </c>
      <c r="W294" s="218"/>
      <c r="X294" s="226">
        <v>2255.8943549999999</v>
      </c>
      <c r="Y294" s="217">
        <v>651.60056551791797</v>
      </c>
      <c r="Z294" s="228">
        <v>573</v>
      </c>
      <c r="AA294" s="229">
        <v>1.13717376181137</v>
      </c>
      <c r="AB294" s="230">
        <v>89.614479059090598</v>
      </c>
      <c r="AC294" s="219">
        <v>0.02</v>
      </c>
      <c r="AD294" s="219">
        <v>1.4E-2</v>
      </c>
      <c r="AE294" s="227">
        <v>0</v>
      </c>
      <c r="AF294" s="227">
        <v>125</v>
      </c>
      <c r="AG294" s="218"/>
      <c r="AH294" s="231">
        <v>186.8</v>
      </c>
      <c r="AI294" s="217">
        <v>53.955977756213201</v>
      </c>
      <c r="AJ294" s="232" t="s">
        <v>53</v>
      </c>
      <c r="AK294" s="239">
        <v>0.856444091368464</v>
      </c>
      <c r="AL294" s="222">
        <v>-51.377368558948199</v>
      </c>
      <c r="AM294" s="219"/>
      <c r="AN294" s="219"/>
      <c r="AO294" s="227">
        <v>32</v>
      </c>
      <c r="AP294" s="227">
        <v>75</v>
      </c>
      <c r="AQ294" s="218"/>
      <c r="AR294" s="231">
        <v>34.9</v>
      </c>
      <c r="AS294" s="217">
        <v>10.0806403837893</v>
      </c>
      <c r="AT294" s="232" t="s">
        <v>54</v>
      </c>
      <c r="AU294" s="224">
        <v>0.63004002398683101</v>
      </c>
      <c r="AV294" s="225">
        <v>-25.5894904276694</v>
      </c>
      <c r="AW294" s="219"/>
      <c r="AX294" s="219"/>
      <c r="AY294" s="227">
        <v>21</v>
      </c>
      <c r="AZ294" s="227">
        <v>32</v>
      </c>
      <c r="BA294" s="218"/>
      <c r="BB294" s="235">
        <v>134.80000000000001</v>
      </c>
      <c r="BC294" s="231">
        <v>38.936112427931199</v>
      </c>
      <c r="BD294" s="232" t="s">
        <v>55</v>
      </c>
      <c r="BE294" s="229">
        <v>1.21675351337285</v>
      </c>
      <c r="BF294" s="230">
        <v>13.8210191446612</v>
      </c>
      <c r="BG294" s="219">
        <v>0.02</v>
      </c>
      <c r="BH294" s="219">
        <v>0.02</v>
      </c>
      <c r="BI294" s="227">
        <v>0</v>
      </c>
      <c r="BJ294" s="227">
        <v>0</v>
      </c>
      <c r="BK294" s="220"/>
      <c r="BL294" s="236">
        <v>0.8</v>
      </c>
      <c r="BM294" s="233">
        <v>0.81</v>
      </c>
      <c r="BN294" s="237">
        <v>3.7500000000000001E-4</v>
      </c>
      <c r="BO294" s="238">
        <v>0.95</v>
      </c>
      <c r="BP294" s="229">
        <v>1</v>
      </c>
      <c r="BQ294" s="237">
        <v>2.5000000000000001E-3</v>
      </c>
    </row>
    <row r="295" spans="1:69" s="207" customFormat="1" ht="22.35" customHeight="1" x14ac:dyDescent="0.2">
      <c r="A295" s="216" t="s">
        <v>339</v>
      </c>
      <c r="B295" s="216" t="s">
        <v>357</v>
      </c>
      <c r="C295" s="216" t="s">
        <v>357</v>
      </c>
      <c r="D295" s="217">
        <v>10.277247066999999</v>
      </c>
      <c r="E295" s="218"/>
      <c r="F295" s="219">
        <v>0.03</v>
      </c>
      <c r="G295" s="219">
        <v>2.4E-2</v>
      </c>
      <c r="H295" s="220"/>
      <c r="I295" s="221">
        <v>3</v>
      </c>
      <c r="J295" s="221">
        <v>3</v>
      </c>
      <c r="K295" s="218"/>
      <c r="L295" s="222">
        <v>6960.7571600000001</v>
      </c>
      <c r="M295" s="222">
        <v>3610.0446200000001</v>
      </c>
      <c r="N295" s="222">
        <v>10570.80178</v>
      </c>
      <c r="O295" s="217">
        <v>1028.5635551122</v>
      </c>
      <c r="P295" s="223">
        <v>263.10899999999998</v>
      </c>
      <c r="Q295" s="229">
        <v>3.90926785139315</v>
      </c>
      <c r="R295" s="230">
        <v>7617.99425118198</v>
      </c>
      <c r="S295" s="219">
        <v>0.01</v>
      </c>
      <c r="T295" s="219">
        <v>0.01</v>
      </c>
      <c r="U295" s="226">
        <v>0</v>
      </c>
      <c r="V295" s="227">
        <v>0</v>
      </c>
      <c r="W295" s="218"/>
      <c r="X295" s="226">
        <v>4708.40553</v>
      </c>
      <c r="Y295" s="217">
        <v>458.13878943502101</v>
      </c>
      <c r="Z295" s="228">
        <v>573</v>
      </c>
      <c r="AA295" s="239">
        <v>0.79954413513965295</v>
      </c>
      <c r="AB295" s="222">
        <v>-1722.23239577497</v>
      </c>
      <c r="AC295" s="219"/>
      <c r="AD295" s="219"/>
      <c r="AE295" s="227">
        <v>1181</v>
      </c>
      <c r="AF295" s="227">
        <v>2359</v>
      </c>
      <c r="AG295" s="218"/>
      <c r="AH295" s="231">
        <v>439.45</v>
      </c>
      <c r="AI295" s="217">
        <v>42.759505258082498</v>
      </c>
      <c r="AJ295" s="232" t="s">
        <v>53</v>
      </c>
      <c r="AK295" s="224">
        <v>0.67872230568384995</v>
      </c>
      <c r="AL295" s="225">
        <v>-267.583489221332</v>
      </c>
      <c r="AM295" s="219"/>
      <c r="AN295" s="219"/>
      <c r="AO295" s="227">
        <v>209</v>
      </c>
      <c r="AP295" s="227">
        <v>338</v>
      </c>
      <c r="AQ295" s="218"/>
      <c r="AR295" s="231">
        <v>47.1</v>
      </c>
      <c r="AS295" s="217">
        <v>4.5829393506785499</v>
      </c>
      <c r="AT295" s="232" t="s">
        <v>54</v>
      </c>
      <c r="AU295" s="224">
        <v>0.28643370941740898</v>
      </c>
      <c r="AV295" s="225">
        <v>-132.464060754624</v>
      </c>
      <c r="AW295" s="219"/>
      <c r="AX295" s="219"/>
      <c r="AY295" s="227">
        <v>118</v>
      </c>
      <c r="AZ295" s="227">
        <v>151</v>
      </c>
      <c r="BA295" s="218"/>
      <c r="BB295" s="235">
        <v>374.2</v>
      </c>
      <c r="BC295" s="231">
        <v>36.410528769085197</v>
      </c>
      <c r="BD295" s="232" t="s">
        <v>55</v>
      </c>
      <c r="BE295" s="229">
        <v>1.13782902403391</v>
      </c>
      <c r="BF295" s="230">
        <v>15.071878490752001</v>
      </c>
      <c r="BG295" s="219">
        <v>0.02</v>
      </c>
      <c r="BH295" s="219">
        <v>1.4E-2</v>
      </c>
      <c r="BI295" s="227">
        <v>0</v>
      </c>
      <c r="BJ295" s="227">
        <v>21</v>
      </c>
      <c r="BK295" s="220"/>
      <c r="BL295" s="236">
        <v>0.8</v>
      </c>
      <c r="BM295" s="239">
        <v>0.79</v>
      </c>
      <c r="BN295" s="237"/>
      <c r="BO295" s="238">
        <v>0.95</v>
      </c>
      <c r="BP295" s="229">
        <v>1</v>
      </c>
      <c r="BQ295" s="237">
        <v>2.5000000000000001E-3</v>
      </c>
    </row>
    <row r="296" spans="1:69" s="207" customFormat="1" ht="22.35" customHeight="1" x14ac:dyDescent="0.2">
      <c r="A296" s="216" t="s">
        <v>339</v>
      </c>
      <c r="B296" s="216" t="s">
        <v>357</v>
      </c>
      <c r="C296" s="216" t="s">
        <v>367</v>
      </c>
      <c r="D296" s="217">
        <v>3.9912457913333301</v>
      </c>
      <c r="E296" s="218"/>
      <c r="F296" s="219">
        <v>2.7E-2</v>
      </c>
      <c r="G296" s="219">
        <v>1.6E-2</v>
      </c>
      <c r="H296" s="220"/>
      <c r="I296" s="221">
        <v>4</v>
      </c>
      <c r="J296" s="221">
        <v>4</v>
      </c>
      <c r="K296" s="218"/>
      <c r="L296" s="222">
        <v>1524.0484200000001</v>
      </c>
      <c r="M296" s="222">
        <v>618.37881000000004</v>
      </c>
      <c r="N296" s="222">
        <v>2142.4272299999998</v>
      </c>
      <c r="O296" s="217">
        <v>536.78158199430004</v>
      </c>
      <c r="P296" s="223">
        <v>212.5</v>
      </c>
      <c r="Q296" s="229">
        <v>2.52603097409082</v>
      </c>
      <c r="R296" s="230">
        <v>1216.2586441210999</v>
      </c>
      <c r="S296" s="219">
        <v>0.01</v>
      </c>
      <c r="T296" s="219">
        <v>0.01</v>
      </c>
      <c r="U296" s="226">
        <v>0</v>
      </c>
      <c r="V296" s="227">
        <v>0</v>
      </c>
      <c r="W296" s="218"/>
      <c r="X296" s="226">
        <v>2428.6663050000002</v>
      </c>
      <c r="Y296" s="217">
        <v>608.49830653718504</v>
      </c>
      <c r="Z296" s="228">
        <v>573</v>
      </c>
      <c r="AA296" s="233">
        <v>1.06195166934936</v>
      </c>
      <c r="AB296" s="234">
        <v>-68.720046569925699</v>
      </c>
      <c r="AC296" s="219">
        <v>1.7000000000000001E-2</v>
      </c>
      <c r="AD296" s="219">
        <v>6.0000000000000001E-3</v>
      </c>
      <c r="AE296" s="227">
        <v>0</v>
      </c>
      <c r="AF296" s="227">
        <v>316</v>
      </c>
      <c r="AG296" s="218"/>
      <c r="AH296" s="231">
        <v>211.05</v>
      </c>
      <c r="AI296" s="217">
        <v>52.878226757740102</v>
      </c>
      <c r="AJ296" s="232" t="s">
        <v>53</v>
      </c>
      <c r="AK296" s="239">
        <v>0.83933693266254195</v>
      </c>
      <c r="AL296" s="222">
        <v>-63.531745460567798</v>
      </c>
      <c r="AM296" s="219"/>
      <c r="AN296" s="219"/>
      <c r="AO296" s="227">
        <v>41</v>
      </c>
      <c r="AP296" s="227">
        <v>91</v>
      </c>
      <c r="AQ296" s="218"/>
      <c r="AR296" s="231">
        <v>15.8</v>
      </c>
      <c r="AS296" s="217">
        <v>3.9586637421098998</v>
      </c>
      <c r="AT296" s="232" t="s">
        <v>54</v>
      </c>
      <c r="AU296" s="224">
        <v>0.24741648388186899</v>
      </c>
      <c r="AV296" s="225">
        <v>-53.935046466175997</v>
      </c>
      <c r="AW296" s="219"/>
      <c r="AX296" s="219"/>
      <c r="AY296" s="227">
        <v>49</v>
      </c>
      <c r="AZ296" s="227">
        <v>61</v>
      </c>
      <c r="BA296" s="218"/>
      <c r="BB296" s="235">
        <v>97.6</v>
      </c>
      <c r="BC296" s="231">
        <v>24.453517799362402</v>
      </c>
      <c r="BD296" s="232" t="s">
        <v>55</v>
      </c>
      <c r="BE296" s="239">
        <v>0.76417243123007506</v>
      </c>
      <c r="BF296" s="222">
        <v>-41.870092932351902</v>
      </c>
      <c r="BG296" s="219"/>
      <c r="BH296" s="219"/>
      <c r="BI296" s="227">
        <v>31</v>
      </c>
      <c r="BJ296" s="227">
        <v>56</v>
      </c>
      <c r="BK296" s="220"/>
      <c r="BL296" s="236">
        <v>0.8</v>
      </c>
      <c r="BM296" s="233">
        <v>0.82</v>
      </c>
      <c r="BN296" s="237">
        <v>7.5000000000000002E-4</v>
      </c>
      <c r="BO296" s="238">
        <v>0.95</v>
      </c>
      <c r="BP296" s="229">
        <v>1</v>
      </c>
      <c r="BQ296" s="237">
        <v>2.5000000000000001E-3</v>
      </c>
    </row>
    <row r="297" spans="1:69" s="207" customFormat="1" ht="22.35" customHeight="1" x14ac:dyDescent="0.2">
      <c r="A297" s="216" t="s">
        <v>339</v>
      </c>
      <c r="B297" s="216" t="s">
        <v>357</v>
      </c>
      <c r="C297" s="216" t="s">
        <v>368</v>
      </c>
      <c r="D297" s="217">
        <v>1.8887926887777799</v>
      </c>
      <c r="E297" s="218"/>
      <c r="F297" s="219">
        <v>5.8999999999999997E-2</v>
      </c>
      <c r="G297" s="219">
        <v>4.8000000000000001E-2</v>
      </c>
      <c r="H297" s="220"/>
      <c r="I297" s="221">
        <v>4</v>
      </c>
      <c r="J297" s="221">
        <v>4</v>
      </c>
      <c r="K297" s="218"/>
      <c r="L297" s="222">
        <v>224.49773999999999</v>
      </c>
      <c r="M297" s="222">
        <v>19.251429999999999</v>
      </c>
      <c r="N297" s="222">
        <v>243.74916999999999</v>
      </c>
      <c r="O297" s="217">
        <v>129.05025069624099</v>
      </c>
      <c r="P297" s="223">
        <v>212.5</v>
      </c>
      <c r="Q297" s="224">
        <v>0.60729529739407695</v>
      </c>
      <c r="R297" s="225">
        <v>-194.54517343088401</v>
      </c>
      <c r="S297" s="219"/>
      <c r="T297" s="219"/>
      <c r="U297" s="226">
        <v>158</v>
      </c>
      <c r="V297" s="227">
        <v>238</v>
      </c>
      <c r="W297" s="218"/>
      <c r="X297" s="226">
        <v>1458.2094500000001</v>
      </c>
      <c r="Y297" s="217">
        <v>772.03255744472199</v>
      </c>
      <c r="Z297" s="228">
        <v>573</v>
      </c>
      <c r="AA297" s="229">
        <v>1.3473517581932299</v>
      </c>
      <c r="AB297" s="230">
        <v>276.36164394872299</v>
      </c>
      <c r="AC297" s="219">
        <v>0.02</v>
      </c>
      <c r="AD297" s="219">
        <v>0.02</v>
      </c>
      <c r="AE297" s="227">
        <v>0</v>
      </c>
      <c r="AF297" s="227">
        <v>0</v>
      </c>
      <c r="AG297" s="218"/>
      <c r="AH297" s="231">
        <v>172.75</v>
      </c>
      <c r="AI297" s="217">
        <v>91.460540389842905</v>
      </c>
      <c r="AJ297" s="232" t="s">
        <v>53</v>
      </c>
      <c r="AK297" s="229">
        <v>1.4517546093625899</v>
      </c>
      <c r="AL297" s="230">
        <v>42.808618182843801</v>
      </c>
      <c r="AM297" s="219">
        <v>0.02</v>
      </c>
      <c r="AN297" s="219">
        <v>0.02</v>
      </c>
      <c r="AO297" s="227">
        <v>0</v>
      </c>
      <c r="AP297" s="227">
        <v>0</v>
      </c>
      <c r="AQ297" s="218"/>
      <c r="AR297" s="231">
        <v>13.6</v>
      </c>
      <c r="AS297" s="217">
        <v>7.2003667108646301</v>
      </c>
      <c r="AT297" s="232" t="s">
        <v>54</v>
      </c>
      <c r="AU297" s="224">
        <v>0.45002291942903899</v>
      </c>
      <c r="AV297" s="225">
        <v>-19.400985858325399</v>
      </c>
      <c r="AW297" s="219"/>
      <c r="AX297" s="219"/>
      <c r="AY297" s="227">
        <v>17</v>
      </c>
      <c r="AZ297" s="227">
        <v>23</v>
      </c>
      <c r="BA297" s="218"/>
      <c r="BB297" s="235">
        <v>65.400000000000006</v>
      </c>
      <c r="BC297" s="231">
        <v>34.625292859599</v>
      </c>
      <c r="BD297" s="232" t="s">
        <v>55</v>
      </c>
      <c r="BE297" s="233">
        <v>1.0820404018624701</v>
      </c>
      <c r="BF297" s="234">
        <v>-0.60197171665073801</v>
      </c>
      <c r="BG297" s="219">
        <v>1.9E-2</v>
      </c>
      <c r="BH297" s="219">
        <v>8.0000000000000002E-3</v>
      </c>
      <c r="BI297" s="227">
        <v>0</v>
      </c>
      <c r="BJ297" s="227">
        <v>8</v>
      </c>
      <c r="BK297" s="220"/>
      <c r="BL297" s="236">
        <v>0.8</v>
      </c>
      <c r="BM297" s="239">
        <v>0.78</v>
      </c>
      <c r="BN297" s="237"/>
      <c r="BO297" s="238">
        <v>0.95</v>
      </c>
      <c r="BP297" s="229">
        <v>1</v>
      </c>
      <c r="BQ297" s="237">
        <v>2.5000000000000001E-3</v>
      </c>
    </row>
    <row r="298" spans="1:69" s="207" customFormat="1" ht="22.35" customHeight="1" x14ac:dyDescent="0.2">
      <c r="A298" s="216" t="s">
        <v>339</v>
      </c>
      <c r="B298" s="216" t="s">
        <v>357</v>
      </c>
      <c r="C298" s="216" t="s">
        <v>369</v>
      </c>
      <c r="D298" s="217">
        <v>3.20739114933333</v>
      </c>
      <c r="E298" s="218"/>
      <c r="F298" s="219">
        <v>3.5000000000000003E-2</v>
      </c>
      <c r="G298" s="219">
        <v>2.1999999999999999E-2</v>
      </c>
      <c r="H298" s="220"/>
      <c r="I298" s="221">
        <v>5</v>
      </c>
      <c r="J298" s="221">
        <v>4</v>
      </c>
      <c r="K298" s="218"/>
      <c r="L298" s="222">
        <v>2220.4430000000002</v>
      </c>
      <c r="M298" s="222">
        <v>263.84248000000002</v>
      </c>
      <c r="N298" s="222">
        <v>2484.28548</v>
      </c>
      <c r="O298" s="217">
        <v>774.55020742211798</v>
      </c>
      <c r="P298" s="223">
        <v>236.798</v>
      </c>
      <c r="Q298" s="229">
        <v>3.2709322182709202</v>
      </c>
      <c r="R298" s="230">
        <v>1654.9073201572201</v>
      </c>
      <c r="S298" s="219">
        <v>0.01</v>
      </c>
      <c r="T298" s="219">
        <v>0.01</v>
      </c>
      <c r="U298" s="226">
        <v>0</v>
      </c>
      <c r="V298" s="227">
        <v>0</v>
      </c>
      <c r="W298" s="218"/>
      <c r="X298" s="226">
        <v>1752.9531199999999</v>
      </c>
      <c r="Y298" s="217">
        <v>546.53549828631196</v>
      </c>
      <c r="Z298" s="228">
        <v>573</v>
      </c>
      <c r="AA298" s="233">
        <v>0.95381413313492502</v>
      </c>
      <c r="AB298" s="234">
        <v>-253.96284039625399</v>
      </c>
      <c r="AC298" s="219">
        <v>5.0000000000000001E-3</v>
      </c>
      <c r="AD298" s="219"/>
      <c r="AE298" s="227">
        <v>85</v>
      </c>
      <c r="AF298" s="227">
        <v>453</v>
      </c>
      <c r="AG298" s="218"/>
      <c r="AH298" s="231">
        <v>118.75</v>
      </c>
      <c r="AI298" s="217">
        <v>37.023859726208499</v>
      </c>
      <c r="AJ298" s="232" t="s">
        <v>53</v>
      </c>
      <c r="AK298" s="224">
        <v>0.58768031311442104</v>
      </c>
      <c r="AL298" s="225">
        <v>-101.905681509536</v>
      </c>
      <c r="AM298" s="219"/>
      <c r="AN298" s="219"/>
      <c r="AO298" s="227">
        <v>84</v>
      </c>
      <c r="AP298" s="227">
        <v>124</v>
      </c>
      <c r="AQ298" s="218"/>
      <c r="AR298" s="231">
        <v>12</v>
      </c>
      <c r="AS298" s="217">
        <v>3.7413584565431699</v>
      </c>
      <c r="AT298" s="232" t="s">
        <v>54</v>
      </c>
      <c r="AU298" s="224">
        <v>0.23383490353394801</v>
      </c>
      <c r="AV298" s="225">
        <v>-44.039538161151903</v>
      </c>
      <c r="AW298" s="219"/>
      <c r="AX298" s="219"/>
      <c r="AY298" s="227">
        <v>40</v>
      </c>
      <c r="AZ298" s="227">
        <v>50</v>
      </c>
      <c r="BA298" s="218"/>
      <c r="BB298" s="235">
        <v>115.2</v>
      </c>
      <c r="BC298" s="231">
        <v>35.917041182814501</v>
      </c>
      <c r="BD298" s="232" t="s">
        <v>55</v>
      </c>
      <c r="BE298" s="229">
        <v>1.12240753696295</v>
      </c>
      <c r="BF298" s="230">
        <v>3.1209236776961098</v>
      </c>
      <c r="BG298" s="219">
        <v>0.02</v>
      </c>
      <c r="BH298" s="219">
        <v>1.2E-2</v>
      </c>
      <c r="BI298" s="227">
        <v>0</v>
      </c>
      <c r="BJ298" s="227">
        <v>8</v>
      </c>
      <c r="BK298" s="220"/>
      <c r="BL298" s="236">
        <v>0.8</v>
      </c>
      <c r="BM298" s="233">
        <v>0.85</v>
      </c>
      <c r="BN298" s="237">
        <v>1.8749999999999999E-3</v>
      </c>
      <c r="BO298" s="238">
        <v>0.95</v>
      </c>
      <c r="BP298" s="229">
        <v>1</v>
      </c>
      <c r="BQ298" s="237">
        <v>2.5000000000000001E-3</v>
      </c>
    </row>
    <row r="299" spans="1:69" s="207" customFormat="1" ht="21.95" customHeight="1" x14ac:dyDescent="0.2">
      <c r="A299" s="240"/>
      <c r="B299" s="240"/>
      <c r="C299" s="241" t="s">
        <v>370</v>
      </c>
      <c r="D299" s="242">
        <v>1158.2086281173299</v>
      </c>
      <c r="E299" s="243"/>
      <c r="F299" s="240"/>
      <c r="G299" s="240"/>
      <c r="H299" s="244"/>
      <c r="I299" s="240"/>
      <c r="J299" s="240"/>
      <c r="K299" s="243"/>
      <c r="L299" s="245">
        <v>659617.61583999998</v>
      </c>
      <c r="M299" s="245">
        <v>354879.13844000001</v>
      </c>
      <c r="N299" s="245">
        <v>1014496.75428</v>
      </c>
      <c r="O299" s="242">
        <v>875.91883677214901</v>
      </c>
      <c r="P299" s="246"/>
      <c r="Q299" s="240"/>
      <c r="R299" s="240"/>
      <c r="S299" s="240"/>
      <c r="T299" s="240"/>
      <c r="U299" s="247">
        <v>41051</v>
      </c>
      <c r="V299" s="247">
        <v>45582</v>
      </c>
      <c r="W299" s="243"/>
      <c r="X299" s="248">
        <v>642307.10941999999</v>
      </c>
      <c r="Y299" s="249">
        <v>554.56943924176198</v>
      </c>
      <c r="Z299" s="250"/>
      <c r="AA299" s="251"/>
      <c r="AB299" s="251"/>
      <c r="AC299" s="251"/>
      <c r="AD299" s="251"/>
      <c r="AE299" s="252">
        <v>75494</v>
      </c>
      <c r="AF299" s="252">
        <v>175122</v>
      </c>
      <c r="AG299" s="243"/>
      <c r="AH299" s="249">
        <v>59971.6</v>
      </c>
      <c r="AI299" s="253">
        <v>51.779617716614503</v>
      </c>
      <c r="AJ299" s="250"/>
      <c r="AK299" s="251"/>
      <c r="AL299" s="251"/>
      <c r="AM299" s="251"/>
      <c r="AN299" s="251"/>
      <c r="AO299" s="252">
        <v>16493</v>
      </c>
      <c r="AP299" s="252">
        <v>29588</v>
      </c>
      <c r="AQ299" s="243"/>
      <c r="AR299" s="249">
        <v>11379.4</v>
      </c>
      <c r="AS299" s="253">
        <v>9.8250001975008594</v>
      </c>
      <c r="AT299" s="250"/>
      <c r="AU299" s="251"/>
      <c r="AV299" s="251"/>
      <c r="AW299" s="251"/>
      <c r="AX299" s="254"/>
      <c r="AY299" s="252">
        <v>8725</v>
      </c>
      <c r="AZ299" s="252">
        <v>12026</v>
      </c>
      <c r="BA299" s="243"/>
      <c r="BB299" s="251">
        <v>44329.599999999999</v>
      </c>
      <c r="BC299" s="253">
        <v>38.274278850830001</v>
      </c>
      <c r="BD299" s="250"/>
      <c r="BE299" s="251"/>
      <c r="BF299" s="251"/>
      <c r="BG299" s="251"/>
      <c r="BH299" s="251"/>
      <c r="BI299" s="252">
        <v>1649</v>
      </c>
      <c r="BJ299" s="252">
        <v>5084</v>
      </c>
      <c r="BK299" s="251"/>
      <c r="BL299" s="251"/>
      <c r="BM299" s="251"/>
      <c r="BN299" s="251"/>
      <c r="BO299" s="251"/>
      <c r="BP299" s="251"/>
      <c r="BQ299" s="251"/>
    </row>
    <row r="300" spans="1:69" s="207" customFormat="1" ht="28.7" customHeight="1" x14ac:dyDescent="0.2"/>
  </sheetData>
  <mergeCells count="73">
    <mergeCell ref="BQ4:BQ5"/>
    <mergeCell ref="BJ4:BJ5"/>
    <mergeCell ref="BL4:BL5"/>
    <mergeCell ref="BM4:BM5"/>
    <mergeCell ref="BN4:BN5"/>
    <mergeCell ref="BO4:BO5"/>
    <mergeCell ref="BP4:BP5"/>
    <mergeCell ref="BI4:BI5"/>
    <mergeCell ref="AW4:AW5"/>
    <mergeCell ref="AX4:AX5"/>
    <mergeCell ref="AY4:AY5"/>
    <mergeCell ref="AZ4:AZ5"/>
    <mergeCell ref="BB4:BB5"/>
    <mergeCell ref="BC4:BC5"/>
    <mergeCell ref="BD4:BD5"/>
    <mergeCell ref="BE4:BE5"/>
    <mergeCell ref="BF4:BF5"/>
    <mergeCell ref="BG4:BG5"/>
    <mergeCell ref="BH4:BH5"/>
    <mergeCell ref="AH4:AH5"/>
    <mergeCell ref="AV4:AV5"/>
    <mergeCell ref="AJ4:AJ5"/>
    <mergeCell ref="AK4:AK5"/>
    <mergeCell ref="AL4:AL5"/>
    <mergeCell ref="AM4:AM5"/>
    <mergeCell ref="AN4:AN5"/>
    <mergeCell ref="AO4:AO5"/>
    <mergeCell ref="AP4:AP5"/>
    <mergeCell ref="AR4:AR5"/>
    <mergeCell ref="AS4:AS5"/>
    <mergeCell ref="AT4:AT5"/>
    <mergeCell ref="AU4:AU5"/>
    <mergeCell ref="AB4:AB5"/>
    <mergeCell ref="AC4:AC5"/>
    <mergeCell ref="AD4:AD5"/>
    <mergeCell ref="AE4:AE5"/>
    <mergeCell ref="AF4:AF5"/>
    <mergeCell ref="V4:V5"/>
    <mergeCell ref="X4:X5"/>
    <mergeCell ref="Y4:Y5"/>
    <mergeCell ref="Z4:Z5"/>
    <mergeCell ref="AA4:AA5"/>
    <mergeCell ref="BB2:BJ2"/>
    <mergeCell ref="BL2:BQ2"/>
    <mergeCell ref="L3:V3"/>
    <mergeCell ref="X3:AF3"/>
    <mergeCell ref="AH3:AP3"/>
    <mergeCell ref="AR3:AZ3"/>
    <mergeCell ref="BB3:BJ3"/>
    <mergeCell ref="BL3:BQ3"/>
    <mergeCell ref="AR2:AZ2"/>
    <mergeCell ref="I2:I4"/>
    <mergeCell ref="J2:J4"/>
    <mergeCell ref="L2:V2"/>
    <mergeCell ref="X2:AF2"/>
    <mergeCell ref="AH2:AP2"/>
    <mergeCell ref="L4:L5"/>
    <mergeCell ref="M4:M5"/>
    <mergeCell ref="N4:N5"/>
    <mergeCell ref="O4:O5"/>
    <mergeCell ref="U4:U5"/>
    <mergeCell ref="P4:P5"/>
    <mergeCell ref="Q4:Q5"/>
    <mergeCell ref="R4:R5"/>
    <mergeCell ref="S4:S5"/>
    <mergeCell ref="T4:T5"/>
    <mergeCell ref="AI4:AI5"/>
    <mergeCell ref="G2:G4"/>
    <mergeCell ref="A2:A5"/>
    <mergeCell ref="B2:B5"/>
    <mergeCell ref="C2:C5"/>
    <mergeCell ref="D2:D4"/>
    <mergeCell ref="F2:F4"/>
  </mergeCells>
  <hyperlinks>
    <hyperlink ref="F5" r:id="rId1"/>
    <hyperlink ref="G5" r:id="rId2"/>
    <hyperlink ref="I5" r:id="rId3"/>
    <hyperlink ref="J5" r:id="rId4"/>
  </hyperlinks>
  <pageMargins left="0.7" right="0.7" top="0.75" bottom="0.75" header="0.3" footer="0.3"/>
  <pageSetup paperSize="9" orientation="portrait" r:id="rId5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2" tint="-0.499984740745262"/>
  </sheetPr>
  <dimension ref="A1:O291"/>
  <sheetViews>
    <sheetView topLeftCell="A169" workbookViewId="0">
      <selection activeCell="E6" sqref="E6"/>
    </sheetView>
  </sheetViews>
  <sheetFormatPr baseColWidth="10" defaultRowHeight="15" x14ac:dyDescent="0.25"/>
  <cols>
    <col min="1" max="1" width="25.140625" bestFit="1" customWidth="1"/>
    <col min="2" max="2" width="22" customWidth="1"/>
    <col min="3" max="3" width="12.85546875" customWidth="1"/>
    <col min="4" max="4" width="31.28515625" customWidth="1"/>
    <col min="6" max="6" width="12.85546875" style="160" customWidth="1"/>
  </cols>
  <sheetData>
    <row r="1" spans="1:15" x14ac:dyDescent="0.25">
      <c r="A1" s="122" t="s">
        <v>19</v>
      </c>
      <c r="B1" s="122" t="s">
        <v>20</v>
      </c>
      <c r="C1" s="122" t="s">
        <v>423</v>
      </c>
      <c r="D1" s="122" t="s">
        <v>3</v>
      </c>
      <c r="E1" s="122" t="s">
        <v>424</v>
      </c>
      <c r="F1" s="159" t="s">
        <v>423</v>
      </c>
      <c r="H1" t="s">
        <v>425</v>
      </c>
    </row>
    <row r="2" spans="1:15" x14ac:dyDescent="0.25">
      <c r="A2" s="123" t="s">
        <v>275</v>
      </c>
      <c r="B2" s="123" t="s">
        <v>426</v>
      </c>
      <c r="C2">
        <v>457543</v>
      </c>
      <c r="D2" s="123" t="s">
        <v>313</v>
      </c>
      <c r="E2">
        <v>2.78</v>
      </c>
      <c r="F2" s="160">
        <v>457543</v>
      </c>
    </row>
    <row r="3" spans="1:15" x14ac:dyDescent="0.25">
      <c r="A3" s="123" t="s">
        <v>275</v>
      </c>
      <c r="B3" s="123" t="s">
        <v>426</v>
      </c>
      <c r="C3">
        <v>457583</v>
      </c>
      <c r="D3" s="123" t="s">
        <v>314</v>
      </c>
      <c r="E3">
        <v>6</v>
      </c>
      <c r="F3" s="160">
        <v>457583</v>
      </c>
    </row>
    <row r="4" spans="1:15" x14ac:dyDescent="0.25">
      <c r="A4" s="123" t="s">
        <v>275</v>
      </c>
      <c r="B4" s="123" t="s">
        <v>426</v>
      </c>
      <c r="C4">
        <v>457614</v>
      </c>
      <c r="D4" s="123" t="s">
        <v>315</v>
      </c>
      <c r="E4">
        <v>9.17</v>
      </c>
      <c r="F4" s="160">
        <v>457614</v>
      </c>
    </row>
    <row r="5" spans="1:15" x14ac:dyDescent="0.25">
      <c r="A5" s="123" t="s">
        <v>275</v>
      </c>
      <c r="B5" s="123" t="s">
        <v>426</v>
      </c>
      <c r="C5">
        <v>457617</v>
      </c>
      <c r="D5" s="123" t="s">
        <v>316</v>
      </c>
      <c r="E5">
        <v>7.67</v>
      </c>
      <c r="F5" s="160">
        <v>457617</v>
      </c>
      <c r="H5" s="105"/>
      <c r="I5" s="105"/>
      <c r="J5" s="105"/>
      <c r="K5" s="105"/>
      <c r="L5" s="105"/>
      <c r="M5" s="105"/>
      <c r="N5" s="105"/>
      <c r="O5" s="105"/>
    </row>
    <row r="6" spans="1:15" x14ac:dyDescent="0.25">
      <c r="A6" s="123" t="s">
        <v>275</v>
      </c>
      <c r="B6" s="123" t="s">
        <v>426</v>
      </c>
      <c r="C6">
        <v>557668</v>
      </c>
      <c r="D6" s="123" t="s">
        <v>317</v>
      </c>
      <c r="E6">
        <v>4.6399999999999997</v>
      </c>
      <c r="F6" s="160">
        <v>557668</v>
      </c>
      <c r="H6" s="112"/>
      <c r="I6" s="105"/>
      <c r="J6" s="112"/>
      <c r="K6" s="105"/>
      <c r="L6" s="105"/>
      <c r="M6" s="105"/>
      <c r="N6" s="112"/>
      <c r="O6" s="105"/>
    </row>
    <row r="7" spans="1:15" x14ac:dyDescent="0.25">
      <c r="A7" s="123" t="s">
        <v>275</v>
      </c>
      <c r="B7" s="123" t="s">
        <v>427</v>
      </c>
      <c r="C7">
        <v>557113</v>
      </c>
      <c r="D7" s="123" t="s">
        <v>319</v>
      </c>
      <c r="E7">
        <v>3.5</v>
      </c>
      <c r="F7" s="160">
        <v>557113</v>
      </c>
      <c r="H7" s="112"/>
      <c r="I7" s="105"/>
      <c r="J7" s="112"/>
      <c r="K7" s="105"/>
      <c r="L7" s="105"/>
      <c r="M7" s="105"/>
      <c r="N7" s="112"/>
      <c r="O7" s="112"/>
    </row>
    <row r="8" spans="1:15" x14ac:dyDescent="0.25">
      <c r="A8" s="123" t="s">
        <v>275</v>
      </c>
      <c r="B8" s="123" t="s">
        <v>427</v>
      </c>
      <c r="C8">
        <v>457180</v>
      </c>
      <c r="D8" s="123" t="s">
        <v>320</v>
      </c>
      <c r="E8">
        <v>3.2</v>
      </c>
      <c r="F8" s="160">
        <v>457180</v>
      </c>
    </row>
    <row r="9" spans="1:15" x14ac:dyDescent="0.25">
      <c r="A9" s="123" t="s">
        <v>275</v>
      </c>
      <c r="B9" s="123" t="s">
        <v>427</v>
      </c>
      <c r="C9">
        <v>557182</v>
      </c>
      <c r="D9" s="123" t="s">
        <v>321</v>
      </c>
      <c r="E9">
        <v>3.2</v>
      </c>
      <c r="F9" s="160">
        <v>557182</v>
      </c>
    </row>
    <row r="10" spans="1:15" x14ac:dyDescent="0.25">
      <c r="A10" s="123" t="s">
        <v>275</v>
      </c>
      <c r="B10" s="123" t="s">
        <v>427</v>
      </c>
      <c r="C10">
        <v>457192</v>
      </c>
      <c r="D10" s="123" t="s">
        <v>322</v>
      </c>
      <c r="E10">
        <v>3</v>
      </c>
      <c r="F10" s="160">
        <v>457192</v>
      </c>
    </row>
    <row r="11" spans="1:15" x14ac:dyDescent="0.25">
      <c r="A11" s="123" t="s">
        <v>275</v>
      </c>
      <c r="B11" s="123" t="s">
        <v>427</v>
      </c>
      <c r="C11">
        <v>557303</v>
      </c>
      <c r="D11" s="123" t="s">
        <v>323</v>
      </c>
      <c r="E11">
        <v>3.5</v>
      </c>
      <c r="F11" s="160">
        <v>557303</v>
      </c>
    </row>
    <row r="12" spans="1:15" x14ac:dyDescent="0.25">
      <c r="A12" s="123" t="s">
        <v>275</v>
      </c>
      <c r="B12" s="123" t="s">
        <v>427</v>
      </c>
      <c r="C12">
        <v>457306</v>
      </c>
      <c r="D12" s="123" t="s">
        <v>324</v>
      </c>
      <c r="E12">
        <v>4</v>
      </c>
      <c r="F12" s="160">
        <v>457306</v>
      </c>
    </row>
    <row r="13" spans="1:15" x14ac:dyDescent="0.25">
      <c r="A13" s="123" t="s">
        <v>275</v>
      </c>
      <c r="B13" s="123" t="s">
        <v>427</v>
      </c>
      <c r="C13">
        <v>557307</v>
      </c>
      <c r="D13" s="123" t="s">
        <v>325</v>
      </c>
      <c r="E13">
        <v>3.5</v>
      </c>
      <c r="F13" s="160">
        <v>557307</v>
      </c>
    </row>
    <row r="14" spans="1:15" x14ac:dyDescent="0.25">
      <c r="A14" s="123" t="s">
        <v>275</v>
      </c>
      <c r="B14" s="123" t="s">
        <v>427</v>
      </c>
      <c r="C14">
        <v>557347</v>
      </c>
      <c r="D14" s="123" t="s">
        <v>326</v>
      </c>
      <c r="E14">
        <v>3</v>
      </c>
      <c r="F14" s="160">
        <v>557347</v>
      </c>
    </row>
    <row r="15" spans="1:15" x14ac:dyDescent="0.25">
      <c r="A15" s="123" t="s">
        <v>275</v>
      </c>
      <c r="B15" s="123" t="s">
        <v>427</v>
      </c>
      <c r="C15">
        <v>457348</v>
      </c>
      <c r="D15" s="123" t="s">
        <v>327</v>
      </c>
      <c r="E15">
        <v>10.5</v>
      </c>
      <c r="F15" s="160">
        <v>457348</v>
      </c>
    </row>
    <row r="16" spans="1:15" x14ac:dyDescent="0.25">
      <c r="A16" s="123" t="s">
        <v>275</v>
      </c>
      <c r="B16" s="123" t="s">
        <v>427</v>
      </c>
      <c r="C16">
        <v>457350</v>
      </c>
      <c r="D16" s="123" t="s">
        <v>328</v>
      </c>
      <c r="E16">
        <v>11</v>
      </c>
      <c r="F16" s="160">
        <v>457350</v>
      </c>
    </row>
    <row r="17" spans="1:6" x14ac:dyDescent="0.25">
      <c r="A17" s="123" t="s">
        <v>275</v>
      </c>
      <c r="B17" s="123" t="s">
        <v>427</v>
      </c>
      <c r="C17">
        <v>557352</v>
      </c>
      <c r="D17" s="123" t="s">
        <v>329</v>
      </c>
      <c r="E17">
        <v>4.3</v>
      </c>
      <c r="F17" s="160">
        <v>557352</v>
      </c>
    </row>
    <row r="18" spans="1:6" x14ac:dyDescent="0.25">
      <c r="A18" s="123" t="s">
        <v>275</v>
      </c>
      <c r="B18" s="123" t="s">
        <v>427</v>
      </c>
      <c r="C18">
        <v>457449</v>
      </c>
      <c r="D18" s="123" t="s">
        <v>330</v>
      </c>
      <c r="E18">
        <v>3.5</v>
      </c>
      <c r="F18" s="160">
        <v>457449</v>
      </c>
    </row>
    <row r="19" spans="1:6" x14ac:dyDescent="0.25">
      <c r="A19" s="123" t="s">
        <v>275</v>
      </c>
      <c r="B19" s="123" t="s">
        <v>427</v>
      </c>
      <c r="C19">
        <v>557508</v>
      </c>
      <c r="D19" s="123" t="s">
        <v>331</v>
      </c>
      <c r="E19">
        <v>3</v>
      </c>
      <c r="F19" s="160">
        <v>557508</v>
      </c>
    </row>
    <row r="20" spans="1:6" x14ac:dyDescent="0.25">
      <c r="A20" s="123" t="s">
        <v>275</v>
      </c>
      <c r="B20" s="123" t="s">
        <v>427</v>
      </c>
      <c r="C20">
        <v>557622</v>
      </c>
      <c r="D20" s="123" t="s">
        <v>332</v>
      </c>
      <c r="E20">
        <v>3.5</v>
      </c>
      <c r="F20" s="160">
        <v>557622</v>
      </c>
    </row>
    <row r="21" spans="1:6" x14ac:dyDescent="0.25">
      <c r="A21" s="123" t="s">
        <v>275</v>
      </c>
      <c r="B21" s="123" t="s">
        <v>427</v>
      </c>
      <c r="C21">
        <v>557628</v>
      </c>
      <c r="D21" s="123" t="s">
        <v>333</v>
      </c>
      <c r="E21">
        <v>3.2</v>
      </c>
      <c r="F21" s="160">
        <v>557628</v>
      </c>
    </row>
    <row r="22" spans="1:6" x14ac:dyDescent="0.25">
      <c r="A22" s="123" t="s">
        <v>275</v>
      </c>
      <c r="B22" s="123" t="s">
        <v>427</v>
      </c>
      <c r="C22">
        <v>457632</v>
      </c>
      <c r="D22" s="123" t="s">
        <v>334</v>
      </c>
      <c r="E22">
        <v>11.5</v>
      </c>
      <c r="F22" s="160">
        <v>457632</v>
      </c>
    </row>
    <row r="23" spans="1:6" x14ac:dyDescent="0.25">
      <c r="A23" s="123" t="s">
        <v>275</v>
      </c>
      <c r="B23" s="123" t="s">
        <v>427</v>
      </c>
      <c r="C23">
        <v>557633</v>
      </c>
      <c r="D23" s="123" t="s">
        <v>335</v>
      </c>
      <c r="E23">
        <v>2.5</v>
      </c>
      <c r="F23" s="160">
        <v>557633</v>
      </c>
    </row>
    <row r="24" spans="1:6" x14ac:dyDescent="0.25">
      <c r="A24" s="123" t="s">
        <v>275</v>
      </c>
      <c r="B24" s="123" t="s">
        <v>427</v>
      </c>
      <c r="C24">
        <v>557660</v>
      </c>
      <c r="D24" s="123" t="s">
        <v>337</v>
      </c>
      <c r="E24">
        <v>2.5</v>
      </c>
      <c r="F24" s="160">
        <v>557660</v>
      </c>
    </row>
    <row r="25" spans="1:6" x14ac:dyDescent="0.25">
      <c r="A25" s="123" t="s">
        <v>275</v>
      </c>
      <c r="B25" s="123" t="s">
        <v>427</v>
      </c>
      <c r="C25">
        <v>457158</v>
      </c>
      <c r="D25" s="123" t="s">
        <v>338</v>
      </c>
      <c r="E25">
        <v>6</v>
      </c>
      <c r="F25" s="160">
        <v>457158</v>
      </c>
    </row>
    <row r="26" spans="1:6" x14ac:dyDescent="0.25">
      <c r="A26" s="123" t="s">
        <v>339</v>
      </c>
      <c r="B26" s="123" t="s">
        <v>340</v>
      </c>
      <c r="C26">
        <v>588201</v>
      </c>
      <c r="D26" s="123" t="s">
        <v>341</v>
      </c>
      <c r="E26">
        <v>3.74</v>
      </c>
      <c r="F26" s="160">
        <v>588201</v>
      </c>
    </row>
    <row r="27" spans="1:6" x14ac:dyDescent="0.25">
      <c r="A27" s="123" t="s">
        <v>339</v>
      </c>
      <c r="B27" s="123" t="s">
        <v>340</v>
      </c>
      <c r="C27">
        <v>588206</v>
      </c>
      <c r="D27" s="123" t="s">
        <v>342</v>
      </c>
      <c r="E27">
        <v>2.78</v>
      </c>
      <c r="F27" s="160">
        <v>588206</v>
      </c>
    </row>
    <row r="28" spans="1:6" x14ac:dyDescent="0.25">
      <c r="A28" s="123" t="s">
        <v>339</v>
      </c>
      <c r="B28" s="123" t="s">
        <v>340</v>
      </c>
      <c r="C28">
        <v>588216</v>
      </c>
      <c r="D28" s="123" t="s">
        <v>343</v>
      </c>
      <c r="E28">
        <v>1</v>
      </c>
      <c r="F28" s="160">
        <v>588216</v>
      </c>
    </row>
    <row r="29" spans="1:6" x14ac:dyDescent="0.25">
      <c r="A29" s="123" t="s">
        <v>339</v>
      </c>
      <c r="B29" s="123" t="s">
        <v>340</v>
      </c>
      <c r="C29">
        <v>488256</v>
      </c>
      <c r="D29" s="123" t="s">
        <v>344</v>
      </c>
      <c r="E29">
        <v>2</v>
      </c>
      <c r="F29" s="160">
        <v>488256</v>
      </c>
    </row>
    <row r="30" spans="1:6" x14ac:dyDescent="0.25">
      <c r="A30" s="123" t="s">
        <v>339</v>
      </c>
      <c r="B30" s="123" t="s">
        <v>340</v>
      </c>
      <c r="C30">
        <v>488281</v>
      </c>
      <c r="D30" s="123" t="s">
        <v>345</v>
      </c>
      <c r="E30">
        <v>4.4400000000000004</v>
      </c>
      <c r="F30" s="160">
        <v>488281</v>
      </c>
    </row>
    <row r="31" spans="1:6" x14ac:dyDescent="0.25">
      <c r="A31" s="123" t="s">
        <v>339</v>
      </c>
      <c r="B31" s="123" t="s">
        <v>340</v>
      </c>
      <c r="C31">
        <v>488286</v>
      </c>
      <c r="D31" s="123" t="s">
        <v>346</v>
      </c>
      <c r="E31">
        <v>10.130000000000001</v>
      </c>
      <c r="F31" s="160">
        <v>488286</v>
      </c>
    </row>
    <row r="32" spans="1:6" x14ac:dyDescent="0.25">
      <c r="A32" s="123" t="s">
        <v>339</v>
      </c>
      <c r="B32" s="123" t="s">
        <v>340</v>
      </c>
      <c r="C32">
        <v>488291</v>
      </c>
      <c r="D32" s="123" t="s">
        <v>347</v>
      </c>
      <c r="E32">
        <v>1</v>
      </c>
      <c r="F32" s="160">
        <v>488291</v>
      </c>
    </row>
    <row r="33" spans="1:6" x14ac:dyDescent="0.25">
      <c r="A33" s="123" t="s">
        <v>339</v>
      </c>
      <c r="B33" s="123" t="s">
        <v>340</v>
      </c>
      <c r="C33">
        <v>488288</v>
      </c>
      <c r="D33" s="123" t="s">
        <v>348</v>
      </c>
      <c r="E33">
        <v>2</v>
      </c>
      <c r="F33" s="160">
        <v>488288</v>
      </c>
    </row>
    <row r="34" spans="1:6" x14ac:dyDescent="0.25">
      <c r="A34" s="123" t="s">
        <v>339</v>
      </c>
      <c r="B34" s="123" t="s">
        <v>340</v>
      </c>
      <c r="C34">
        <v>588336</v>
      </c>
      <c r="D34" s="123" t="s">
        <v>349</v>
      </c>
      <c r="E34">
        <v>3.78</v>
      </c>
      <c r="F34" s="160">
        <v>588336</v>
      </c>
    </row>
    <row r="35" spans="1:6" x14ac:dyDescent="0.25">
      <c r="A35" s="123" t="s">
        <v>339</v>
      </c>
      <c r="B35" s="123" t="s">
        <v>340</v>
      </c>
      <c r="C35">
        <v>588396</v>
      </c>
      <c r="D35" s="123" t="s">
        <v>350</v>
      </c>
      <c r="E35">
        <v>2.91</v>
      </c>
      <c r="F35" s="160">
        <v>588396</v>
      </c>
    </row>
    <row r="36" spans="1:6" x14ac:dyDescent="0.25">
      <c r="A36" s="123" t="s">
        <v>339</v>
      </c>
      <c r="B36" s="123" t="s">
        <v>340</v>
      </c>
      <c r="C36">
        <v>488451</v>
      </c>
      <c r="D36" s="123" t="s">
        <v>351</v>
      </c>
      <c r="E36">
        <v>4.6500000000000004</v>
      </c>
      <c r="F36" s="160">
        <v>488451</v>
      </c>
    </row>
    <row r="37" spans="1:6" x14ac:dyDescent="0.25">
      <c r="A37" s="123" t="s">
        <v>339</v>
      </c>
      <c r="B37" s="123" t="s">
        <v>340</v>
      </c>
      <c r="C37">
        <v>588501</v>
      </c>
      <c r="D37" s="123" t="s">
        <v>352</v>
      </c>
      <c r="E37">
        <v>5</v>
      </c>
      <c r="F37" s="160">
        <v>588501</v>
      </c>
    </row>
    <row r="38" spans="1:6" x14ac:dyDescent="0.25">
      <c r="A38" s="123" t="s">
        <v>339</v>
      </c>
      <c r="B38" s="123" t="s">
        <v>340</v>
      </c>
      <c r="C38">
        <v>488561</v>
      </c>
      <c r="D38" s="123" t="s">
        <v>353</v>
      </c>
      <c r="E38">
        <v>5.78</v>
      </c>
      <c r="F38" s="160">
        <v>488561</v>
      </c>
    </row>
    <row r="39" spans="1:6" x14ac:dyDescent="0.25">
      <c r="A39" s="123" t="s">
        <v>339</v>
      </c>
      <c r="B39" s="123" t="s">
        <v>340</v>
      </c>
      <c r="C39">
        <v>588631</v>
      </c>
      <c r="D39" s="123" t="s">
        <v>354</v>
      </c>
      <c r="E39">
        <v>5.56</v>
      </c>
      <c r="F39" s="160">
        <v>588631</v>
      </c>
    </row>
    <row r="40" spans="1:6" x14ac:dyDescent="0.25">
      <c r="A40" s="123" t="s">
        <v>339</v>
      </c>
      <c r="B40" s="123" t="s">
        <v>340</v>
      </c>
      <c r="C40">
        <v>488706</v>
      </c>
      <c r="D40" s="123" t="s">
        <v>355</v>
      </c>
      <c r="E40">
        <v>3.88</v>
      </c>
      <c r="F40" s="160">
        <v>488706</v>
      </c>
    </row>
    <row r="41" spans="1:6" x14ac:dyDescent="0.25">
      <c r="A41" s="123" t="s">
        <v>339</v>
      </c>
      <c r="B41" s="123" t="s">
        <v>340</v>
      </c>
      <c r="C41">
        <v>588716</v>
      </c>
      <c r="D41" s="123" t="s">
        <v>356</v>
      </c>
      <c r="E41">
        <v>2</v>
      </c>
      <c r="F41" s="160">
        <v>588716</v>
      </c>
    </row>
    <row r="42" spans="1:6" x14ac:dyDescent="0.25">
      <c r="A42" s="123" t="s">
        <v>339</v>
      </c>
      <c r="B42" s="123" t="s">
        <v>428</v>
      </c>
      <c r="C42">
        <v>588186</v>
      </c>
      <c r="D42" s="123" t="s">
        <v>358</v>
      </c>
      <c r="E42">
        <v>2.78</v>
      </c>
      <c r="F42" s="160">
        <v>588186</v>
      </c>
    </row>
    <row r="43" spans="1:6" x14ac:dyDescent="0.25">
      <c r="A43" s="123" t="s">
        <v>339</v>
      </c>
      <c r="B43" s="123" t="s">
        <v>428</v>
      </c>
      <c r="C43">
        <v>488246</v>
      </c>
      <c r="D43" s="123" t="s">
        <v>359</v>
      </c>
      <c r="E43">
        <v>3</v>
      </c>
      <c r="F43" s="160">
        <v>488246</v>
      </c>
    </row>
    <row r="44" spans="1:6" x14ac:dyDescent="0.25">
      <c r="A44" s="123" t="s">
        <v>339</v>
      </c>
      <c r="B44" s="123" t="s">
        <v>428</v>
      </c>
      <c r="C44">
        <v>588316</v>
      </c>
      <c r="D44" s="123" t="s">
        <v>360</v>
      </c>
      <c r="E44">
        <v>4</v>
      </c>
      <c r="F44" s="160">
        <v>588316</v>
      </c>
    </row>
    <row r="45" spans="1:6" x14ac:dyDescent="0.25">
      <c r="A45" s="123" t="s">
        <v>339</v>
      </c>
      <c r="B45" s="123" t="s">
        <v>428</v>
      </c>
      <c r="C45">
        <v>488326</v>
      </c>
      <c r="D45" s="123" t="s">
        <v>361</v>
      </c>
      <c r="E45">
        <v>5</v>
      </c>
      <c r="F45" s="160">
        <v>488326</v>
      </c>
    </row>
    <row r="46" spans="1:6" x14ac:dyDescent="0.25">
      <c r="A46" s="123" t="s">
        <v>339</v>
      </c>
      <c r="B46" s="123" t="s">
        <v>428</v>
      </c>
      <c r="C46">
        <v>488346</v>
      </c>
      <c r="D46" s="123" t="s">
        <v>362</v>
      </c>
      <c r="E46">
        <v>2</v>
      </c>
      <c r="F46" s="160">
        <v>488346</v>
      </c>
    </row>
    <row r="47" spans="1:6" x14ac:dyDescent="0.25">
      <c r="A47" s="123" t="s">
        <v>339</v>
      </c>
      <c r="B47" s="123" t="s">
        <v>428</v>
      </c>
      <c r="C47">
        <v>588386</v>
      </c>
      <c r="D47" s="123" t="s">
        <v>363</v>
      </c>
      <c r="E47">
        <v>2</v>
      </c>
      <c r="F47" s="160">
        <v>588386</v>
      </c>
    </row>
    <row r="48" spans="1:6" x14ac:dyDescent="0.25">
      <c r="A48" s="123" t="s">
        <v>339</v>
      </c>
      <c r="B48" s="123" t="s">
        <v>428</v>
      </c>
      <c r="C48">
        <v>588461</v>
      </c>
      <c r="D48" s="123" t="s">
        <v>364</v>
      </c>
      <c r="E48">
        <v>2.78</v>
      </c>
      <c r="F48" s="160">
        <v>588461</v>
      </c>
    </row>
    <row r="49" spans="1:6" x14ac:dyDescent="0.25">
      <c r="A49" s="123" t="s">
        <v>339</v>
      </c>
      <c r="B49" s="123" t="s">
        <v>428</v>
      </c>
      <c r="C49">
        <v>588551</v>
      </c>
      <c r="D49" s="123" t="s">
        <v>365</v>
      </c>
      <c r="E49">
        <v>4</v>
      </c>
      <c r="F49" s="160">
        <v>588551</v>
      </c>
    </row>
    <row r="50" spans="1:6" x14ac:dyDescent="0.25">
      <c r="A50" s="123" t="s">
        <v>339</v>
      </c>
      <c r="B50" s="123" t="s">
        <v>428</v>
      </c>
      <c r="C50">
        <v>488556</v>
      </c>
      <c r="D50" s="123" t="s">
        <v>366</v>
      </c>
      <c r="E50">
        <v>3.71</v>
      </c>
      <c r="F50" s="160">
        <v>488556</v>
      </c>
    </row>
    <row r="51" spans="1:6" x14ac:dyDescent="0.25">
      <c r="A51" s="123" t="s">
        <v>339</v>
      </c>
      <c r="B51" s="123" t="s">
        <v>428</v>
      </c>
      <c r="C51">
        <v>488586</v>
      </c>
      <c r="D51" s="123" t="s">
        <v>357</v>
      </c>
      <c r="E51">
        <v>10.32</v>
      </c>
      <c r="F51" s="160">
        <v>488586</v>
      </c>
    </row>
    <row r="52" spans="1:6" x14ac:dyDescent="0.25">
      <c r="A52" s="123" t="s">
        <v>339</v>
      </c>
      <c r="B52" s="123" t="s">
        <v>428</v>
      </c>
      <c r="C52">
        <v>588587</v>
      </c>
      <c r="D52" s="123" t="s">
        <v>367</v>
      </c>
      <c r="E52">
        <v>4</v>
      </c>
      <c r="F52" s="160">
        <v>588587</v>
      </c>
    </row>
    <row r="53" spans="1:6" x14ac:dyDescent="0.25">
      <c r="A53" s="123" t="s">
        <v>339</v>
      </c>
      <c r="B53" s="123" t="s">
        <v>428</v>
      </c>
      <c r="C53">
        <v>488616</v>
      </c>
      <c r="D53" s="123" t="s">
        <v>368</v>
      </c>
      <c r="E53">
        <v>2</v>
      </c>
      <c r="F53" s="160">
        <v>488616</v>
      </c>
    </row>
    <row r="54" spans="1:6" x14ac:dyDescent="0.25">
      <c r="A54" s="123" t="s">
        <v>339</v>
      </c>
      <c r="B54" s="123" t="s">
        <v>428</v>
      </c>
      <c r="C54">
        <v>588666</v>
      </c>
      <c r="D54" s="123" t="s">
        <v>369</v>
      </c>
      <c r="E54">
        <v>3.8</v>
      </c>
      <c r="F54" s="160">
        <v>588666</v>
      </c>
    </row>
    <row r="55" spans="1:6" x14ac:dyDescent="0.25">
      <c r="A55" s="123" t="s">
        <v>429</v>
      </c>
      <c r="B55" s="123" t="s">
        <v>0</v>
      </c>
      <c r="C55">
        <v>410560</v>
      </c>
      <c r="D55" s="123" t="s">
        <v>5</v>
      </c>
      <c r="E55">
        <v>2</v>
      </c>
      <c r="F55" s="160">
        <v>410560</v>
      </c>
    </row>
    <row r="56" spans="1:6" x14ac:dyDescent="0.25">
      <c r="A56" s="123" t="s">
        <v>429</v>
      </c>
      <c r="B56" s="123" t="s">
        <v>0</v>
      </c>
      <c r="C56">
        <v>410566</v>
      </c>
      <c r="D56" s="123" t="s">
        <v>56</v>
      </c>
      <c r="E56">
        <v>10</v>
      </c>
      <c r="F56" s="160">
        <v>410566</v>
      </c>
    </row>
    <row r="57" spans="1:6" x14ac:dyDescent="0.25">
      <c r="A57" s="123" t="s">
        <v>429</v>
      </c>
      <c r="B57" s="123" t="s">
        <v>0</v>
      </c>
      <c r="C57">
        <v>510590</v>
      </c>
      <c r="D57" s="123" t="s">
        <v>57</v>
      </c>
      <c r="E57">
        <v>3</v>
      </c>
      <c r="F57" s="160">
        <v>510590</v>
      </c>
    </row>
    <row r="58" spans="1:6" x14ac:dyDescent="0.25">
      <c r="A58" s="123" t="s">
        <v>429</v>
      </c>
      <c r="B58" s="123" t="s">
        <v>0</v>
      </c>
      <c r="C58">
        <v>451154</v>
      </c>
      <c r="D58" s="123" t="s">
        <v>58</v>
      </c>
      <c r="E58">
        <v>3</v>
      </c>
      <c r="F58" s="160">
        <v>451154</v>
      </c>
    </row>
    <row r="59" spans="1:6" x14ac:dyDescent="0.25">
      <c r="A59" s="123" t="s">
        <v>429</v>
      </c>
      <c r="B59" s="123" t="s">
        <v>0</v>
      </c>
      <c r="C59">
        <v>410541</v>
      </c>
      <c r="D59" s="123" t="s">
        <v>59</v>
      </c>
      <c r="E59">
        <v>8</v>
      </c>
      <c r="F59" s="160">
        <v>410541</v>
      </c>
    </row>
    <row r="60" spans="1:6" x14ac:dyDescent="0.25">
      <c r="A60" s="123" t="s">
        <v>429</v>
      </c>
      <c r="B60" s="123" t="s">
        <v>0</v>
      </c>
      <c r="C60">
        <v>410582</v>
      </c>
      <c r="D60" s="123" t="s">
        <v>60</v>
      </c>
      <c r="E60">
        <v>2</v>
      </c>
      <c r="F60" s="160">
        <v>410582</v>
      </c>
    </row>
    <row r="61" spans="1:6" x14ac:dyDescent="0.25">
      <c r="A61" s="123" t="s">
        <v>429</v>
      </c>
      <c r="B61" s="123" t="s">
        <v>0</v>
      </c>
      <c r="C61">
        <v>451156</v>
      </c>
      <c r="D61" s="123" t="s">
        <v>61</v>
      </c>
      <c r="E61">
        <v>6.38</v>
      </c>
      <c r="F61" s="160">
        <v>451156</v>
      </c>
    </row>
    <row r="62" spans="1:6" x14ac:dyDescent="0.25">
      <c r="A62" s="123" t="s">
        <v>429</v>
      </c>
      <c r="B62" s="123" t="s">
        <v>0</v>
      </c>
      <c r="C62">
        <v>551157</v>
      </c>
      <c r="D62" s="123" t="s">
        <v>62</v>
      </c>
      <c r="E62">
        <v>2.84</v>
      </c>
      <c r="F62" s="160">
        <v>551157</v>
      </c>
    </row>
    <row r="63" spans="1:6" x14ac:dyDescent="0.25">
      <c r="A63" s="123" t="s">
        <v>429</v>
      </c>
      <c r="B63" s="123" t="s">
        <v>0</v>
      </c>
      <c r="C63">
        <v>451151</v>
      </c>
      <c r="D63" s="123" t="s">
        <v>63</v>
      </c>
      <c r="E63">
        <v>3</v>
      </c>
      <c r="F63" s="160">
        <v>451151</v>
      </c>
    </row>
    <row r="64" spans="1:6" x14ac:dyDescent="0.25">
      <c r="A64" s="123" t="s">
        <v>429</v>
      </c>
      <c r="B64" s="123" t="s">
        <v>64</v>
      </c>
      <c r="C64">
        <v>510530</v>
      </c>
      <c r="D64" s="123" t="s">
        <v>65</v>
      </c>
      <c r="E64">
        <v>4</v>
      </c>
      <c r="F64" s="160">
        <v>510530</v>
      </c>
    </row>
    <row r="65" spans="1:6" x14ac:dyDescent="0.25">
      <c r="A65" s="123" t="s">
        <v>429</v>
      </c>
      <c r="B65" s="123" t="s">
        <v>64</v>
      </c>
      <c r="C65">
        <v>410550</v>
      </c>
      <c r="D65" s="123" t="s">
        <v>66</v>
      </c>
      <c r="E65">
        <v>4</v>
      </c>
      <c r="F65" s="160">
        <v>410550</v>
      </c>
    </row>
    <row r="66" spans="1:6" x14ac:dyDescent="0.25">
      <c r="A66" s="123" t="s">
        <v>429</v>
      </c>
      <c r="B66" s="123" t="s">
        <v>64</v>
      </c>
      <c r="C66">
        <v>510556</v>
      </c>
      <c r="D66" s="123" t="s">
        <v>67</v>
      </c>
      <c r="E66">
        <v>4</v>
      </c>
      <c r="F66" s="160">
        <v>510556</v>
      </c>
    </row>
    <row r="67" spans="1:6" x14ac:dyDescent="0.25">
      <c r="A67" s="123" t="s">
        <v>429</v>
      </c>
      <c r="B67" s="123" t="s">
        <v>64</v>
      </c>
      <c r="C67">
        <v>410551</v>
      </c>
      <c r="D67" s="123" t="s">
        <v>68</v>
      </c>
      <c r="E67">
        <v>2</v>
      </c>
      <c r="F67" s="160">
        <v>410551</v>
      </c>
    </row>
    <row r="68" spans="1:6" x14ac:dyDescent="0.25">
      <c r="A68" s="123" t="s">
        <v>429</v>
      </c>
      <c r="B68" s="123" t="s">
        <v>64</v>
      </c>
      <c r="C68">
        <v>510523</v>
      </c>
      <c r="D68" s="123" t="s">
        <v>69</v>
      </c>
      <c r="E68">
        <v>7</v>
      </c>
      <c r="F68" s="160">
        <v>510523</v>
      </c>
    </row>
    <row r="69" spans="1:6" x14ac:dyDescent="0.25">
      <c r="A69" s="123" t="s">
        <v>429</v>
      </c>
      <c r="B69" s="123" t="s">
        <v>64</v>
      </c>
      <c r="C69">
        <v>510570</v>
      </c>
      <c r="D69" s="123" t="s">
        <v>70</v>
      </c>
      <c r="E69">
        <v>4.8</v>
      </c>
      <c r="F69" s="160">
        <v>510570</v>
      </c>
    </row>
    <row r="70" spans="1:6" x14ac:dyDescent="0.25">
      <c r="A70" s="123" t="s">
        <v>429</v>
      </c>
      <c r="B70" s="123" t="s">
        <v>64</v>
      </c>
      <c r="C70">
        <v>410571</v>
      </c>
      <c r="D70" s="123" t="s">
        <v>71</v>
      </c>
      <c r="E70">
        <v>7.15</v>
      </c>
      <c r="F70" s="160">
        <v>410571</v>
      </c>
    </row>
    <row r="71" spans="1:6" x14ac:dyDescent="0.25">
      <c r="A71" s="123" t="s">
        <v>429</v>
      </c>
      <c r="B71" s="123" t="s">
        <v>64</v>
      </c>
      <c r="C71">
        <v>510520</v>
      </c>
      <c r="D71" s="123" t="s">
        <v>72</v>
      </c>
      <c r="E71">
        <v>4.78</v>
      </c>
      <c r="F71" s="160">
        <v>510520</v>
      </c>
    </row>
    <row r="72" spans="1:6" x14ac:dyDescent="0.25">
      <c r="A72" s="123" t="s">
        <v>429</v>
      </c>
      <c r="B72" s="123" t="s">
        <v>64</v>
      </c>
      <c r="C72">
        <v>410524</v>
      </c>
      <c r="D72" s="123" t="s">
        <v>74</v>
      </c>
      <c r="E72">
        <v>5.96</v>
      </c>
      <c r="F72" s="160">
        <v>410524</v>
      </c>
    </row>
    <row r="73" spans="1:6" x14ac:dyDescent="0.25">
      <c r="A73" s="123" t="s">
        <v>429</v>
      </c>
      <c r="B73" s="123" t="s">
        <v>64</v>
      </c>
      <c r="C73">
        <v>410521</v>
      </c>
      <c r="D73" s="123" t="s">
        <v>73</v>
      </c>
      <c r="E73">
        <v>5</v>
      </c>
      <c r="F73" s="160">
        <v>410521</v>
      </c>
    </row>
    <row r="74" spans="1:6" x14ac:dyDescent="0.25">
      <c r="A74" s="123" t="s">
        <v>429</v>
      </c>
      <c r="B74" s="123" t="s">
        <v>64</v>
      </c>
      <c r="C74">
        <v>510513</v>
      </c>
      <c r="D74" s="123" t="s">
        <v>75</v>
      </c>
      <c r="E74">
        <v>4.4000000000000004</v>
      </c>
      <c r="F74" s="160">
        <v>510513</v>
      </c>
    </row>
    <row r="75" spans="1:6" x14ac:dyDescent="0.25">
      <c r="A75" s="123" t="s">
        <v>429</v>
      </c>
      <c r="B75" s="123" t="s">
        <v>64</v>
      </c>
      <c r="C75">
        <v>510511</v>
      </c>
      <c r="D75" s="123" t="s">
        <v>76</v>
      </c>
      <c r="E75">
        <v>3.58</v>
      </c>
      <c r="F75" s="160">
        <v>510511</v>
      </c>
    </row>
    <row r="76" spans="1:6" x14ac:dyDescent="0.25">
      <c r="A76" s="123" t="s">
        <v>429</v>
      </c>
      <c r="B76" s="123" t="s">
        <v>64</v>
      </c>
      <c r="C76">
        <v>510522</v>
      </c>
      <c r="D76" s="123" t="s">
        <v>77</v>
      </c>
      <c r="E76">
        <v>2.61</v>
      </c>
      <c r="F76" s="160">
        <v>510522</v>
      </c>
    </row>
    <row r="77" spans="1:6" x14ac:dyDescent="0.25">
      <c r="A77" s="123" t="s">
        <v>429</v>
      </c>
      <c r="B77" s="123" t="s">
        <v>64</v>
      </c>
      <c r="C77">
        <v>410510</v>
      </c>
      <c r="D77" s="123" t="s">
        <v>78</v>
      </c>
      <c r="E77">
        <v>9.84</v>
      </c>
      <c r="F77" s="160">
        <v>410510</v>
      </c>
    </row>
    <row r="78" spans="1:6" x14ac:dyDescent="0.25">
      <c r="A78" s="123" t="s">
        <v>429</v>
      </c>
      <c r="B78" s="123" t="s">
        <v>64</v>
      </c>
      <c r="C78">
        <v>410512</v>
      </c>
      <c r="D78" s="123" t="s">
        <v>79</v>
      </c>
      <c r="E78">
        <v>4.78</v>
      </c>
      <c r="F78" s="160">
        <v>410512</v>
      </c>
    </row>
    <row r="79" spans="1:6" x14ac:dyDescent="0.25">
      <c r="A79" s="123" t="s">
        <v>430</v>
      </c>
      <c r="B79" s="123" t="s">
        <v>431</v>
      </c>
      <c r="C79">
        <v>4017</v>
      </c>
      <c r="D79" s="123" t="s">
        <v>432</v>
      </c>
      <c r="E79">
        <v>10.199999999999999</v>
      </c>
      <c r="F79" s="160">
        <v>4017</v>
      </c>
    </row>
    <row r="80" spans="1:6" x14ac:dyDescent="0.25">
      <c r="A80" s="123" t="s">
        <v>430</v>
      </c>
      <c r="B80" s="123" t="s">
        <v>433</v>
      </c>
      <c r="C80">
        <v>4022</v>
      </c>
      <c r="D80" s="123" t="s">
        <v>434</v>
      </c>
      <c r="E80">
        <v>4.2300000000000004</v>
      </c>
      <c r="F80" s="160">
        <v>4022</v>
      </c>
    </row>
    <row r="81" spans="1:6" x14ac:dyDescent="0.25">
      <c r="A81" s="123" t="s">
        <v>435</v>
      </c>
      <c r="B81" s="123" t="s">
        <v>81</v>
      </c>
      <c r="C81">
        <v>4057</v>
      </c>
      <c r="D81" s="123" t="s">
        <v>82</v>
      </c>
      <c r="E81">
        <v>5.8</v>
      </c>
      <c r="F81" s="160">
        <v>4057</v>
      </c>
    </row>
    <row r="82" spans="1:6" x14ac:dyDescent="0.25">
      <c r="A82" s="123" t="s">
        <v>435</v>
      </c>
      <c r="B82" s="123" t="s">
        <v>81</v>
      </c>
      <c r="C82">
        <v>4082</v>
      </c>
      <c r="D82" s="123" t="s">
        <v>83</v>
      </c>
      <c r="E82">
        <v>2.85</v>
      </c>
      <c r="F82" s="160">
        <v>4082</v>
      </c>
    </row>
    <row r="83" spans="1:6" x14ac:dyDescent="0.25">
      <c r="A83" s="123" t="s">
        <v>435</v>
      </c>
      <c r="B83" s="123" t="s">
        <v>81</v>
      </c>
      <c r="C83">
        <v>4030</v>
      </c>
      <c r="D83" s="123" t="s">
        <v>84</v>
      </c>
      <c r="E83">
        <v>7.4</v>
      </c>
      <c r="F83" s="160">
        <v>4030</v>
      </c>
    </row>
    <row r="84" spans="1:6" x14ac:dyDescent="0.25">
      <c r="A84" s="123" t="s">
        <v>435</v>
      </c>
      <c r="B84" s="123" t="s">
        <v>81</v>
      </c>
      <c r="C84">
        <v>4060</v>
      </c>
      <c r="D84" s="123" t="s">
        <v>85</v>
      </c>
      <c r="E84">
        <v>7.77</v>
      </c>
      <c r="F84" s="160">
        <v>4060</v>
      </c>
    </row>
    <row r="85" spans="1:6" x14ac:dyDescent="0.25">
      <c r="A85" s="123" t="s">
        <v>435</v>
      </c>
      <c r="B85" s="123" t="s">
        <v>81</v>
      </c>
      <c r="C85">
        <v>4064</v>
      </c>
      <c r="D85" s="123" t="s">
        <v>86</v>
      </c>
      <c r="E85">
        <v>1.32</v>
      </c>
      <c r="F85" s="160">
        <v>4064</v>
      </c>
    </row>
    <row r="86" spans="1:6" x14ac:dyDescent="0.25">
      <c r="A86" s="123" t="s">
        <v>435</v>
      </c>
      <c r="B86" s="123" t="s">
        <v>81</v>
      </c>
      <c r="C86">
        <v>4092</v>
      </c>
      <c r="D86" s="123" t="s">
        <v>87</v>
      </c>
      <c r="E86">
        <v>2.78</v>
      </c>
      <c r="F86" s="160">
        <v>4092</v>
      </c>
    </row>
    <row r="87" spans="1:6" x14ac:dyDescent="0.25">
      <c r="A87" s="123" t="s">
        <v>435</v>
      </c>
      <c r="B87" s="123" t="s">
        <v>81</v>
      </c>
      <c r="C87">
        <v>4041</v>
      </c>
      <c r="D87" s="123" t="s">
        <v>88</v>
      </c>
      <c r="E87">
        <v>2.73</v>
      </c>
      <c r="F87" s="160">
        <v>4041</v>
      </c>
    </row>
    <row r="88" spans="1:6" x14ac:dyDescent="0.25">
      <c r="A88" s="123" t="s">
        <v>435</v>
      </c>
      <c r="B88" s="123" t="s">
        <v>81</v>
      </c>
      <c r="C88">
        <v>4085</v>
      </c>
      <c r="D88" s="123" t="s">
        <v>89</v>
      </c>
      <c r="E88">
        <v>3.78</v>
      </c>
      <c r="F88" s="160">
        <v>4085</v>
      </c>
    </row>
    <row r="89" spans="1:6" x14ac:dyDescent="0.25">
      <c r="A89" s="123" t="s">
        <v>435</v>
      </c>
      <c r="B89" s="123" t="s">
        <v>81</v>
      </c>
      <c r="C89">
        <v>4066</v>
      </c>
      <c r="D89" s="123" t="s">
        <v>90</v>
      </c>
      <c r="E89">
        <v>6.22</v>
      </c>
      <c r="F89" s="160">
        <v>4066</v>
      </c>
    </row>
    <row r="90" spans="1:6" x14ac:dyDescent="0.25">
      <c r="A90" s="123" t="s">
        <v>435</v>
      </c>
      <c r="B90" s="123" t="s">
        <v>81</v>
      </c>
      <c r="C90">
        <v>4067</v>
      </c>
      <c r="D90" s="123" t="s">
        <v>91</v>
      </c>
      <c r="E90">
        <v>3</v>
      </c>
      <c r="F90" s="160">
        <v>4067</v>
      </c>
    </row>
    <row r="91" spans="1:6" x14ac:dyDescent="0.25">
      <c r="A91" s="123" t="s">
        <v>435</v>
      </c>
      <c r="B91" s="123" t="s">
        <v>81</v>
      </c>
      <c r="C91">
        <v>4095</v>
      </c>
      <c r="D91" s="123" t="s">
        <v>92</v>
      </c>
      <c r="E91">
        <v>3.44</v>
      </c>
      <c r="F91" s="160">
        <v>4095</v>
      </c>
    </row>
    <row r="92" spans="1:6" x14ac:dyDescent="0.25">
      <c r="A92" s="123" t="s">
        <v>435</v>
      </c>
      <c r="B92" s="123" t="s">
        <v>81</v>
      </c>
      <c r="C92">
        <v>4087</v>
      </c>
      <c r="D92" s="123" t="s">
        <v>93</v>
      </c>
      <c r="E92">
        <v>7.79</v>
      </c>
      <c r="F92" s="160">
        <v>4087</v>
      </c>
    </row>
    <row r="93" spans="1:6" x14ac:dyDescent="0.25">
      <c r="A93" s="123" t="s">
        <v>435</v>
      </c>
      <c r="B93" s="123" t="s">
        <v>81</v>
      </c>
      <c r="C93">
        <v>4073</v>
      </c>
      <c r="D93" s="123" t="s">
        <v>94</v>
      </c>
      <c r="E93">
        <v>1.85</v>
      </c>
      <c r="F93" s="160">
        <v>4073</v>
      </c>
    </row>
    <row r="94" spans="1:6" x14ac:dyDescent="0.25">
      <c r="A94" s="123" t="s">
        <v>435</v>
      </c>
      <c r="B94" s="123" t="s">
        <v>81</v>
      </c>
      <c r="C94">
        <v>4074</v>
      </c>
      <c r="D94" s="123" t="s">
        <v>95</v>
      </c>
      <c r="E94">
        <v>2</v>
      </c>
      <c r="F94" s="160">
        <v>4074</v>
      </c>
    </row>
    <row r="95" spans="1:6" x14ac:dyDescent="0.25">
      <c r="A95" s="123" t="s">
        <v>435</v>
      </c>
      <c r="B95" s="123" t="s">
        <v>81</v>
      </c>
      <c r="C95">
        <v>4079</v>
      </c>
      <c r="D95" s="123" t="s">
        <v>96</v>
      </c>
      <c r="E95">
        <v>2.57</v>
      </c>
      <c r="F95" s="160">
        <v>4079</v>
      </c>
    </row>
    <row r="96" spans="1:6" x14ac:dyDescent="0.25">
      <c r="A96" s="123" t="s">
        <v>435</v>
      </c>
      <c r="B96" s="123" t="s">
        <v>81</v>
      </c>
      <c r="C96">
        <v>4031</v>
      </c>
      <c r="D96" s="123" t="s">
        <v>97</v>
      </c>
      <c r="E96">
        <v>3</v>
      </c>
      <c r="F96" s="160">
        <v>4031</v>
      </c>
    </row>
    <row r="97" spans="1:6" x14ac:dyDescent="0.25">
      <c r="A97" s="123" t="s">
        <v>435</v>
      </c>
      <c r="B97" s="123" t="s">
        <v>81</v>
      </c>
      <c r="C97">
        <v>4071</v>
      </c>
      <c r="D97" s="123" t="s">
        <v>98</v>
      </c>
      <c r="E97">
        <v>9.3800000000000008</v>
      </c>
      <c r="F97" s="160">
        <v>4071</v>
      </c>
    </row>
    <row r="98" spans="1:6" x14ac:dyDescent="0.25">
      <c r="A98" s="123" t="s">
        <v>435</v>
      </c>
      <c r="B98" s="123" t="s">
        <v>81</v>
      </c>
      <c r="C98">
        <v>4080</v>
      </c>
      <c r="D98" s="123" t="s">
        <v>99</v>
      </c>
      <c r="E98">
        <v>2.48</v>
      </c>
      <c r="F98" s="160">
        <v>4080</v>
      </c>
    </row>
    <row r="99" spans="1:6" x14ac:dyDescent="0.25">
      <c r="A99" s="123" t="s">
        <v>435</v>
      </c>
      <c r="B99" s="123" t="s">
        <v>100</v>
      </c>
      <c r="C99">
        <v>4113</v>
      </c>
      <c r="D99" s="123" t="s">
        <v>101</v>
      </c>
      <c r="E99">
        <v>3</v>
      </c>
      <c r="F99" s="160">
        <v>4113</v>
      </c>
    </row>
    <row r="100" spans="1:6" x14ac:dyDescent="0.25">
      <c r="A100" s="123" t="s">
        <v>435</v>
      </c>
      <c r="B100" s="123" t="s">
        <v>100</v>
      </c>
      <c r="C100">
        <v>4111</v>
      </c>
      <c r="D100" s="123" t="s">
        <v>102</v>
      </c>
      <c r="E100">
        <v>4</v>
      </c>
      <c r="F100" s="160">
        <v>4111</v>
      </c>
    </row>
    <row r="101" spans="1:6" x14ac:dyDescent="0.25">
      <c r="A101" s="123" t="s">
        <v>435</v>
      </c>
      <c r="B101" s="123" t="s">
        <v>100</v>
      </c>
      <c r="C101">
        <v>4104</v>
      </c>
      <c r="D101" s="123" t="s">
        <v>103</v>
      </c>
      <c r="E101">
        <v>5.7</v>
      </c>
      <c r="F101" s="160">
        <v>4104</v>
      </c>
    </row>
    <row r="102" spans="1:6" x14ac:dyDescent="0.25">
      <c r="A102" s="123" t="s">
        <v>435</v>
      </c>
      <c r="B102" s="123" t="s">
        <v>100</v>
      </c>
      <c r="C102">
        <v>4008</v>
      </c>
      <c r="D102" s="123" t="s">
        <v>104</v>
      </c>
      <c r="E102">
        <v>1.96</v>
      </c>
      <c r="F102" s="160">
        <v>4008</v>
      </c>
    </row>
    <row r="103" spans="1:6" x14ac:dyDescent="0.25">
      <c r="A103" s="123" t="s">
        <v>435</v>
      </c>
      <c r="B103" s="123" t="s">
        <v>100</v>
      </c>
      <c r="C103">
        <v>4007</v>
      </c>
      <c r="D103" s="123" t="s">
        <v>105</v>
      </c>
      <c r="E103">
        <v>8</v>
      </c>
      <c r="F103" s="160">
        <v>4007</v>
      </c>
    </row>
    <row r="104" spans="1:6" x14ac:dyDescent="0.25">
      <c r="A104" s="123" t="s">
        <v>435</v>
      </c>
      <c r="B104" s="123" t="s">
        <v>100</v>
      </c>
      <c r="C104">
        <v>4015</v>
      </c>
      <c r="D104" s="123" t="s">
        <v>106</v>
      </c>
      <c r="E104">
        <v>4.8</v>
      </c>
      <c r="F104" s="160">
        <v>4015</v>
      </c>
    </row>
    <row r="105" spans="1:6" x14ac:dyDescent="0.25">
      <c r="A105" s="123" t="s">
        <v>435</v>
      </c>
      <c r="B105" s="123" t="s">
        <v>100</v>
      </c>
      <c r="C105">
        <v>4109</v>
      </c>
      <c r="D105" s="123" t="s">
        <v>107</v>
      </c>
      <c r="E105">
        <v>3</v>
      </c>
      <c r="F105" s="160">
        <v>4109</v>
      </c>
    </row>
    <row r="106" spans="1:6" x14ac:dyDescent="0.25">
      <c r="A106" s="123" t="s">
        <v>435</v>
      </c>
      <c r="B106" s="123" t="s">
        <v>100</v>
      </c>
      <c r="C106">
        <v>4129</v>
      </c>
      <c r="D106" s="123" t="s">
        <v>108</v>
      </c>
      <c r="E106">
        <v>2</v>
      </c>
      <c r="F106" s="160">
        <v>4129</v>
      </c>
    </row>
    <row r="107" spans="1:6" x14ac:dyDescent="0.25">
      <c r="A107" s="123" t="s">
        <v>435</v>
      </c>
      <c r="B107" s="123" t="s">
        <v>100</v>
      </c>
      <c r="C107">
        <v>4116</v>
      </c>
      <c r="D107" s="123" t="s">
        <v>109</v>
      </c>
      <c r="E107">
        <v>5.56</v>
      </c>
      <c r="F107" s="160">
        <v>4116</v>
      </c>
    </row>
    <row r="108" spans="1:6" x14ac:dyDescent="0.25">
      <c r="A108" s="123" t="s">
        <v>435</v>
      </c>
      <c r="B108" s="123" t="s">
        <v>100</v>
      </c>
      <c r="C108">
        <v>4126</v>
      </c>
      <c r="D108" s="123" t="s">
        <v>110</v>
      </c>
      <c r="E108">
        <v>2</v>
      </c>
      <c r="F108" s="160">
        <v>4126</v>
      </c>
    </row>
    <row r="109" spans="1:6" x14ac:dyDescent="0.25">
      <c r="A109" s="123" t="s">
        <v>435</v>
      </c>
      <c r="B109" s="123" t="s">
        <v>100</v>
      </c>
      <c r="C109">
        <v>4119</v>
      </c>
      <c r="D109" s="123" t="s">
        <v>111</v>
      </c>
      <c r="E109">
        <v>5.4</v>
      </c>
      <c r="F109" s="160">
        <v>4119</v>
      </c>
    </row>
    <row r="110" spans="1:6" x14ac:dyDescent="0.25">
      <c r="A110" s="123" t="s">
        <v>435</v>
      </c>
      <c r="B110" s="123" t="s">
        <v>100</v>
      </c>
      <c r="C110">
        <v>4127</v>
      </c>
      <c r="D110" s="123" t="s">
        <v>112</v>
      </c>
      <c r="E110">
        <v>2</v>
      </c>
      <c r="F110" s="160">
        <v>4127</v>
      </c>
    </row>
    <row r="111" spans="1:6" x14ac:dyDescent="0.25">
      <c r="A111" s="123" t="s">
        <v>435</v>
      </c>
      <c r="B111" s="123" t="s">
        <v>100</v>
      </c>
      <c r="C111">
        <v>4121</v>
      </c>
      <c r="D111" s="123" t="s">
        <v>113</v>
      </c>
      <c r="E111">
        <v>4</v>
      </c>
      <c r="F111" s="160">
        <v>4121</v>
      </c>
    </row>
    <row r="112" spans="1:6" x14ac:dyDescent="0.25">
      <c r="A112" s="123" t="s">
        <v>435</v>
      </c>
      <c r="B112" s="123" t="s">
        <v>100</v>
      </c>
      <c r="C112">
        <v>4101</v>
      </c>
      <c r="D112" s="123" t="s">
        <v>114</v>
      </c>
      <c r="E112">
        <v>8</v>
      </c>
      <c r="F112" s="160">
        <v>4101</v>
      </c>
    </row>
    <row r="113" spans="1:6" x14ac:dyDescent="0.25">
      <c r="A113" s="123" t="s">
        <v>435</v>
      </c>
      <c r="B113" s="123" t="s">
        <v>100</v>
      </c>
      <c r="C113">
        <v>4110</v>
      </c>
      <c r="D113" s="123" t="s">
        <v>115</v>
      </c>
      <c r="E113">
        <v>2</v>
      </c>
      <c r="F113" s="160">
        <v>4110</v>
      </c>
    </row>
    <row r="114" spans="1:6" x14ac:dyDescent="0.25">
      <c r="A114" s="123" t="s">
        <v>435</v>
      </c>
      <c r="B114" s="123" t="s">
        <v>100</v>
      </c>
      <c r="C114">
        <v>4107</v>
      </c>
      <c r="D114" s="123" t="s">
        <v>116</v>
      </c>
      <c r="E114">
        <v>2</v>
      </c>
      <c r="F114" s="160">
        <v>4107</v>
      </c>
    </row>
    <row r="115" spans="1:6" x14ac:dyDescent="0.25">
      <c r="A115" s="123" t="s">
        <v>435</v>
      </c>
      <c r="B115" s="123" t="s">
        <v>100</v>
      </c>
      <c r="C115">
        <v>4120</v>
      </c>
      <c r="D115" s="123" t="s">
        <v>117</v>
      </c>
      <c r="E115">
        <v>1.8</v>
      </c>
      <c r="F115" s="160">
        <v>4120</v>
      </c>
    </row>
    <row r="116" spans="1:6" x14ac:dyDescent="0.25">
      <c r="A116" s="123" t="s">
        <v>435</v>
      </c>
      <c r="B116" s="123" t="s">
        <v>118</v>
      </c>
      <c r="C116">
        <v>4028</v>
      </c>
      <c r="D116" s="123" t="s">
        <v>119</v>
      </c>
      <c r="E116">
        <v>3.04</v>
      </c>
      <c r="F116" s="160">
        <v>4028</v>
      </c>
    </row>
    <row r="117" spans="1:6" x14ac:dyDescent="0.25">
      <c r="A117" s="123" t="s">
        <v>435</v>
      </c>
      <c r="B117" s="123" t="s">
        <v>118</v>
      </c>
      <c r="C117">
        <v>4033</v>
      </c>
      <c r="D117" s="123" t="s">
        <v>120</v>
      </c>
      <c r="E117">
        <v>1.55</v>
      </c>
      <c r="F117" s="160">
        <v>4033</v>
      </c>
    </row>
    <row r="118" spans="1:6" x14ac:dyDescent="0.25">
      <c r="A118" s="123" t="s">
        <v>435</v>
      </c>
      <c r="B118" s="123" t="s">
        <v>118</v>
      </c>
      <c r="C118">
        <v>4037</v>
      </c>
      <c r="D118" s="123" t="s">
        <v>121</v>
      </c>
      <c r="E118">
        <v>4.79</v>
      </c>
      <c r="F118" s="160">
        <v>4037</v>
      </c>
    </row>
    <row r="119" spans="1:6" x14ac:dyDescent="0.25">
      <c r="A119" s="123" t="s">
        <v>435</v>
      </c>
      <c r="B119" s="123" t="s">
        <v>118</v>
      </c>
      <c r="C119">
        <v>4038</v>
      </c>
      <c r="D119" s="123" t="s">
        <v>122</v>
      </c>
      <c r="E119">
        <v>4.87</v>
      </c>
      <c r="F119" s="160">
        <v>4038</v>
      </c>
    </row>
    <row r="120" spans="1:6" x14ac:dyDescent="0.25">
      <c r="A120" s="123" t="s">
        <v>435</v>
      </c>
      <c r="B120" s="123" t="s">
        <v>118</v>
      </c>
      <c r="C120">
        <v>4039</v>
      </c>
      <c r="D120" s="123" t="s">
        <v>123</v>
      </c>
      <c r="E120">
        <v>1.44</v>
      </c>
      <c r="F120" s="160">
        <v>4039</v>
      </c>
    </row>
    <row r="121" spans="1:6" x14ac:dyDescent="0.25">
      <c r="A121" s="123" t="s">
        <v>435</v>
      </c>
      <c r="B121" s="123" t="s">
        <v>118</v>
      </c>
      <c r="C121">
        <v>4027</v>
      </c>
      <c r="D121" s="123" t="s">
        <v>124</v>
      </c>
      <c r="E121">
        <v>3.46</v>
      </c>
      <c r="F121" s="160">
        <v>4027</v>
      </c>
    </row>
    <row r="122" spans="1:6" x14ac:dyDescent="0.25">
      <c r="A122" s="123" t="s">
        <v>435</v>
      </c>
      <c r="B122" s="123" t="s">
        <v>118</v>
      </c>
      <c r="C122">
        <v>4029</v>
      </c>
      <c r="D122" s="123" t="s">
        <v>125</v>
      </c>
      <c r="E122">
        <v>2.83</v>
      </c>
      <c r="F122" s="160">
        <v>4029</v>
      </c>
    </row>
    <row r="123" spans="1:6" x14ac:dyDescent="0.25">
      <c r="A123" s="123" t="s">
        <v>435</v>
      </c>
      <c r="B123" s="123" t="s">
        <v>118</v>
      </c>
      <c r="C123">
        <v>4019</v>
      </c>
      <c r="D123" s="123" t="s">
        <v>126</v>
      </c>
      <c r="E123">
        <v>5</v>
      </c>
      <c r="F123" s="160">
        <v>4019</v>
      </c>
    </row>
    <row r="124" spans="1:6" x14ac:dyDescent="0.25">
      <c r="A124" s="123" t="s">
        <v>435</v>
      </c>
      <c r="B124" s="123" t="s">
        <v>118</v>
      </c>
      <c r="C124">
        <v>4024</v>
      </c>
      <c r="D124" s="123" t="s">
        <v>127</v>
      </c>
      <c r="E124">
        <v>2.84</v>
      </c>
      <c r="F124" s="160">
        <v>4024</v>
      </c>
    </row>
    <row r="125" spans="1:6" x14ac:dyDescent="0.25">
      <c r="A125" s="123" t="s">
        <v>435</v>
      </c>
      <c r="B125" s="123" t="s">
        <v>118</v>
      </c>
      <c r="C125">
        <v>4047</v>
      </c>
      <c r="D125" s="123" t="s">
        <v>128</v>
      </c>
      <c r="E125">
        <v>5.6</v>
      </c>
      <c r="F125" s="160">
        <v>4047</v>
      </c>
    </row>
    <row r="126" spans="1:6" x14ac:dyDescent="0.25">
      <c r="A126" s="123" t="s">
        <v>435</v>
      </c>
      <c r="B126" s="123" t="s">
        <v>118</v>
      </c>
      <c r="C126">
        <v>4026</v>
      </c>
      <c r="D126" s="123" t="s">
        <v>129</v>
      </c>
      <c r="E126">
        <v>3.3</v>
      </c>
      <c r="F126" s="160">
        <v>4026</v>
      </c>
    </row>
    <row r="127" spans="1:6" x14ac:dyDescent="0.25">
      <c r="A127" s="123" t="s">
        <v>435</v>
      </c>
      <c r="B127" s="123" t="s">
        <v>118</v>
      </c>
      <c r="C127">
        <v>4045</v>
      </c>
      <c r="D127" s="123" t="s">
        <v>130</v>
      </c>
      <c r="E127">
        <v>5.24</v>
      </c>
      <c r="F127" s="160">
        <v>4045</v>
      </c>
    </row>
    <row r="128" spans="1:6" x14ac:dyDescent="0.25">
      <c r="A128" s="123" t="s">
        <v>435</v>
      </c>
      <c r="B128" s="123" t="s">
        <v>118</v>
      </c>
      <c r="C128">
        <v>4043</v>
      </c>
      <c r="D128" s="123" t="s">
        <v>131</v>
      </c>
      <c r="E128">
        <v>8.52</v>
      </c>
      <c r="F128" s="160">
        <v>4043</v>
      </c>
    </row>
    <row r="129" spans="1:6" x14ac:dyDescent="0.25">
      <c r="A129" s="123" t="s">
        <v>435</v>
      </c>
      <c r="B129" s="123" t="s">
        <v>118</v>
      </c>
      <c r="C129">
        <v>4048</v>
      </c>
      <c r="D129" s="123" t="s">
        <v>132</v>
      </c>
      <c r="E129">
        <v>2.66</v>
      </c>
      <c r="F129" s="160">
        <v>4048</v>
      </c>
    </row>
    <row r="130" spans="1:6" x14ac:dyDescent="0.25">
      <c r="A130" s="123" t="s">
        <v>435</v>
      </c>
      <c r="B130" s="123" t="s">
        <v>118</v>
      </c>
      <c r="C130">
        <v>4010</v>
      </c>
      <c r="D130" s="123" t="s">
        <v>133</v>
      </c>
      <c r="E130">
        <v>3.3</v>
      </c>
      <c r="F130" s="160">
        <v>4010</v>
      </c>
    </row>
    <row r="131" spans="1:6" x14ac:dyDescent="0.25">
      <c r="A131" s="123" t="s">
        <v>435</v>
      </c>
      <c r="B131" s="123" t="s">
        <v>118</v>
      </c>
      <c r="C131">
        <v>4054</v>
      </c>
      <c r="D131" s="123" t="s">
        <v>134</v>
      </c>
      <c r="E131">
        <v>3</v>
      </c>
      <c r="F131" s="160">
        <v>4054</v>
      </c>
    </row>
    <row r="132" spans="1:6" x14ac:dyDescent="0.25">
      <c r="A132" s="123" t="s">
        <v>435</v>
      </c>
      <c r="B132" s="123" t="s">
        <v>118</v>
      </c>
      <c r="C132">
        <v>4006</v>
      </c>
      <c r="D132" s="123" t="s">
        <v>135</v>
      </c>
      <c r="E132">
        <v>6.39</v>
      </c>
      <c r="F132" s="160">
        <v>4006</v>
      </c>
    </row>
    <row r="133" spans="1:6" x14ac:dyDescent="0.25">
      <c r="A133" s="123" t="s">
        <v>435</v>
      </c>
      <c r="B133" s="123" t="s">
        <v>118</v>
      </c>
      <c r="C133">
        <v>4020</v>
      </c>
      <c r="D133" s="123" t="s">
        <v>136</v>
      </c>
      <c r="E133">
        <v>4.84</v>
      </c>
      <c r="F133" s="160">
        <v>4020</v>
      </c>
    </row>
    <row r="134" spans="1:6" x14ac:dyDescent="0.25">
      <c r="A134" s="123" t="s">
        <v>435</v>
      </c>
      <c r="B134" s="123" t="s">
        <v>118</v>
      </c>
      <c r="C134">
        <v>4012</v>
      </c>
      <c r="D134" s="123" t="s">
        <v>137</v>
      </c>
      <c r="E134">
        <v>2</v>
      </c>
      <c r="F134" s="160">
        <v>4012</v>
      </c>
    </row>
    <row r="135" spans="1:6" x14ac:dyDescent="0.25">
      <c r="A135" s="123" t="s">
        <v>435</v>
      </c>
      <c r="B135" s="123" t="s">
        <v>118</v>
      </c>
      <c r="C135">
        <v>4023</v>
      </c>
      <c r="D135" s="123" t="s">
        <v>138</v>
      </c>
      <c r="E135">
        <v>3.26</v>
      </c>
      <c r="F135" s="160">
        <v>4023</v>
      </c>
    </row>
    <row r="136" spans="1:6" x14ac:dyDescent="0.25">
      <c r="A136" s="123" t="s">
        <v>436</v>
      </c>
      <c r="B136" s="123" t="s">
        <v>140</v>
      </c>
      <c r="C136">
        <v>4132</v>
      </c>
      <c r="D136" s="123" t="s">
        <v>141</v>
      </c>
      <c r="E136">
        <v>5.45</v>
      </c>
      <c r="F136" s="160">
        <v>4132</v>
      </c>
    </row>
    <row r="137" spans="1:6" x14ac:dyDescent="0.25">
      <c r="A137" s="123" t="s">
        <v>436</v>
      </c>
      <c r="B137" s="123" t="s">
        <v>140</v>
      </c>
      <c r="C137">
        <v>4130</v>
      </c>
      <c r="D137" s="123" t="s">
        <v>142</v>
      </c>
      <c r="E137">
        <v>6.5</v>
      </c>
      <c r="F137" s="160">
        <v>4130</v>
      </c>
    </row>
    <row r="138" spans="1:6" x14ac:dyDescent="0.25">
      <c r="A138" s="123" t="s">
        <v>436</v>
      </c>
      <c r="B138" s="123" t="s">
        <v>140</v>
      </c>
      <c r="C138">
        <v>4135</v>
      </c>
      <c r="D138" s="123" t="s">
        <v>143</v>
      </c>
      <c r="E138">
        <v>7.6</v>
      </c>
      <c r="F138" s="160">
        <v>4135</v>
      </c>
    </row>
    <row r="139" spans="1:6" x14ac:dyDescent="0.25">
      <c r="A139" s="123" t="s">
        <v>436</v>
      </c>
      <c r="B139" s="123" t="s">
        <v>140</v>
      </c>
      <c r="C139">
        <v>4162</v>
      </c>
      <c r="D139" s="123" t="s">
        <v>147</v>
      </c>
      <c r="E139">
        <v>4.8</v>
      </c>
      <c r="F139" s="160">
        <v>4162</v>
      </c>
    </row>
    <row r="140" spans="1:6" x14ac:dyDescent="0.25">
      <c r="A140" s="123" t="s">
        <v>436</v>
      </c>
      <c r="B140" s="123" t="s">
        <v>140</v>
      </c>
      <c r="C140">
        <v>4147</v>
      </c>
      <c r="D140" s="123" t="s">
        <v>148</v>
      </c>
      <c r="E140">
        <v>6.8</v>
      </c>
      <c r="F140" s="160">
        <v>4147</v>
      </c>
    </row>
    <row r="141" spans="1:6" x14ac:dyDescent="0.25">
      <c r="A141" s="123" t="s">
        <v>436</v>
      </c>
      <c r="B141" s="123" t="s">
        <v>140</v>
      </c>
      <c r="C141">
        <v>4141</v>
      </c>
      <c r="D141" s="123" t="s">
        <v>149</v>
      </c>
      <c r="E141">
        <v>4</v>
      </c>
      <c r="F141" s="160">
        <v>4141</v>
      </c>
    </row>
    <row r="142" spans="1:6" x14ac:dyDescent="0.25">
      <c r="A142" s="123" t="s">
        <v>436</v>
      </c>
      <c r="B142" s="123" t="s">
        <v>140</v>
      </c>
      <c r="C142">
        <v>4139</v>
      </c>
      <c r="D142" s="123" t="s">
        <v>150</v>
      </c>
      <c r="E142">
        <v>5.5</v>
      </c>
      <c r="F142" s="160">
        <v>4139</v>
      </c>
    </row>
    <row r="143" spans="1:6" x14ac:dyDescent="0.25">
      <c r="A143" s="123" t="s">
        <v>436</v>
      </c>
      <c r="B143" s="123" t="s">
        <v>140</v>
      </c>
      <c r="C143">
        <v>4143</v>
      </c>
      <c r="D143" s="123" t="s">
        <v>151</v>
      </c>
      <c r="E143">
        <v>5.41</v>
      </c>
      <c r="F143" s="160">
        <v>4143</v>
      </c>
    </row>
    <row r="144" spans="1:6" x14ac:dyDescent="0.25">
      <c r="A144" s="123" t="s">
        <v>436</v>
      </c>
      <c r="B144" s="123" t="s">
        <v>140</v>
      </c>
      <c r="C144">
        <v>4159</v>
      </c>
      <c r="D144" s="123" t="s">
        <v>152</v>
      </c>
      <c r="E144">
        <v>2</v>
      </c>
      <c r="F144" s="160">
        <v>4159</v>
      </c>
    </row>
    <row r="145" spans="1:6" x14ac:dyDescent="0.25">
      <c r="A145" s="123" t="s">
        <v>436</v>
      </c>
      <c r="B145" s="123" t="s">
        <v>140</v>
      </c>
      <c r="C145">
        <v>4157</v>
      </c>
      <c r="D145" s="123" t="s">
        <v>153</v>
      </c>
      <c r="E145">
        <v>4</v>
      </c>
      <c r="F145" s="160">
        <v>4157</v>
      </c>
    </row>
    <row r="146" spans="1:6" x14ac:dyDescent="0.25">
      <c r="A146" s="123" t="s">
        <v>436</v>
      </c>
      <c r="B146" s="123" t="s">
        <v>140</v>
      </c>
      <c r="C146">
        <v>4148</v>
      </c>
      <c r="D146" s="123" t="s">
        <v>154</v>
      </c>
      <c r="E146">
        <v>4</v>
      </c>
      <c r="F146" s="160">
        <v>4148</v>
      </c>
    </row>
    <row r="147" spans="1:6" x14ac:dyDescent="0.25">
      <c r="A147" s="123" t="s">
        <v>436</v>
      </c>
      <c r="B147" s="123" t="s">
        <v>140</v>
      </c>
      <c r="C147">
        <v>4144</v>
      </c>
      <c r="D147" s="123" t="s">
        <v>155</v>
      </c>
      <c r="E147">
        <v>3</v>
      </c>
      <c r="F147" s="160">
        <v>4144</v>
      </c>
    </row>
    <row r="148" spans="1:6" x14ac:dyDescent="0.25">
      <c r="A148" s="123" t="s">
        <v>436</v>
      </c>
      <c r="B148" s="123" t="s">
        <v>140</v>
      </c>
      <c r="C148">
        <v>4153</v>
      </c>
      <c r="D148" s="123" t="s">
        <v>156</v>
      </c>
      <c r="E148">
        <v>3.96</v>
      </c>
      <c r="F148" s="160">
        <v>4153</v>
      </c>
    </row>
    <row r="149" spans="1:6" x14ac:dyDescent="0.25">
      <c r="A149" s="123" t="s">
        <v>436</v>
      </c>
      <c r="B149" s="123" t="s">
        <v>140</v>
      </c>
      <c r="C149">
        <v>4164</v>
      </c>
      <c r="D149" s="123" t="s">
        <v>157</v>
      </c>
      <c r="E149">
        <v>3</v>
      </c>
      <c r="F149" s="160">
        <v>4164</v>
      </c>
    </row>
    <row r="150" spans="1:6" x14ac:dyDescent="0.25">
      <c r="A150" s="123" t="s">
        <v>436</v>
      </c>
      <c r="B150" s="123" t="s">
        <v>140</v>
      </c>
      <c r="C150">
        <v>4140</v>
      </c>
      <c r="D150" s="123" t="s">
        <v>158</v>
      </c>
      <c r="E150">
        <v>2</v>
      </c>
      <c r="F150" s="160">
        <v>4140</v>
      </c>
    </row>
    <row r="151" spans="1:6" x14ac:dyDescent="0.25">
      <c r="A151" s="123" t="s">
        <v>436</v>
      </c>
      <c r="B151" s="123" t="s">
        <v>159</v>
      </c>
      <c r="C151">
        <v>4189</v>
      </c>
      <c r="D151" s="123" t="s">
        <v>160</v>
      </c>
      <c r="E151">
        <v>3.5</v>
      </c>
      <c r="F151" s="160">
        <v>4189</v>
      </c>
    </row>
    <row r="152" spans="1:6" x14ac:dyDescent="0.25">
      <c r="A152" s="123" t="s">
        <v>436</v>
      </c>
      <c r="B152" s="123" t="s">
        <v>159</v>
      </c>
      <c r="C152">
        <v>4195</v>
      </c>
      <c r="D152" s="123" t="s">
        <v>161</v>
      </c>
      <c r="E152">
        <v>3.5</v>
      </c>
      <c r="F152" s="160">
        <v>4195</v>
      </c>
    </row>
    <row r="153" spans="1:6" x14ac:dyDescent="0.25">
      <c r="A153" s="123" t="s">
        <v>436</v>
      </c>
      <c r="B153" s="123" t="s">
        <v>159</v>
      </c>
      <c r="C153">
        <v>4193</v>
      </c>
      <c r="D153" s="123" t="s">
        <v>162</v>
      </c>
      <c r="E153">
        <v>3.78</v>
      </c>
      <c r="F153" s="160">
        <v>4193</v>
      </c>
    </row>
    <row r="154" spans="1:6" x14ac:dyDescent="0.25">
      <c r="A154" s="123" t="s">
        <v>436</v>
      </c>
      <c r="B154" s="123" t="s">
        <v>159</v>
      </c>
      <c r="C154">
        <v>4184</v>
      </c>
      <c r="D154" s="123" t="s">
        <v>163</v>
      </c>
      <c r="E154">
        <v>3.56</v>
      </c>
      <c r="F154" s="160">
        <v>4184</v>
      </c>
    </row>
    <row r="155" spans="1:6" x14ac:dyDescent="0.25">
      <c r="A155" s="123" t="s">
        <v>436</v>
      </c>
      <c r="B155" s="123" t="s">
        <v>159</v>
      </c>
      <c r="C155">
        <v>4196</v>
      </c>
      <c r="D155" s="123" t="s">
        <v>164</v>
      </c>
      <c r="E155">
        <v>2</v>
      </c>
      <c r="F155" s="160">
        <v>4196</v>
      </c>
    </row>
    <row r="156" spans="1:6" x14ac:dyDescent="0.25">
      <c r="A156" s="123" t="s">
        <v>436</v>
      </c>
      <c r="B156" s="123" t="s">
        <v>159</v>
      </c>
      <c r="C156">
        <v>4174</v>
      </c>
      <c r="D156" s="123" t="s">
        <v>165</v>
      </c>
      <c r="E156">
        <v>5.8</v>
      </c>
      <c r="F156" s="160">
        <v>4174</v>
      </c>
    </row>
    <row r="157" spans="1:6" x14ac:dyDescent="0.25">
      <c r="A157" s="123" t="s">
        <v>436</v>
      </c>
      <c r="B157" s="123" t="s">
        <v>159</v>
      </c>
      <c r="C157">
        <v>4170</v>
      </c>
      <c r="D157" s="123" t="s">
        <v>166</v>
      </c>
      <c r="E157">
        <v>5.8</v>
      </c>
      <c r="F157" s="160">
        <v>4170</v>
      </c>
    </row>
    <row r="158" spans="1:6" x14ac:dyDescent="0.25">
      <c r="A158" s="123" t="s">
        <v>436</v>
      </c>
      <c r="B158" s="123" t="s">
        <v>159</v>
      </c>
      <c r="C158">
        <v>4169</v>
      </c>
      <c r="D158" s="123" t="s">
        <v>167</v>
      </c>
      <c r="E158">
        <v>5.8</v>
      </c>
      <c r="F158" s="160">
        <v>4169</v>
      </c>
    </row>
    <row r="159" spans="1:6" x14ac:dyDescent="0.25">
      <c r="A159" s="123" t="s">
        <v>436</v>
      </c>
      <c r="B159" s="123" t="s">
        <v>159</v>
      </c>
      <c r="C159">
        <v>4188</v>
      </c>
      <c r="D159" s="123" t="s">
        <v>168</v>
      </c>
      <c r="E159">
        <v>3</v>
      </c>
      <c r="F159" s="160">
        <v>4188</v>
      </c>
    </row>
    <row r="160" spans="1:6" x14ac:dyDescent="0.25">
      <c r="A160" s="123" t="s">
        <v>436</v>
      </c>
      <c r="B160" s="123" t="s">
        <v>159</v>
      </c>
      <c r="C160">
        <v>4180</v>
      </c>
      <c r="D160" s="123" t="s">
        <v>169</v>
      </c>
      <c r="E160">
        <v>3.6</v>
      </c>
      <c r="F160" s="160">
        <v>4180</v>
      </c>
    </row>
    <row r="161" spans="1:6" x14ac:dyDescent="0.25">
      <c r="A161" s="123" t="s">
        <v>436</v>
      </c>
      <c r="B161" s="123" t="s">
        <v>159</v>
      </c>
      <c r="C161">
        <v>4185</v>
      </c>
      <c r="D161" s="123" t="s">
        <v>170</v>
      </c>
      <c r="E161">
        <v>4</v>
      </c>
      <c r="F161" s="160">
        <v>4185</v>
      </c>
    </row>
    <row r="162" spans="1:6" x14ac:dyDescent="0.25">
      <c r="A162" s="123" t="s">
        <v>436</v>
      </c>
      <c r="B162" s="123" t="s">
        <v>159</v>
      </c>
      <c r="C162">
        <v>4178</v>
      </c>
      <c r="D162" s="123" t="s">
        <v>171</v>
      </c>
      <c r="E162">
        <v>6.8</v>
      </c>
      <c r="F162" s="160">
        <v>4178</v>
      </c>
    </row>
    <row r="163" spans="1:6" x14ac:dyDescent="0.25">
      <c r="A163" s="123" t="s">
        <v>436</v>
      </c>
      <c r="B163" s="123" t="s">
        <v>159</v>
      </c>
      <c r="C163">
        <v>4194</v>
      </c>
      <c r="D163" s="123" t="s">
        <v>172</v>
      </c>
      <c r="E163">
        <v>6.6</v>
      </c>
      <c r="F163" s="160">
        <v>4194</v>
      </c>
    </row>
    <row r="164" spans="1:6" x14ac:dyDescent="0.25">
      <c r="A164" s="123" t="s">
        <v>436</v>
      </c>
      <c r="B164" s="123" t="s">
        <v>159</v>
      </c>
      <c r="C164">
        <v>4181</v>
      </c>
      <c r="D164" s="123" t="s">
        <v>173</v>
      </c>
      <c r="E164">
        <v>4.01</v>
      </c>
      <c r="F164" s="160">
        <v>4181</v>
      </c>
    </row>
    <row r="165" spans="1:6" x14ac:dyDescent="0.25">
      <c r="A165" s="123" t="s">
        <v>436</v>
      </c>
      <c r="B165" s="123" t="s">
        <v>159</v>
      </c>
      <c r="C165">
        <v>4183</v>
      </c>
      <c r="D165" s="123" t="s">
        <v>174</v>
      </c>
      <c r="E165">
        <v>2</v>
      </c>
      <c r="F165" s="160">
        <v>4183</v>
      </c>
    </row>
    <row r="166" spans="1:6" x14ac:dyDescent="0.25">
      <c r="A166" s="123" t="s">
        <v>437</v>
      </c>
      <c r="B166" s="123" t="s">
        <v>438</v>
      </c>
      <c r="C166">
        <v>551110</v>
      </c>
      <c r="D166" s="123" t="s">
        <v>177</v>
      </c>
      <c r="E166">
        <v>5.65</v>
      </c>
      <c r="F166" s="160">
        <v>551110</v>
      </c>
    </row>
    <row r="167" spans="1:6" x14ac:dyDescent="0.25">
      <c r="A167" s="123" t="s">
        <v>175</v>
      </c>
      <c r="B167" s="123" t="s">
        <v>438</v>
      </c>
      <c r="C167">
        <v>451101</v>
      </c>
      <c r="D167" s="123" t="s">
        <v>178</v>
      </c>
      <c r="E167">
        <v>10.18</v>
      </c>
      <c r="F167" s="160">
        <v>451101</v>
      </c>
    </row>
    <row r="168" spans="1:6" x14ac:dyDescent="0.25">
      <c r="A168" s="123" t="s">
        <v>175</v>
      </c>
      <c r="B168" s="123" t="s">
        <v>438</v>
      </c>
      <c r="C168">
        <v>551103</v>
      </c>
      <c r="D168" s="123" t="s">
        <v>179</v>
      </c>
      <c r="E168">
        <v>3</v>
      </c>
      <c r="F168" s="160">
        <v>551103</v>
      </c>
    </row>
    <row r="169" spans="1:6" x14ac:dyDescent="0.25">
      <c r="A169" s="123" t="s">
        <v>175</v>
      </c>
      <c r="B169" s="123" t="s">
        <v>438</v>
      </c>
      <c r="C169">
        <v>551330</v>
      </c>
      <c r="D169" s="123" t="s">
        <v>180</v>
      </c>
      <c r="E169">
        <v>3</v>
      </c>
      <c r="F169" s="160">
        <v>551330</v>
      </c>
    </row>
    <row r="170" spans="1:6" x14ac:dyDescent="0.25">
      <c r="A170" s="123" t="s">
        <v>175</v>
      </c>
      <c r="B170" s="123" t="s">
        <v>438</v>
      </c>
      <c r="C170">
        <v>451115</v>
      </c>
      <c r="D170" s="123" t="s">
        <v>181</v>
      </c>
      <c r="E170">
        <v>3</v>
      </c>
      <c r="F170" s="160">
        <v>451115</v>
      </c>
    </row>
    <row r="171" spans="1:6" x14ac:dyDescent="0.25">
      <c r="A171" s="123" t="s">
        <v>175</v>
      </c>
      <c r="B171" s="123" t="s">
        <v>438</v>
      </c>
      <c r="C171">
        <v>551128</v>
      </c>
      <c r="D171" s="123" t="s">
        <v>182</v>
      </c>
      <c r="E171">
        <v>3</v>
      </c>
      <c r="F171" s="160">
        <v>551128</v>
      </c>
    </row>
    <row r="172" spans="1:6" x14ac:dyDescent="0.25">
      <c r="A172" s="123" t="s">
        <v>175</v>
      </c>
      <c r="B172" s="123" t="s">
        <v>438</v>
      </c>
      <c r="C172">
        <v>451120</v>
      </c>
      <c r="D172" s="123" t="s">
        <v>183</v>
      </c>
      <c r="E172">
        <v>2.5</v>
      </c>
      <c r="F172" s="160">
        <v>451120</v>
      </c>
    </row>
    <row r="173" spans="1:6" x14ac:dyDescent="0.25">
      <c r="A173" s="123" t="s">
        <v>175</v>
      </c>
      <c r="B173" s="123" t="s">
        <v>438</v>
      </c>
      <c r="C173">
        <v>451381</v>
      </c>
      <c r="D173" s="123" t="s">
        <v>184</v>
      </c>
      <c r="E173">
        <v>6.66</v>
      </c>
      <c r="F173" s="160">
        <v>451381</v>
      </c>
    </row>
    <row r="174" spans="1:6" x14ac:dyDescent="0.25">
      <c r="A174" s="123" t="s">
        <v>175</v>
      </c>
      <c r="B174" s="123" t="s">
        <v>438</v>
      </c>
      <c r="C174">
        <v>551354</v>
      </c>
      <c r="D174" s="123" t="s">
        <v>185</v>
      </c>
      <c r="E174">
        <v>2.4300000000000002</v>
      </c>
      <c r="F174" s="160">
        <v>551354</v>
      </c>
    </row>
    <row r="175" spans="1:6" x14ac:dyDescent="0.25">
      <c r="A175" s="123" t="s">
        <v>175</v>
      </c>
      <c r="B175" s="123" t="s">
        <v>438</v>
      </c>
      <c r="C175">
        <v>451166</v>
      </c>
      <c r="D175" s="123" t="s">
        <v>186</v>
      </c>
      <c r="E175">
        <v>6.5</v>
      </c>
      <c r="F175" s="160">
        <v>451166</v>
      </c>
    </row>
    <row r="176" spans="1:6" x14ac:dyDescent="0.25">
      <c r="A176" s="123" t="s">
        <v>175</v>
      </c>
      <c r="B176" s="123" t="s">
        <v>439</v>
      </c>
      <c r="C176">
        <v>508815</v>
      </c>
      <c r="D176" s="123" t="s">
        <v>188</v>
      </c>
      <c r="E176">
        <v>3</v>
      </c>
      <c r="F176" s="160">
        <v>508815</v>
      </c>
    </row>
    <row r="177" spans="1:6" x14ac:dyDescent="0.25">
      <c r="A177" s="123" t="s">
        <v>175</v>
      </c>
      <c r="B177" s="123" t="s">
        <v>439</v>
      </c>
      <c r="C177">
        <v>408801</v>
      </c>
      <c r="D177" s="123" t="s">
        <v>189</v>
      </c>
      <c r="E177">
        <v>8.7799999999999994</v>
      </c>
      <c r="F177" s="160">
        <v>408801</v>
      </c>
    </row>
    <row r="178" spans="1:6" x14ac:dyDescent="0.25">
      <c r="A178" s="123" t="s">
        <v>175</v>
      </c>
      <c r="B178" s="123" t="s">
        <v>439</v>
      </c>
      <c r="C178">
        <v>408822</v>
      </c>
      <c r="D178" s="123" t="s">
        <v>187</v>
      </c>
      <c r="E178">
        <v>4.5</v>
      </c>
      <c r="F178" s="160">
        <v>408822</v>
      </c>
    </row>
    <row r="179" spans="1:6" x14ac:dyDescent="0.25">
      <c r="A179" s="123" t="s">
        <v>175</v>
      </c>
      <c r="B179" s="123" t="s">
        <v>439</v>
      </c>
      <c r="C179">
        <v>508817</v>
      </c>
      <c r="D179" s="123" t="s">
        <v>190</v>
      </c>
      <c r="E179">
        <v>3.13</v>
      </c>
      <c r="F179" s="160">
        <v>508817</v>
      </c>
    </row>
    <row r="180" spans="1:6" x14ac:dyDescent="0.25">
      <c r="A180" s="123" t="s">
        <v>175</v>
      </c>
      <c r="B180" s="123" t="s">
        <v>439</v>
      </c>
      <c r="C180">
        <v>508802</v>
      </c>
      <c r="D180" s="123" t="s">
        <v>191</v>
      </c>
      <c r="E180">
        <v>3</v>
      </c>
      <c r="F180" s="160">
        <v>508802</v>
      </c>
    </row>
    <row r="181" spans="1:6" x14ac:dyDescent="0.25">
      <c r="A181" s="123" t="s">
        <v>175</v>
      </c>
      <c r="B181" s="123" t="s">
        <v>439</v>
      </c>
      <c r="C181">
        <v>508839</v>
      </c>
      <c r="D181" s="123" t="s">
        <v>192</v>
      </c>
      <c r="E181">
        <v>3.09</v>
      </c>
      <c r="F181" s="160">
        <v>508839</v>
      </c>
    </row>
    <row r="182" spans="1:6" x14ac:dyDescent="0.25">
      <c r="A182" s="123" t="s">
        <v>175</v>
      </c>
      <c r="B182" s="123" t="s">
        <v>439</v>
      </c>
      <c r="C182">
        <v>508819</v>
      </c>
      <c r="D182" s="123" t="s">
        <v>193</v>
      </c>
      <c r="E182">
        <v>1.96</v>
      </c>
      <c r="F182" s="160">
        <v>508819</v>
      </c>
    </row>
    <row r="183" spans="1:6" x14ac:dyDescent="0.25">
      <c r="A183" s="123" t="s">
        <v>175</v>
      </c>
      <c r="B183" s="123" t="s">
        <v>439</v>
      </c>
      <c r="C183">
        <v>408840</v>
      </c>
      <c r="D183" s="123" t="s">
        <v>194</v>
      </c>
      <c r="E183">
        <v>6.61</v>
      </c>
      <c r="F183" s="160">
        <v>408840</v>
      </c>
    </row>
    <row r="184" spans="1:6" x14ac:dyDescent="0.25">
      <c r="A184" s="123" t="s">
        <v>175</v>
      </c>
      <c r="B184" s="123" t="s">
        <v>439</v>
      </c>
      <c r="C184">
        <v>408862</v>
      </c>
      <c r="D184" s="123" t="s">
        <v>195</v>
      </c>
      <c r="E184">
        <v>3.75</v>
      </c>
      <c r="F184" s="160">
        <v>408862</v>
      </c>
    </row>
    <row r="185" spans="1:6" x14ac:dyDescent="0.25">
      <c r="A185" s="123" t="s">
        <v>175</v>
      </c>
      <c r="B185" s="123" t="s">
        <v>439</v>
      </c>
      <c r="C185">
        <v>508860</v>
      </c>
      <c r="D185" s="123" t="s">
        <v>196</v>
      </c>
      <c r="E185">
        <v>3.6</v>
      </c>
      <c r="F185" s="160">
        <v>508860</v>
      </c>
    </row>
    <row r="186" spans="1:6" x14ac:dyDescent="0.25">
      <c r="A186" s="123" t="s">
        <v>175</v>
      </c>
      <c r="B186" s="123" t="s">
        <v>439</v>
      </c>
      <c r="C186">
        <v>408806</v>
      </c>
      <c r="D186" s="123" t="s">
        <v>197</v>
      </c>
      <c r="E186">
        <v>8.91</v>
      </c>
      <c r="F186" s="160">
        <v>408806</v>
      </c>
    </row>
    <row r="187" spans="1:6" x14ac:dyDescent="0.25">
      <c r="A187" s="123" t="s">
        <v>175</v>
      </c>
      <c r="B187" s="123" t="s">
        <v>439</v>
      </c>
      <c r="C187">
        <v>508833</v>
      </c>
      <c r="D187" s="123" t="s">
        <v>198</v>
      </c>
      <c r="E187">
        <v>2.8</v>
      </c>
      <c r="F187" s="160">
        <v>508833</v>
      </c>
    </row>
    <row r="188" spans="1:6" x14ac:dyDescent="0.25">
      <c r="A188" s="123" t="s">
        <v>175</v>
      </c>
      <c r="B188" s="123" t="s">
        <v>439</v>
      </c>
      <c r="C188">
        <v>508820</v>
      </c>
      <c r="D188" s="123" t="s">
        <v>199</v>
      </c>
      <c r="E188">
        <v>2</v>
      </c>
      <c r="F188" s="160">
        <v>508820</v>
      </c>
    </row>
    <row r="189" spans="1:6" x14ac:dyDescent="0.25">
      <c r="A189" s="123" t="s">
        <v>175</v>
      </c>
      <c r="B189" s="123" t="s">
        <v>201</v>
      </c>
      <c r="C189">
        <v>551367</v>
      </c>
      <c r="D189" s="123" t="s">
        <v>202</v>
      </c>
      <c r="E189">
        <v>3</v>
      </c>
      <c r="F189" s="160">
        <v>551367</v>
      </c>
    </row>
    <row r="190" spans="1:6" x14ac:dyDescent="0.25">
      <c r="A190" s="123" t="s">
        <v>175</v>
      </c>
      <c r="B190" s="123" t="s">
        <v>201</v>
      </c>
      <c r="C190">
        <v>551340</v>
      </c>
      <c r="D190" s="123" t="s">
        <v>203</v>
      </c>
      <c r="E190">
        <v>3</v>
      </c>
      <c r="F190" s="160">
        <v>551340</v>
      </c>
    </row>
    <row r="191" spans="1:6" x14ac:dyDescent="0.25">
      <c r="A191" s="123" t="s">
        <v>175</v>
      </c>
      <c r="B191" s="123" t="s">
        <v>201</v>
      </c>
      <c r="C191">
        <v>551369</v>
      </c>
      <c r="D191" s="123" t="s">
        <v>204</v>
      </c>
      <c r="E191">
        <v>3</v>
      </c>
      <c r="F191" s="160">
        <v>551369</v>
      </c>
    </row>
    <row r="192" spans="1:6" x14ac:dyDescent="0.25">
      <c r="A192" s="123" t="s">
        <v>175</v>
      </c>
      <c r="B192" s="123" t="s">
        <v>201</v>
      </c>
      <c r="C192">
        <v>551365</v>
      </c>
      <c r="D192" s="123" t="s">
        <v>205</v>
      </c>
      <c r="E192">
        <v>2.84</v>
      </c>
      <c r="F192" s="160">
        <v>551365</v>
      </c>
    </row>
    <row r="193" spans="1:6" x14ac:dyDescent="0.25">
      <c r="A193" s="123" t="s">
        <v>175</v>
      </c>
      <c r="B193" s="123" t="s">
        <v>201</v>
      </c>
      <c r="C193">
        <v>451370</v>
      </c>
      <c r="D193" s="123" t="s">
        <v>206</v>
      </c>
      <c r="E193">
        <v>10.199999999999999</v>
      </c>
      <c r="F193" s="160">
        <v>451370</v>
      </c>
    </row>
    <row r="194" spans="1:6" x14ac:dyDescent="0.25">
      <c r="A194" s="123" t="s">
        <v>175</v>
      </c>
      <c r="B194" s="123" t="s">
        <v>201</v>
      </c>
      <c r="C194">
        <v>551314</v>
      </c>
      <c r="D194" s="123" t="s">
        <v>207</v>
      </c>
      <c r="E194">
        <v>2.87</v>
      </c>
      <c r="F194" s="160">
        <v>551314</v>
      </c>
    </row>
    <row r="195" spans="1:6" x14ac:dyDescent="0.25">
      <c r="A195" s="123" t="s">
        <v>175</v>
      </c>
      <c r="B195" s="123" t="s">
        <v>201</v>
      </c>
      <c r="C195">
        <v>451361</v>
      </c>
      <c r="D195" s="123" t="s">
        <v>208</v>
      </c>
      <c r="E195">
        <v>2</v>
      </c>
      <c r="F195" s="160">
        <v>451361</v>
      </c>
    </row>
    <row r="196" spans="1:6" x14ac:dyDescent="0.25">
      <c r="A196" s="123" t="s">
        <v>175</v>
      </c>
      <c r="B196" s="123" t="s">
        <v>201</v>
      </c>
      <c r="C196">
        <v>451350</v>
      </c>
      <c r="D196" s="123" t="s">
        <v>209</v>
      </c>
      <c r="E196">
        <v>8.1300000000000008</v>
      </c>
      <c r="F196" s="160">
        <v>451350</v>
      </c>
    </row>
    <row r="197" spans="1:6" x14ac:dyDescent="0.25">
      <c r="A197" s="123" t="s">
        <v>175</v>
      </c>
      <c r="B197" s="123" t="s">
        <v>201</v>
      </c>
      <c r="C197">
        <v>551310</v>
      </c>
      <c r="D197" s="123" t="s">
        <v>210</v>
      </c>
      <c r="E197">
        <v>4</v>
      </c>
      <c r="F197" s="160">
        <v>551310</v>
      </c>
    </row>
    <row r="198" spans="1:6" x14ac:dyDescent="0.25">
      <c r="A198" s="123" t="s">
        <v>175</v>
      </c>
      <c r="B198" s="123" t="s">
        <v>201</v>
      </c>
      <c r="C198">
        <v>551309</v>
      </c>
      <c r="D198" s="123" t="s">
        <v>211</v>
      </c>
      <c r="E198">
        <v>3</v>
      </c>
      <c r="F198" s="160">
        <v>551309</v>
      </c>
    </row>
    <row r="199" spans="1:6" x14ac:dyDescent="0.25">
      <c r="A199" s="123" t="s">
        <v>175</v>
      </c>
      <c r="B199" s="123" t="s">
        <v>201</v>
      </c>
      <c r="C199">
        <v>551305</v>
      </c>
      <c r="D199" s="123" t="s">
        <v>212</v>
      </c>
      <c r="E199">
        <v>3.8</v>
      </c>
      <c r="F199" s="160">
        <v>551305</v>
      </c>
    </row>
    <row r="200" spans="1:6" x14ac:dyDescent="0.25">
      <c r="A200" s="123" t="s">
        <v>175</v>
      </c>
      <c r="B200" s="123" t="s">
        <v>201</v>
      </c>
      <c r="C200">
        <v>451301</v>
      </c>
      <c r="D200" s="123" t="s">
        <v>213</v>
      </c>
      <c r="E200">
        <v>7.26</v>
      </c>
      <c r="F200" s="160">
        <v>451301</v>
      </c>
    </row>
    <row r="201" spans="1:6" x14ac:dyDescent="0.25">
      <c r="A201" s="123" t="s">
        <v>175</v>
      </c>
      <c r="B201" s="123" t="s">
        <v>201</v>
      </c>
      <c r="C201">
        <v>551341</v>
      </c>
      <c r="D201" s="123" t="s">
        <v>214</v>
      </c>
      <c r="E201">
        <v>4.33</v>
      </c>
      <c r="F201" s="160">
        <v>551341</v>
      </c>
    </row>
    <row r="202" spans="1:6" x14ac:dyDescent="0.25">
      <c r="A202" s="123" t="s">
        <v>175</v>
      </c>
      <c r="B202" s="123" t="s">
        <v>201</v>
      </c>
      <c r="C202">
        <v>551306</v>
      </c>
      <c r="D202" s="123" t="s">
        <v>216</v>
      </c>
      <c r="E202">
        <v>4.5</v>
      </c>
      <c r="F202" s="160">
        <v>551306</v>
      </c>
    </row>
    <row r="203" spans="1:6" x14ac:dyDescent="0.25">
      <c r="A203" s="123" t="s">
        <v>175</v>
      </c>
      <c r="B203" s="123" t="s">
        <v>201</v>
      </c>
      <c r="C203">
        <v>551349</v>
      </c>
      <c r="D203" s="123" t="s">
        <v>217</v>
      </c>
      <c r="E203">
        <v>3</v>
      </c>
      <c r="F203" s="160">
        <v>551349</v>
      </c>
    </row>
    <row r="204" spans="1:6" x14ac:dyDescent="0.25">
      <c r="A204" s="123" t="s">
        <v>175</v>
      </c>
      <c r="B204" s="123" t="s">
        <v>201</v>
      </c>
      <c r="C204">
        <v>451308</v>
      </c>
      <c r="D204" s="123" t="s">
        <v>218</v>
      </c>
      <c r="E204">
        <v>8.39</v>
      </c>
      <c r="F204" s="160">
        <v>451308</v>
      </c>
    </row>
    <row r="205" spans="1:6" x14ac:dyDescent="0.25">
      <c r="A205" s="123" t="s">
        <v>175</v>
      </c>
      <c r="B205" s="123" t="s">
        <v>201</v>
      </c>
      <c r="C205">
        <v>551307</v>
      </c>
      <c r="D205" s="123" t="s">
        <v>215</v>
      </c>
      <c r="E205">
        <v>2.96</v>
      </c>
      <c r="F205" s="160">
        <v>551307</v>
      </c>
    </row>
    <row r="206" spans="1:6" x14ac:dyDescent="0.25">
      <c r="A206" s="123" t="s">
        <v>175</v>
      </c>
      <c r="B206" s="123" t="s">
        <v>201</v>
      </c>
      <c r="C206">
        <v>451336</v>
      </c>
      <c r="D206" s="123" t="s">
        <v>219</v>
      </c>
      <c r="E206">
        <v>6.87</v>
      </c>
      <c r="F206" s="160">
        <v>451336</v>
      </c>
    </row>
    <row r="207" spans="1:6" x14ac:dyDescent="0.25">
      <c r="A207" s="124" t="s">
        <v>440</v>
      </c>
      <c r="B207" s="123" t="s">
        <v>221</v>
      </c>
      <c r="C207">
        <v>554116</v>
      </c>
      <c r="D207" s="123" t="s">
        <v>222</v>
      </c>
      <c r="E207">
        <v>3</v>
      </c>
      <c r="F207" s="160">
        <v>554116</v>
      </c>
    </row>
    <row r="208" spans="1:6" x14ac:dyDescent="0.25">
      <c r="A208" s="124" t="s">
        <v>440</v>
      </c>
      <c r="B208" s="123" t="s">
        <v>221</v>
      </c>
      <c r="C208">
        <v>454161</v>
      </c>
      <c r="D208" s="123" t="s">
        <v>223</v>
      </c>
      <c r="E208">
        <v>1.2</v>
      </c>
      <c r="F208" s="160">
        <v>454161</v>
      </c>
    </row>
    <row r="209" spans="1:6" x14ac:dyDescent="0.25">
      <c r="A209" s="124" t="s">
        <v>440</v>
      </c>
      <c r="B209" s="123" t="s">
        <v>221</v>
      </c>
      <c r="C209">
        <v>554166</v>
      </c>
      <c r="D209" s="123" t="s">
        <v>224</v>
      </c>
      <c r="E209">
        <v>2.78</v>
      </c>
      <c r="F209" s="160">
        <v>554166</v>
      </c>
    </row>
    <row r="210" spans="1:6" x14ac:dyDescent="0.25">
      <c r="A210" s="124" t="s">
        <v>440</v>
      </c>
      <c r="B210" s="123" t="s">
        <v>221</v>
      </c>
      <c r="C210">
        <v>454171</v>
      </c>
      <c r="D210" s="123" t="s">
        <v>225</v>
      </c>
      <c r="E210">
        <v>0.88</v>
      </c>
      <c r="F210" s="160">
        <v>454171</v>
      </c>
    </row>
    <row r="211" spans="1:6" x14ac:dyDescent="0.25">
      <c r="A211" s="124" t="s">
        <v>440</v>
      </c>
      <c r="B211" s="123" t="s">
        <v>221</v>
      </c>
      <c r="C211">
        <v>554266</v>
      </c>
      <c r="D211" s="123" t="s">
        <v>226</v>
      </c>
      <c r="E211">
        <v>2.66</v>
      </c>
      <c r="F211" s="160">
        <v>554266</v>
      </c>
    </row>
    <row r="212" spans="1:6" x14ac:dyDescent="0.25">
      <c r="A212" s="124" t="s">
        <v>440</v>
      </c>
      <c r="B212" s="123" t="s">
        <v>221</v>
      </c>
      <c r="C212">
        <v>554296</v>
      </c>
      <c r="D212" s="123" t="s">
        <v>227</v>
      </c>
      <c r="E212">
        <v>4.6100000000000003</v>
      </c>
      <c r="F212" s="160">
        <v>554296</v>
      </c>
    </row>
    <row r="213" spans="1:6" x14ac:dyDescent="0.25">
      <c r="A213" s="124" t="s">
        <v>440</v>
      </c>
      <c r="B213" s="123" t="s">
        <v>221</v>
      </c>
      <c r="C213">
        <v>554356</v>
      </c>
      <c r="D213" s="123" t="s">
        <v>228</v>
      </c>
      <c r="E213">
        <v>3.23</v>
      </c>
      <c r="F213" s="160">
        <v>554356</v>
      </c>
    </row>
    <row r="214" spans="1:6" x14ac:dyDescent="0.25">
      <c r="A214" s="124" t="s">
        <v>440</v>
      </c>
      <c r="B214" s="123" t="s">
        <v>221</v>
      </c>
      <c r="C214">
        <v>454426</v>
      </c>
      <c r="D214" s="123" t="s">
        <v>229</v>
      </c>
      <c r="E214">
        <v>11.02</v>
      </c>
      <c r="F214" s="160">
        <v>454426</v>
      </c>
    </row>
    <row r="215" spans="1:6" x14ac:dyDescent="0.25">
      <c r="A215" s="124" t="s">
        <v>440</v>
      </c>
      <c r="B215" s="123" t="s">
        <v>221</v>
      </c>
      <c r="C215">
        <v>554476</v>
      </c>
      <c r="D215" s="123" t="s">
        <v>231</v>
      </c>
      <c r="E215">
        <v>2.33</v>
      </c>
      <c r="F215" s="160">
        <v>554476</v>
      </c>
    </row>
    <row r="216" spans="1:6" x14ac:dyDescent="0.25">
      <c r="A216" s="124" t="s">
        <v>440</v>
      </c>
      <c r="B216" s="123" t="s">
        <v>221</v>
      </c>
      <c r="C216">
        <v>554471</v>
      </c>
      <c r="D216" s="123" t="s">
        <v>232</v>
      </c>
      <c r="E216">
        <v>2</v>
      </c>
      <c r="F216" s="160">
        <v>554471</v>
      </c>
    </row>
    <row r="217" spans="1:6" x14ac:dyDescent="0.25">
      <c r="A217" s="124" t="s">
        <v>440</v>
      </c>
      <c r="B217" s="123" t="s">
        <v>221</v>
      </c>
      <c r="C217">
        <v>454481</v>
      </c>
      <c r="D217" s="123" t="s">
        <v>233</v>
      </c>
      <c r="E217">
        <v>11.12</v>
      </c>
      <c r="F217" s="160">
        <v>454481</v>
      </c>
    </row>
    <row r="218" spans="1:6" x14ac:dyDescent="0.25">
      <c r="A218" s="124" t="s">
        <v>440</v>
      </c>
      <c r="B218" s="123" t="s">
        <v>221</v>
      </c>
      <c r="C218">
        <v>554486</v>
      </c>
      <c r="D218" s="123" t="s">
        <v>234</v>
      </c>
      <c r="E218">
        <v>5</v>
      </c>
      <c r="F218" s="160">
        <v>554486</v>
      </c>
    </row>
    <row r="219" spans="1:6" x14ac:dyDescent="0.25">
      <c r="A219" s="124" t="s">
        <v>440</v>
      </c>
      <c r="B219" s="123" t="s">
        <v>221</v>
      </c>
      <c r="C219">
        <v>554491</v>
      </c>
      <c r="D219" s="123" t="s">
        <v>235</v>
      </c>
      <c r="E219">
        <v>2.88</v>
      </c>
      <c r="F219" s="160">
        <v>554491</v>
      </c>
    </row>
    <row r="220" spans="1:6" x14ac:dyDescent="0.25">
      <c r="A220" s="124" t="s">
        <v>440</v>
      </c>
      <c r="B220" s="123" t="s">
        <v>221</v>
      </c>
      <c r="C220">
        <v>554601</v>
      </c>
      <c r="D220" s="123" t="s">
        <v>236</v>
      </c>
      <c r="E220">
        <v>4.88</v>
      </c>
      <c r="F220" s="160">
        <v>554601</v>
      </c>
    </row>
    <row r="221" spans="1:6" x14ac:dyDescent="0.25">
      <c r="A221" s="124" t="s">
        <v>440</v>
      </c>
      <c r="B221" s="123" t="s">
        <v>221</v>
      </c>
      <c r="C221">
        <v>554611</v>
      </c>
      <c r="D221" s="123" t="s">
        <v>237</v>
      </c>
      <c r="E221">
        <v>2.91</v>
      </c>
      <c r="F221" s="160">
        <v>554611</v>
      </c>
    </row>
    <row r="222" spans="1:6" x14ac:dyDescent="0.25">
      <c r="A222" s="124" t="s">
        <v>440</v>
      </c>
      <c r="B222" s="123" t="s">
        <v>221</v>
      </c>
      <c r="C222">
        <v>554636</v>
      </c>
      <c r="D222" s="123" t="s">
        <v>238</v>
      </c>
      <c r="E222">
        <v>2</v>
      </c>
      <c r="F222" s="160">
        <v>554636</v>
      </c>
    </row>
    <row r="223" spans="1:6" x14ac:dyDescent="0.25">
      <c r="A223" s="124" t="s">
        <v>440</v>
      </c>
      <c r="B223" s="123" t="s">
        <v>221</v>
      </c>
      <c r="C223">
        <v>454671</v>
      </c>
      <c r="D223" s="123" t="s">
        <v>239</v>
      </c>
      <c r="E223">
        <v>4.96</v>
      </c>
      <c r="F223" s="160">
        <v>454671</v>
      </c>
    </row>
    <row r="224" spans="1:6" x14ac:dyDescent="0.25">
      <c r="A224" s="124" t="s">
        <v>440</v>
      </c>
      <c r="B224" s="123" t="s">
        <v>441</v>
      </c>
      <c r="C224">
        <v>554184</v>
      </c>
      <c r="D224" s="123" t="s">
        <v>241</v>
      </c>
      <c r="E224">
        <v>4.6500000000000004</v>
      </c>
      <c r="F224" s="160">
        <v>554184</v>
      </c>
    </row>
    <row r="225" spans="1:6" x14ac:dyDescent="0.25">
      <c r="A225" s="124" t="s">
        <v>440</v>
      </c>
      <c r="B225" s="123" t="s">
        <v>441</v>
      </c>
      <c r="C225">
        <v>554506</v>
      </c>
      <c r="D225" s="123" t="s">
        <v>242</v>
      </c>
      <c r="E225">
        <v>2</v>
      </c>
      <c r="F225" s="160">
        <v>554506</v>
      </c>
    </row>
    <row r="226" spans="1:6" x14ac:dyDescent="0.25">
      <c r="A226" s="124" t="s">
        <v>440</v>
      </c>
      <c r="B226" s="123" t="s">
        <v>441</v>
      </c>
      <c r="C226">
        <v>554196</v>
      </c>
      <c r="D226" s="123" t="s">
        <v>243</v>
      </c>
      <c r="E226">
        <v>3.56</v>
      </c>
      <c r="F226" s="160">
        <v>554196</v>
      </c>
    </row>
    <row r="227" spans="1:6" x14ac:dyDescent="0.25">
      <c r="A227" s="124" t="s">
        <v>440</v>
      </c>
      <c r="B227" s="123" t="s">
        <v>441</v>
      </c>
      <c r="C227">
        <v>554257</v>
      </c>
      <c r="D227" s="123" t="s">
        <v>244</v>
      </c>
      <c r="E227">
        <v>3.78</v>
      </c>
      <c r="F227" s="160">
        <v>554257</v>
      </c>
    </row>
    <row r="228" spans="1:6" x14ac:dyDescent="0.25">
      <c r="A228" s="124" t="s">
        <v>440</v>
      </c>
      <c r="B228" s="123" t="s">
        <v>441</v>
      </c>
      <c r="C228">
        <v>554321</v>
      </c>
      <c r="D228" s="123" t="s">
        <v>245</v>
      </c>
      <c r="E228">
        <v>3</v>
      </c>
      <c r="F228" s="160">
        <v>554321</v>
      </c>
    </row>
    <row r="229" spans="1:6" x14ac:dyDescent="0.25">
      <c r="A229" s="124" t="s">
        <v>440</v>
      </c>
      <c r="B229" s="123" t="s">
        <v>441</v>
      </c>
      <c r="C229">
        <v>454355</v>
      </c>
      <c r="D229" s="123" t="s">
        <v>246</v>
      </c>
      <c r="E229">
        <v>3.78</v>
      </c>
      <c r="F229" s="160">
        <v>454355</v>
      </c>
    </row>
    <row r="230" spans="1:6" x14ac:dyDescent="0.25">
      <c r="A230" s="124" t="s">
        <v>440</v>
      </c>
      <c r="B230" s="123" t="s">
        <v>441</v>
      </c>
      <c r="C230">
        <v>554357</v>
      </c>
      <c r="D230" s="123" t="s">
        <v>247</v>
      </c>
      <c r="E230">
        <v>5.09</v>
      </c>
      <c r="F230" s="160">
        <v>554357</v>
      </c>
    </row>
    <row r="231" spans="1:6" x14ac:dyDescent="0.25">
      <c r="A231" s="124" t="s">
        <v>440</v>
      </c>
      <c r="B231" s="123" t="s">
        <v>441</v>
      </c>
      <c r="C231">
        <v>554381</v>
      </c>
      <c r="D231" s="123" t="s">
        <v>248</v>
      </c>
      <c r="E231">
        <v>4.6500000000000004</v>
      </c>
      <c r="F231" s="160">
        <v>554381</v>
      </c>
    </row>
    <row r="232" spans="1:6" x14ac:dyDescent="0.25">
      <c r="A232" s="124" t="s">
        <v>440</v>
      </c>
      <c r="B232" s="123" t="s">
        <v>441</v>
      </c>
      <c r="C232">
        <v>554376</v>
      </c>
      <c r="D232" s="123" t="s">
        <v>249</v>
      </c>
      <c r="E232">
        <v>3</v>
      </c>
      <c r="F232" s="160">
        <v>554376</v>
      </c>
    </row>
    <row r="233" spans="1:6" x14ac:dyDescent="0.25">
      <c r="A233" s="124" t="s">
        <v>440</v>
      </c>
      <c r="B233" s="123" t="s">
        <v>441</v>
      </c>
      <c r="C233">
        <v>554416</v>
      </c>
      <c r="D233" s="123" t="s">
        <v>250</v>
      </c>
      <c r="E233">
        <v>4</v>
      </c>
      <c r="F233" s="160">
        <v>554416</v>
      </c>
    </row>
    <row r="234" spans="1:6" x14ac:dyDescent="0.25">
      <c r="A234" s="124" t="s">
        <v>440</v>
      </c>
      <c r="B234" s="123" t="s">
        <v>441</v>
      </c>
      <c r="C234">
        <v>454466</v>
      </c>
      <c r="D234" s="123" t="s">
        <v>251</v>
      </c>
      <c r="E234">
        <v>1.83</v>
      </c>
      <c r="F234" s="160">
        <v>454466</v>
      </c>
    </row>
    <row r="235" spans="1:6" x14ac:dyDescent="0.25">
      <c r="A235" s="124" t="s">
        <v>440</v>
      </c>
      <c r="B235" s="123" t="s">
        <v>441</v>
      </c>
      <c r="C235">
        <v>554496</v>
      </c>
      <c r="D235" s="123" t="s">
        <v>252</v>
      </c>
      <c r="E235">
        <v>3</v>
      </c>
      <c r="F235" s="160">
        <v>554496</v>
      </c>
    </row>
    <row r="236" spans="1:6" x14ac:dyDescent="0.25">
      <c r="A236" s="124" t="s">
        <v>440</v>
      </c>
      <c r="B236" s="123" t="s">
        <v>441</v>
      </c>
      <c r="C236">
        <v>554516</v>
      </c>
      <c r="D236" s="123" t="s">
        <v>253</v>
      </c>
      <c r="E236">
        <v>2.5</v>
      </c>
      <c r="F236" s="160">
        <v>554516</v>
      </c>
    </row>
    <row r="237" spans="1:6" x14ac:dyDescent="0.25">
      <c r="A237" s="124" t="s">
        <v>440</v>
      </c>
      <c r="B237" s="123" t="s">
        <v>441</v>
      </c>
      <c r="C237">
        <v>554531</v>
      </c>
      <c r="D237" s="123" t="s">
        <v>254</v>
      </c>
      <c r="E237">
        <v>2.96</v>
      </c>
      <c r="F237" s="160">
        <v>554531</v>
      </c>
    </row>
    <row r="238" spans="1:6" x14ac:dyDescent="0.25">
      <c r="A238" s="124" t="s">
        <v>440</v>
      </c>
      <c r="B238" s="123" t="s">
        <v>441</v>
      </c>
      <c r="C238">
        <v>554533</v>
      </c>
      <c r="D238" s="123" t="s">
        <v>255</v>
      </c>
      <c r="E238">
        <v>2.88</v>
      </c>
      <c r="F238" s="160">
        <v>554533</v>
      </c>
    </row>
    <row r="239" spans="1:6" x14ac:dyDescent="0.25">
      <c r="A239" s="124" t="s">
        <v>440</v>
      </c>
      <c r="B239" s="123" t="s">
        <v>441</v>
      </c>
      <c r="C239">
        <v>454535</v>
      </c>
      <c r="D239" s="123" t="s">
        <v>256</v>
      </c>
      <c r="E239">
        <v>6.48</v>
      </c>
      <c r="F239" s="160">
        <v>454535</v>
      </c>
    </row>
    <row r="240" spans="1:6" x14ac:dyDescent="0.25">
      <c r="A240" s="124" t="s">
        <v>440</v>
      </c>
      <c r="B240" s="123" t="s">
        <v>441</v>
      </c>
      <c r="C240">
        <v>454651</v>
      </c>
      <c r="D240" s="123" t="s">
        <v>257</v>
      </c>
      <c r="E240">
        <v>11.17</v>
      </c>
      <c r="F240" s="160">
        <v>454651</v>
      </c>
    </row>
    <row r="241" spans="1:6" x14ac:dyDescent="0.25">
      <c r="A241" s="124" t="s">
        <v>440</v>
      </c>
      <c r="B241" s="123" t="s">
        <v>441</v>
      </c>
      <c r="C241">
        <v>554686</v>
      </c>
      <c r="D241" s="123" t="s">
        <v>258</v>
      </c>
      <c r="E241">
        <v>1.5</v>
      </c>
      <c r="F241" s="160">
        <v>554686</v>
      </c>
    </row>
    <row r="242" spans="1:6" x14ac:dyDescent="0.25">
      <c r="A242" s="124" t="s">
        <v>440</v>
      </c>
      <c r="B242" s="123" t="s">
        <v>441</v>
      </c>
      <c r="C242">
        <v>454696</v>
      </c>
      <c r="D242" s="123" t="s">
        <v>259</v>
      </c>
      <c r="E242">
        <v>2.71</v>
      </c>
      <c r="F242" s="160">
        <v>454696</v>
      </c>
    </row>
    <row r="243" spans="1:6" x14ac:dyDescent="0.25">
      <c r="A243" s="124" t="s">
        <v>440</v>
      </c>
      <c r="B243" s="123" t="s">
        <v>260</v>
      </c>
      <c r="C243">
        <v>455151</v>
      </c>
      <c r="D243" s="123" t="s">
        <v>261</v>
      </c>
      <c r="E243">
        <v>9.74</v>
      </c>
      <c r="F243" s="160">
        <v>455151</v>
      </c>
    </row>
    <row r="244" spans="1:6" x14ac:dyDescent="0.25">
      <c r="A244" s="124" t="s">
        <v>440</v>
      </c>
      <c r="B244" s="123" t="s">
        <v>260</v>
      </c>
      <c r="C244">
        <v>455231</v>
      </c>
      <c r="D244" s="123" t="s">
        <v>262</v>
      </c>
      <c r="E244">
        <v>4.8499999999999996</v>
      </c>
      <c r="F244" s="160">
        <v>455231</v>
      </c>
    </row>
    <row r="245" spans="1:6" x14ac:dyDescent="0.25">
      <c r="A245" s="124" t="s">
        <v>440</v>
      </c>
      <c r="B245" s="123" t="s">
        <v>260</v>
      </c>
      <c r="C245">
        <v>455298</v>
      </c>
      <c r="D245" s="123" t="s">
        <v>263</v>
      </c>
      <c r="E245">
        <v>1.8</v>
      </c>
      <c r="F245" s="160">
        <v>455298</v>
      </c>
    </row>
    <row r="246" spans="1:6" x14ac:dyDescent="0.25">
      <c r="A246" s="124" t="s">
        <v>440</v>
      </c>
      <c r="B246" s="123" t="s">
        <v>260</v>
      </c>
      <c r="C246">
        <v>555406</v>
      </c>
      <c r="D246" s="123" t="s">
        <v>264</v>
      </c>
      <c r="E246">
        <v>2.91</v>
      </c>
      <c r="F246" s="160">
        <v>555406</v>
      </c>
    </row>
    <row r="247" spans="1:6" x14ac:dyDescent="0.25">
      <c r="A247" s="124" t="s">
        <v>440</v>
      </c>
      <c r="B247" s="123" t="s">
        <v>260</v>
      </c>
      <c r="C247">
        <v>554412</v>
      </c>
      <c r="D247" s="123" t="s">
        <v>265</v>
      </c>
      <c r="E247">
        <v>3</v>
      </c>
      <c r="F247" s="160">
        <v>554412</v>
      </c>
    </row>
    <row r="248" spans="1:6" x14ac:dyDescent="0.25">
      <c r="A248" s="124" t="s">
        <v>440</v>
      </c>
      <c r="B248" s="123" t="s">
        <v>260</v>
      </c>
      <c r="C248">
        <v>554413</v>
      </c>
      <c r="D248" s="123" t="s">
        <v>266</v>
      </c>
      <c r="E248">
        <v>3.87</v>
      </c>
      <c r="F248" s="160">
        <v>554413</v>
      </c>
    </row>
    <row r="249" spans="1:6" x14ac:dyDescent="0.25">
      <c r="A249" s="124" t="s">
        <v>440</v>
      </c>
      <c r="B249" s="123" t="s">
        <v>260</v>
      </c>
      <c r="C249">
        <v>454414</v>
      </c>
      <c r="D249" s="123" t="s">
        <v>267</v>
      </c>
      <c r="E249">
        <v>3.5</v>
      </c>
      <c r="F249" s="160">
        <v>454414</v>
      </c>
    </row>
    <row r="250" spans="1:6" x14ac:dyDescent="0.25">
      <c r="A250" s="124" t="s">
        <v>440</v>
      </c>
      <c r="B250" s="123" t="s">
        <v>260</v>
      </c>
      <c r="C250">
        <v>455456</v>
      </c>
      <c r="D250" s="123" t="s">
        <v>268</v>
      </c>
      <c r="E250">
        <v>1.8</v>
      </c>
      <c r="F250" s="160">
        <v>455456</v>
      </c>
    </row>
    <row r="251" spans="1:6" x14ac:dyDescent="0.25">
      <c r="A251" s="124" t="s">
        <v>440</v>
      </c>
      <c r="B251" s="123" t="s">
        <v>260</v>
      </c>
      <c r="C251">
        <v>455566</v>
      </c>
      <c r="D251" s="123" t="s">
        <v>269</v>
      </c>
      <c r="E251">
        <v>2.65</v>
      </c>
      <c r="F251" s="160">
        <v>455566</v>
      </c>
    </row>
    <row r="252" spans="1:6" x14ac:dyDescent="0.25">
      <c r="A252" s="124" t="s">
        <v>440</v>
      </c>
      <c r="B252" s="123" t="s">
        <v>260</v>
      </c>
      <c r="C252">
        <v>555624</v>
      </c>
      <c r="D252" s="123" t="s">
        <v>270</v>
      </c>
      <c r="E252">
        <v>3.1</v>
      </c>
      <c r="F252" s="160">
        <v>555624</v>
      </c>
    </row>
    <row r="253" spans="1:6" x14ac:dyDescent="0.25">
      <c r="A253" s="124" t="s">
        <v>440</v>
      </c>
      <c r="B253" s="123" t="s">
        <v>260</v>
      </c>
      <c r="C253">
        <v>455676</v>
      </c>
      <c r="D253" s="123" t="s">
        <v>271</v>
      </c>
      <c r="E253">
        <v>2</v>
      </c>
      <c r="F253" s="160">
        <v>455676</v>
      </c>
    </row>
    <row r="254" spans="1:6" x14ac:dyDescent="0.25">
      <c r="A254" s="124" t="s">
        <v>440</v>
      </c>
      <c r="B254" s="123" t="s">
        <v>260</v>
      </c>
      <c r="C254">
        <v>455678</v>
      </c>
      <c r="D254" s="123" t="s">
        <v>272</v>
      </c>
      <c r="E254">
        <v>7.89</v>
      </c>
      <c r="F254" s="160">
        <v>455678</v>
      </c>
    </row>
    <row r="255" spans="1:6" x14ac:dyDescent="0.25">
      <c r="A255" s="124" t="s">
        <v>440</v>
      </c>
      <c r="B255" s="123" t="s">
        <v>260</v>
      </c>
      <c r="C255">
        <v>555679</v>
      </c>
      <c r="D255" s="123" t="s">
        <v>273</v>
      </c>
      <c r="E255">
        <v>4</v>
      </c>
      <c r="F255" s="160">
        <v>555679</v>
      </c>
    </row>
    <row r="256" spans="1:6" x14ac:dyDescent="0.25">
      <c r="A256" s="124" t="s">
        <v>440</v>
      </c>
      <c r="B256" s="123" t="s">
        <v>260</v>
      </c>
      <c r="C256">
        <v>554700</v>
      </c>
      <c r="D256" s="123" t="s">
        <v>274</v>
      </c>
      <c r="E256">
        <v>3</v>
      </c>
      <c r="F256" s="160">
        <v>554700</v>
      </c>
    </row>
    <row r="257" spans="1:6" x14ac:dyDescent="0.25">
      <c r="A257" s="123" t="s">
        <v>275</v>
      </c>
      <c r="B257" s="123" t="s">
        <v>276</v>
      </c>
      <c r="C257">
        <v>557105</v>
      </c>
      <c r="D257" s="123" t="s">
        <v>277</v>
      </c>
      <c r="E257">
        <v>4.0999999999999996</v>
      </c>
      <c r="F257" s="160">
        <v>557105</v>
      </c>
    </row>
    <row r="258" spans="1:6" x14ac:dyDescent="0.25">
      <c r="A258" s="123" t="s">
        <v>275</v>
      </c>
      <c r="B258" s="123" t="s">
        <v>276</v>
      </c>
      <c r="C258">
        <v>557178</v>
      </c>
      <c r="D258" s="123" t="s">
        <v>278</v>
      </c>
      <c r="E258">
        <v>3.26</v>
      </c>
      <c r="F258" s="160">
        <v>557178</v>
      </c>
    </row>
    <row r="259" spans="1:6" x14ac:dyDescent="0.25">
      <c r="A259" s="123" t="s">
        <v>275</v>
      </c>
      <c r="B259" s="123" t="s">
        <v>276</v>
      </c>
      <c r="C259">
        <v>557224</v>
      </c>
      <c r="D259" s="123" t="s">
        <v>279</v>
      </c>
      <c r="E259">
        <v>3.63</v>
      </c>
      <c r="F259" s="160">
        <v>557224</v>
      </c>
    </row>
    <row r="260" spans="1:6" x14ac:dyDescent="0.25">
      <c r="A260" s="123" t="s">
        <v>275</v>
      </c>
      <c r="B260" s="123" t="s">
        <v>276</v>
      </c>
      <c r="C260">
        <v>557432</v>
      </c>
      <c r="D260" s="123" t="s">
        <v>280</v>
      </c>
      <c r="E260">
        <v>3.8</v>
      </c>
      <c r="F260" s="160">
        <v>557432</v>
      </c>
    </row>
    <row r="261" spans="1:6" x14ac:dyDescent="0.25">
      <c r="A261" s="123" t="s">
        <v>275</v>
      </c>
      <c r="B261" s="123" t="s">
        <v>276</v>
      </c>
      <c r="C261">
        <v>557433</v>
      </c>
      <c r="D261" s="123" t="s">
        <v>281</v>
      </c>
      <c r="E261">
        <v>3.13</v>
      </c>
      <c r="F261" s="160">
        <v>557433</v>
      </c>
    </row>
    <row r="262" spans="1:6" x14ac:dyDescent="0.25">
      <c r="A262" s="123" t="s">
        <v>275</v>
      </c>
      <c r="B262" s="123" t="s">
        <v>276</v>
      </c>
      <c r="C262">
        <v>557434</v>
      </c>
      <c r="D262" s="123" t="s">
        <v>282</v>
      </c>
      <c r="E262">
        <v>4.0999999999999996</v>
      </c>
      <c r="F262" s="160">
        <v>557434</v>
      </c>
    </row>
    <row r="263" spans="1:6" x14ac:dyDescent="0.25">
      <c r="A263" s="123" t="s">
        <v>275</v>
      </c>
      <c r="B263" s="123" t="s">
        <v>276</v>
      </c>
      <c r="C263">
        <v>557436</v>
      </c>
      <c r="D263" s="123" t="s">
        <v>283</v>
      </c>
      <c r="E263">
        <v>5.09</v>
      </c>
      <c r="F263" s="160">
        <v>557436</v>
      </c>
    </row>
    <row r="264" spans="1:6" x14ac:dyDescent="0.25">
      <c r="A264" s="123" t="s">
        <v>275</v>
      </c>
      <c r="B264" s="123" t="s">
        <v>276</v>
      </c>
      <c r="C264">
        <v>557440</v>
      </c>
      <c r="D264" s="123" t="s">
        <v>284</v>
      </c>
      <c r="E264">
        <v>3.13</v>
      </c>
      <c r="F264" s="160">
        <v>557440</v>
      </c>
    </row>
    <row r="265" spans="1:6" x14ac:dyDescent="0.25">
      <c r="A265" s="123" t="s">
        <v>275</v>
      </c>
      <c r="B265" s="123" t="s">
        <v>276</v>
      </c>
      <c r="C265">
        <v>557441</v>
      </c>
      <c r="D265" s="123" t="s">
        <v>285</v>
      </c>
      <c r="E265">
        <v>3.13</v>
      </c>
      <c r="F265" s="160">
        <v>557441</v>
      </c>
    </row>
    <row r="266" spans="1:6" x14ac:dyDescent="0.25">
      <c r="A266" s="123" t="s">
        <v>275</v>
      </c>
      <c r="B266" s="123" t="s">
        <v>276</v>
      </c>
      <c r="C266">
        <v>557439</v>
      </c>
      <c r="D266" s="123" t="s">
        <v>286</v>
      </c>
      <c r="E266">
        <v>4.05</v>
      </c>
      <c r="F266" s="160">
        <v>557439</v>
      </c>
    </row>
    <row r="267" spans="1:6" x14ac:dyDescent="0.25">
      <c r="A267" s="123" t="s">
        <v>275</v>
      </c>
      <c r="B267" s="123" t="s">
        <v>276</v>
      </c>
      <c r="C267">
        <v>457443</v>
      </c>
      <c r="D267" s="123" t="s">
        <v>287</v>
      </c>
      <c r="E267">
        <v>4.18</v>
      </c>
      <c r="F267" s="160">
        <v>457443</v>
      </c>
    </row>
    <row r="268" spans="1:6" x14ac:dyDescent="0.25">
      <c r="A268" s="123" t="s">
        <v>275</v>
      </c>
      <c r="B268" s="123" t="s">
        <v>276</v>
      </c>
      <c r="C268">
        <v>557445</v>
      </c>
      <c r="D268" s="123" t="s">
        <v>288</v>
      </c>
      <c r="E268">
        <v>3.07</v>
      </c>
      <c r="F268" s="160">
        <v>557445</v>
      </c>
    </row>
    <row r="269" spans="1:6" x14ac:dyDescent="0.25">
      <c r="A269" s="123" t="s">
        <v>275</v>
      </c>
      <c r="B269" s="123" t="s">
        <v>276</v>
      </c>
      <c r="C269">
        <v>457446</v>
      </c>
      <c r="D269" s="123" t="s">
        <v>289</v>
      </c>
      <c r="E269">
        <v>7.5</v>
      </c>
      <c r="F269" s="160">
        <v>457446</v>
      </c>
    </row>
    <row r="270" spans="1:6" x14ac:dyDescent="0.25">
      <c r="A270" s="123" t="s">
        <v>275</v>
      </c>
      <c r="B270" s="123" t="s">
        <v>276</v>
      </c>
      <c r="C270">
        <v>557447</v>
      </c>
      <c r="D270" s="123" t="s">
        <v>290</v>
      </c>
      <c r="E270">
        <v>3.13</v>
      </c>
      <c r="F270" s="160">
        <v>557447</v>
      </c>
    </row>
    <row r="271" spans="1:6" x14ac:dyDescent="0.25">
      <c r="A271" s="123" t="s">
        <v>275</v>
      </c>
      <c r="B271" s="123" t="s">
        <v>276</v>
      </c>
      <c r="C271">
        <v>557437</v>
      </c>
      <c r="D271" s="123" t="s">
        <v>291</v>
      </c>
      <c r="E271">
        <v>3.1</v>
      </c>
      <c r="F271" s="160">
        <v>557437</v>
      </c>
    </row>
    <row r="272" spans="1:6" x14ac:dyDescent="0.25">
      <c r="A272" s="123" t="s">
        <v>275</v>
      </c>
      <c r="B272" s="123" t="s">
        <v>276</v>
      </c>
      <c r="C272">
        <v>457453</v>
      </c>
      <c r="D272" s="123" t="s">
        <v>292</v>
      </c>
      <c r="E272">
        <v>8.3699999999999992</v>
      </c>
      <c r="F272" s="160">
        <v>457453</v>
      </c>
    </row>
    <row r="273" spans="1:6" x14ac:dyDescent="0.25">
      <c r="A273" s="123" t="s">
        <v>275</v>
      </c>
      <c r="B273" s="123" t="s">
        <v>276</v>
      </c>
      <c r="C273">
        <v>557459</v>
      </c>
      <c r="D273" s="123" t="s">
        <v>293</v>
      </c>
      <c r="E273">
        <v>3.64</v>
      </c>
      <c r="F273" s="160">
        <v>557459</v>
      </c>
    </row>
    <row r="274" spans="1:6" x14ac:dyDescent="0.25">
      <c r="A274" s="123" t="s">
        <v>275</v>
      </c>
      <c r="B274" s="123" t="s">
        <v>276</v>
      </c>
      <c r="C274">
        <v>557559</v>
      </c>
      <c r="D274" s="123" t="s">
        <v>294</v>
      </c>
      <c r="E274">
        <v>4</v>
      </c>
      <c r="F274" s="160">
        <v>557559</v>
      </c>
    </row>
    <row r="275" spans="1:6" x14ac:dyDescent="0.25">
      <c r="A275" s="123" t="s">
        <v>275</v>
      </c>
      <c r="B275" s="123" t="s">
        <v>276</v>
      </c>
      <c r="C275">
        <v>457574</v>
      </c>
      <c r="D275" s="123" t="s">
        <v>295</v>
      </c>
      <c r="E275">
        <v>3.13</v>
      </c>
      <c r="F275" s="160">
        <v>457574</v>
      </c>
    </row>
    <row r="276" spans="1:6" x14ac:dyDescent="0.25">
      <c r="A276" s="123" t="s">
        <v>275</v>
      </c>
      <c r="B276" s="123" t="s">
        <v>276</v>
      </c>
      <c r="C276">
        <v>557444</v>
      </c>
      <c r="D276" s="123" t="s">
        <v>297</v>
      </c>
      <c r="E276">
        <v>6.09</v>
      </c>
      <c r="F276" s="160">
        <v>557444</v>
      </c>
    </row>
    <row r="277" spans="1:6" x14ac:dyDescent="0.25">
      <c r="A277" s="123" t="s">
        <v>275</v>
      </c>
      <c r="B277" s="123" t="s">
        <v>276</v>
      </c>
      <c r="C277">
        <v>557612</v>
      </c>
      <c r="D277" s="123" t="s">
        <v>296</v>
      </c>
      <c r="E277">
        <v>4.18</v>
      </c>
      <c r="F277" s="160">
        <v>557612</v>
      </c>
    </row>
    <row r="278" spans="1:6" x14ac:dyDescent="0.25">
      <c r="A278" s="123" t="s">
        <v>275</v>
      </c>
      <c r="B278" s="123" t="s">
        <v>276</v>
      </c>
      <c r="C278">
        <v>557712</v>
      </c>
      <c r="D278" s="123" t="s">
        <v>298</v>
      </c>
      <c r="E278">
        <v>5.93</v>
      </c>
      <c r="F278" s="160">
        <v>557712</v>
      </c>
    </row>
    <row r="279" spans="1:6" x14ac:dyDescent="0.25">
      <c r="A279" s="123" t="s">
        <v>275</v>
      </c>
      <c r="B279" s="123" t="s">
        <v>426</v>
      </c>
      <c r="C279">
        <v>457163</v>
      </c>
      <c r="D279" s="123" t="s">
        <v>300</v>
      </c>
      <c r="E279">
        <v>2.83</v>
      </c>
      <c r="F279" s="160">
        <v>457163</v>
      </c>
    </row>
    <row r="280" spans="1:6" x14ac:dyDescent="0.25">
      <c r="A280" s="123" t="s">
        <v>275</v>
      </c>
      <c r="B280" s="123" t="s">
        <v>426</v>
      </c>
      <c r="C280">
        <v>457165</v>
      </c>
      <c r="D280" s="123" t="s">
        <v>301</v>
      </c>
      <c r="E280">
        <v>3.23</v>
      </c>
      <c r="F280" s="160">
        <v>457165</v>
      </c>
    </row>
    <row r="281" spans="1:6" x14ac:dyDescent="0.25">
      <c r="A281" s="123" t="s">
        <v>275</v>
      </c>
      <c r="B281" s="123" t="s">
        <v>426</v>
      </c>
      <c r="C281">
        <v>557210</v>
      </c>
      <c r="D281" s="123" t="s">
        <v>302</v>
      </c>
      <c r="E281">
        <v>3.13</v>
      </c>
      <c r="F281" s="160">
        <v>557210</v>
      </c>
    </row>
    <row r="282" spans="1:6" x14ac:dyDescent="0.25">
      <c r="A282" s="123" t="s">
        <v>275</v>
      </c>
      <c r="B282" s="123" t="s">
        <v>426</v>
      </c>
      <c r="C282">
        <v>557250</v>
      </c>
      <c r="D282" s="123" t="s">
        <v>303</v>
      </c>
      <c r="E282">
        <v>3.23</v>
      </c>
      <c r="F282" s="160">
        <v>557250</v>
      </c>
    </row>
    <row r="283" spans="1:6" x14ac:dyDescent="0.25">
      <c r="A283" s="123" t="s">
        <v>275</v>
      </c>
      <c r="B283" s="123" t="s">
        <v>426</v>
      </c>
      <c r="C283">
        <v>457258</v>
      </c>
      <c r="D283" s="123" t="s">
        <v>304</v>
      </c>
      <c r="E283">
        <v>3.68</v>
      </c>
      <c r="F283" s="160">
        <v>457258</v>
      </c>
    </row>
    <row r="284" spans="1:6" x14ac:dyDescent="0.25">
      <c r="A284" s="123" t="s">
        <v>275</v>
      </c>
      <c r="B284" s="123" t="s">
        <v>426</v>
      </c>
      <c r="C284">
        <v>557305</v>
      </c>
      <c r="D284" s="123" t="s">
        <v>305</v>
      </c>
      <c r="E284">
        <v>2</v>
      </c>
      <c r="F284" s="160">
        <v>557305</v>
      </c>
    </row>
    <row r="285" spans="1:6" x14ac:dyDescent="0.25">
      <c r="A285" s="123" t="s">
        <v>275</v>
      </c>
      <c r="B285" s="123" t="s">
        <v>426</v>
      </c>
      <c r="C285">
        <v>457308</v>
      </c>
      <c r="D285" s="123" t="s">
        <v>306</v>
      </c>
      <c r="E285">
        <v>11</v>
      </c>
      <c r="F285" s="160">
        <v>457308</v>
      </c>
    </row>
    <row r="286" spans="1:6" x14ac:dyDescent="0.25">
      <c r="A286" s="123" t="s">
        <v>275</v>
      </c>
      <c r="B286" s="123" t="s">
        <v>426</v>
      </c>
      <c r="C286">
        <v>457345</v>
      </c>
      <c r="D286" s="123" t="s">
        <v>307</v>
      </c>
      <c r="E286">
        <v>2.35</v>
      </c>
      <c r="F286" s="160">
        <v>457345</v>
      </c>
    </row>
    <row r="287" spans="1:6" x14ac:dyDescent="0.25">
      <c r="A287" s="123" t="s">
        <v>275</v>
      </c>
      <c r="B287" s="123" t="s">
        <v>426</v>
      </c>
      <c r="C287">
        <v>557353</v>
      </c>
      <c r="D287" s="123" t="s">
        <v>308</v>
      </c>
      <c r="E287">
        <v>1.9</v>
      </c>
      <c r="F287" s="160">
        <v>557353</v>
      </c>
    </row>
    <row r="288" spans="1:6" x14ac:dyDescent="0.25">
      <c r="A288" s="123" t="s">
        <v>275</v>
      </c>
      <c r="B288" s="123" t="s">
        <v>426</v>
      </c>
      <c r="C288">
        <v>457435</v>
      </c>
      <c r="D288" s="123" t="s">
        <v>309</v>
      </c>
      <c r="E288">
        <v>3</v>
      </c>
      <c r="F288" s="160">
        <v>457435</v>
      </c>
    </row>
    <row r="289" spans="1:6" x14ac:dyDescent="0.25">
      <c r="A289" s="123" t="s">
        <v>275</v>
      </c>
      <c r="B289" s="123" t="s">
        <v>426</v>
      </c>
      <c r="C289">
        <v>557458</v>
      </c>
      <c r="D289" s="123" t="s">
        <v>310</v>
      </c>
      <c r="E289">
        <v>2.09</v>
      </c>
      <c r="F289" s="160">
        <v>557458</v>
      </c>
    </row>
    <row r="290" spans="1:6" x14ac:dyDescent="0.25">
      <c r="A290" s="123" t="s">
        <v>275</v>
      </c>
      <c r="B290" s="123" t="s">
        <v>426</v>
      </c>
      <c r="C290">
        <v>557503</v>
      </c>
      <c r="D290" s="123" t="s">
        <v>311</v>
      </c>
      <c r="E290">
        <v>2.75</v>
      </c>
      <c r="F290" s="160">
        <v>557503</v>
      </c>
    </row>
    <row r="291" spans="1:6" x14ac:dyDescent="0.25">
      <c r="A291" s="123" t="s">
        <v>275</v>
      </c>
      <c r="B291" s="123" t="s">
        <v>426</v>
      </c>
      <c r="C291">
        <v>557523</v>
      </c>
      <c r="D291" s="123" t="s">
        <v>312</v>
      </c>
      <c r="E291">
        <v>3.75</v>
      </c>
      <c r="F291" s="160">
        <v>557523</v>
      </c>
    </row>
  </sheetData>
  <autoFilter ref="A1:F291"/>
  <pageMargins left="0.7" right="0.7" top="0.75" bottom="0.75" header="0.3" footer="0.3"/>
  <pageSetup paperSize="9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2" tint="-0.499984740745262"/>
  </sheetPr>
  <dimension ref="A1:G1780"/>
  <sheetViews>
    <sheetView workbookViewId="0">
      <selection activeCell="E1784" sqref="E1784"/>
    </sheetView>
  </sheetViews>
  <sheetFormatPr baseColWidth="10" defaultRowHeight="15" x14ac:dyDescent="0.25"/>
  <cols>
    <col min="1" max="1" width="27.28515625" style="178" bestFit="1" customWidth="1"/>
    <col min="2" max="2" width="23.5703125" style="178" bestFit="1" customWidth="1"/>
    <col min="3" max="3" width="31.5703125" style="178" bestFit="1" customWidth="1"/>
    <col min="4" max="4" width="7" style="178" bestFit="1" customWidth="1"/>
    <col min="5" max="5" width="16.140625" style="181" bestFit="1" customWidth="1"/>
    <col min="6" max="6" width="17.42578125" style="183" bestFit="1" customWidth="1"/>
    <col min="7" max="7" width="17.140625" style="181" bestFit="1" customWidth="1"/>
  </cols>
  <sheetData>
    <row r="1" spans="1:7" x14ac:dyDescent="0.25">
      <c r="A1" s="175" t="s">
        <v>1</v>
      </c>
      <c r="B1" s="175" t="s">
        <v>2</v>
      </c>
      <c r="C1" s="175" t="s">
        <v>3</v>
      </c>
      <c r="D1" s="175" t="s">
        <v>423</v>
      </c>
      <c r="E1" s="180" t="s">
        <v>610</v>
      </c>
      <c r="F1" s="182" t="s">
        <v>609</v>
      </c>
      <c r="G1" s="180" t="s">
        <v>611</v>
      </c>
    </row>
    <row r="2" spans="1:7" x14ac:dyDescent="0.25">
      <c r="A2" s="176" t="s">
        <v>4</v>
      </c>
      <c r="B2" s="176" t="s">
        <v>0</v>
      </c>
      <c r="C2" s="176" t="s">
        <v>5</v>
      </c>
      <c r="D2" s="177">
        <v>410560</v>
      </c>
      <c r="E2" s="181">
        <v>5.2632911394150597</v>
      </c>
      <c r="F2" s="183">
        <v>42527.3924064737</v>
      </c>
      <c r="G2" s="181">
        <v>2.6316455697075298</v>
      </c>
    </row>
    <row r="3" spans="1:7" x14ac:dyDescent="0.25">
      <c r="A3" s="176" t="s">
        <v>4</v>
      </c>
      <c r="B3" s="176" t="s">
        <v>0</v>
      </c>
      <c r="C3" s="176" t="s">
        <v>56</v>
      </c>
      <c r="D3" s="177">
        <v>410566</v>
      </c>
      <c r="E3" s="181">
        <v>3.6446746822547502</v>
      </c>
      <c r="F3" s="183">
        <v>23162.723577672699</v>
      </c>
      <c r="G3" s="181">
        <v>2.1759251834356701</v>
      </c>
    </row>
    <row r="4" spans="1:7" x14ac:dyDescent="0.25">
      <c r="A4" s="176" t="s">
        <v>4</v>
      </c>
      <c r="B4" s="176" t="s">
        <v>0</v>
      </c>
      <c r="C4" s="176" t="s">
        <v>57</v>
      </c>
      <c r="D4" s="177">
        <v>510590</v>
      </c>
      <c r="E4" s="181">
        <v>4.7644637340036198</v>
      </c>
      <c r="F4" s="183">
        <v>39772.914649073697</v>
      </c>
      <c r="G4" s="181">
        <v>3.31440955408948</v>
      </c>
    </row>
    <row r="5" spans="1:7" x14ac:dyDescent="0.25">
      <c r="A5" s="176" t="s">
        <v>4</v>
      </c>
      <c r="B5" s="176" t="s">
        <v>0</v>
      </c>
      <c r="C5" s="176" t="s">
        <v>58</v>
      </c>
      <c r="D5" s="177">
        <v>451154</v>
      </c>
      <c r="E5" s="181">
        <v>2.1312617292509302</v>
      </c>
      <c r="F5" s="183">
        <v>29660.059065408699</v>
      </c>
      <c r="G5" s="181">
        <v>2.4864720174594099</v>
      </c>
    </row>
    <row r="6" spans="1:7" x14ac:dyDescent="0.25">
      <c r="A6" s="176" t="s">
        <v>4</v>
      </c>
      <c r="B6" s="176" t="s">
        <v>0</v>
      </c>
      <c r="C6" s="176" t="s">
        <v>59</v>
      </c>
      <c r="D6" s="177">
        <v>410541</v>
      </c>
      <c r="E6" s="181">
        <v>4.1184010078155602</v>
      </c>
      <c r="F6" s="183">
        <v>32378.1199232627</v>
      </c>
      <c r="G6" s="181">
        <v>2.99520073295677</v>
      </c>
    </row>
    <row r="7" spans="1:7" x14ac:dyDescent="0.25">
      <c r="A7" s="176" t="s">
        <v>4</v>
      </c>
      <c r="B7" s="176" t="s">
        <v>0</v>
      </c>
      <c r="C7" s="176" t="s">
        <v>60</v>
      </c>
      <c r="D7" s="177">
        <v>410582</v>
      </c>
      <c r="E7" s="181">
        <v>4.8101265822243704</v>
      </c>
      <c r="F7" s="183">
        <v>77443.037973812301</v>
      </c>
      <c r="G7" s="181">
        <v>2.4050632911121799</v>
      </c>
    </row>
    <row r="8" spans="1:7" x14ac:dyDescent="0.25">
      <c r="A8" s="176" t="s">
        <v>4</v>
      </c>
      <c r="B8" s="176" t="s">
        <v>0</v>
      </c>
      <c r="C8" s="176" t="s">
        <v>61</v>
      </c>
      <c r="D8" s="177">
        <v>451156</v>
      </c>
      <c r="E8" s="181">
        <v>2.86169975415689</v>
      </c>
      <c r="F8" s="183">
        <v>34525.022840473503</v>
      </c>
      <c r="G8" s="181">
        <v>4.4310189741784196</v>
      </c>
    </row>
    <row r="9" spans="1:7" x14ac:dyDescent="0.25">
      <c r="A9" s="176" t="s">
        <v>4</v>
      </c>
      <c r="B9" s="176" t="s">
        <v>0</v>
      </c>
      <c r="C9" s="176" t="s">
        <v>62</v>
      </c>
      <c r="D9" s="177">
        <v>551157</v>
      </c>
      <c r="E9" s="181">
        <v>4.9315154042648004</v>
      </c>
      <c r="F9" s="183">
        <v>62926.136558418802</v>
      </c>
      <c r="G9" s="181">
        <v>3.9452123234118401</v>
      </c>
    </row>
    <row r="10" spans="1:7" x14ac:dyDescent="0.25">
      <c r="A10" s="176" t="s">
        <v>4</v>
      </c>
      <c r="B10" s="176" t="s">
        <v>0</v>
      </c>
      <c r="C10" s="176" t="s">
        <v>63</v>
      </c>
      <c r="D10" s="177">
        <v>451151</v>
      </c>
      <c r="E10" s="181">
        <v>5.6769291521488601</v>
      </c>
      <c r="F10" s="183">
        <v>48431.301829269898</v>
      </c>
      <c r="G10" s="181">
        <v>2.1288484320558201</v>
      </c>
    </row>
    <row r="11" spans="1:7" x14ac:dyDescent="0.25">
      <c r="A11" s="176" t="s">
        <v>4</v>
      </c>
      <c r="B11" s="176" t="s">
        <v>64</v>
      </c>
      <c r="C11" s="176" t="s">
        <v>65</v>
      </c>
      <c r="D11" s="177">
        <v>510530</v>
      </c>
      <c r="E11" s="181">
        <v>4.2061194682713499</v>
      </c>
      <c r="F11" s="183">
        <v>39038.215916485002</v>
      </c>
      <c r="G11" s="181">
        <v>3.25635055608105</v>
      </c>
    </row>
    <row r="12" spans="1:7" x14ac:dyDescent="0.25">
      <c r="A12" s="176" t="s">
        <v>4</v>
      </c>
      <c r="B12" s="176" t="s">
        <v>64</v>
      </c>
      <c r="C12" s="176" t="s">
        <v>66</v>
      </c>
      <c r="D12" s="177">
        <v>410550</v>
      </c>
      <c r="E12" s="181">
        <v>3.5139573882492598</v>
      </c>
      <c r="F12" s="183">
        <v>56675.112733334499</v>
      </c>
      <c r="G12" s="181">
        <v>2.67730086723753</v>
      </c>
    </row>
    <row r="13" spans="1:7" x14ac:dyDescent="0.25">
      <c r="A13" s="176" t="s">
        <v>4</v>
      </c>
      <c r="B13" s="176" t="s">
        <v>64</v>
      </c>
      <c r="C13" s="176" t="s">
        <v>67</v>
      </c>
      <c r="D13" s="177">
        <v>510556</v>
      </c>
      <c r="E13" s="181">
        <v>4.0194208455429496</v>
      </c>
      <c r="F13" s="183">
        <v>48045.477173723397</v>
      </c>
      <c r="G13" s="181">
        <v>4.2873822352458202</v>
      </c>
    </row>
    <row r="14" spans="1:7" x14ac:dyDescent="0.25">
      <c r="A14" s="176" t="s">
        <v>4</v>
      </c>
      <c r="B14" s="176" t="s">
        <v>64</v>
      </c>
      <c r="C14" s="176" t="s">
        <v>68</v>
      </c>
      <c r="D14" s="177">
        <v>410551</v>
      </c>
      <c r="E14" s="181">
        <v>3.3146560153494402</v>
      </c>
      <c r="F14" s="183">
        <v>51625.767439067502</v>
      </c>
      <c r="G14" s="181">
        <v>3.3146560153494402</v>
      </c>
    </row>
    <row r="15" spans="1:7" x14ac:dyDescent="0.25">
      <c r="A15" s="176" t="s">
        <v>4</v>
      </c>
      <c r="B15" s="176" t="s">
        <v>64</v>
      </c>
      <c r="C15" s="176" t="s">
        <v>69</v>
      </c>
      <c r="D15" s="177">
        <v>510523</v>
      </c>
      <c r="E15" s="181">
        <v>3.2162513275884601</v>
      </c>
      <c r="F15" s="183">
        <v>29380.8905060783</v>
      </c>
      <c r="G15" s="181">
        <v>1.7385142311288999</v>
      </c>
    </row>
    <row r="16" spans="1:7" x14ac:dyDescent="0.25">
      <c r="A16" s="176" t="s">
        <v>4</v>
      </c>
      <c r="B16" s="176" t="s">
        <v>64</v>
      </c>
      <c r="C16" s="176" t="s">
        <v>70</v>
      </c>
      <c r="D16" s="177">
        <v>510570</v>
      </c>
      <c r="E16" s="181">
        <v>3.9037123902883901</v>
      </c>
      <c r="F16" s="183">
        <v>42806.225521093402</v>
      </c>
      <c r="G16" s="181">
        <v>2.6922154415781998</v>
      </c>
    </row>
    <row r="17" spans="1:7" x14ac:dyDescent="0.25">
      <c r="A17" s="176" t="s">
        <v>4</v>
      </c>
      <c r="B17" s="176" t="s">
        <v>64</v>
      </c>
      <c r="C17" s="176" t="s">
        <v>71</v>
      </c>
      <c r="D17" s="177">
        <v>410571</v>
      </c>
      <c r="E17" s="181">
        <v>2.4128473355700701</v>
      </c>
      <c r="F17" s="183">
        <v>41395.412100873997</v>
      </c>
      <c r="G17" s="181">
        <v>2.11124141862381</v>
      </c>
    </row>
    <row r="18" spans="1:7" x14ac:dyDescent="0.25">
      <c r="A18" s="176" t="s">
        <v>4</v>
      </c>
      <c r="B18" s="176" t="s">
        <v>64</v>
      </c>
      <c r="C18" s="176" t="s">
        <v>72</v>
      </c>
      <c r="D18" s="177">
        <v>510520</v>
      </c>
      <c r="E18" s="181">
        <v>3.7062717881003402</v>
      </c>
      <c r="F18" s="183">
        <v>42367.319377722</v>
      </c>
      <c r="G18" s="181">
        <v>3.24298781458779</v>
      </c>
    </row>
    <row r="19" spans="1:7" x14ac:dyDescent="0.25">
      <c r="A19" s="176" t="s">
        <v>4</v>
      </c>
      <c r="B19" s="176" t="s">
        <v>64</v>
      </c>
      <c r="C19" s="176" t="s">
        <v>73</v>
      </c>
      <c r="D19" s="177">
        <v>410521</v>
      </c>
      <c r="E19" s="181">
        <v>2.0106836013973899</v>
      </c>
      <c r="F19" s="183">
        <v>30830.4818880934</v>
      </c>
      <c r="G19" s="181">
        <v>1.78727431235324</v>
      </c>
    </row>
    <row r="20" spans="1:7" x14ac:dyDescent="0.25">
      <c r="A20" s="176" t="s">
        <v>4</v>
      </c>
      <c r="B20" s="176" t="s">
        <v>64</v>
      </c>
      <c r="C20" s="176" t="s">
        <v>74</v>
      </c>
      <c r="D20" s="177">
        <v>410524</v>
      </c>
      <c r="E20" s="181">
        <v>3.3389659256884499</v>
      </c>
      <c r="F20" s="183">
        <v>33868.943965760503</v>
      </c>
      <c r="G20" s="181">
        <v>2.2895766347577999</v>
      </c>
    </row>
    <row r="21" spans="1:7" x14ac:dyDescent="0.25">
      <c r="A21" s="176" t="s">
        <v>4</v>
      </c>
      <c r="B21" s="176" t="s">
        <v>64</v>
      </c>
      <c r="C21" s="176" t="s">
        <v>75</v>
      </c>
      <c r="D21" s="177">
        <v>510513</v>
      </c>
      <c r="E21" s="181">
        <v>3.1972036144613698</v>
      </c>
      <c r="F21" s="183">
        <v>47958.0542169205</v>
      </c>
      <c r="G21" s="181">
        <v>2.1314690763075799</v>
      </c>
    </row>
    <row r="22" spans="1:7" x14ac:dyDescent="0.25">
      <c r="A22" s="176" t="s">
        <v>4</v>
      </c>
      <c r="B22" s="176" t="s">
        <v>64</v>
      </c>
      <c r="C22" s="176" t="s">
        <v>76</v>
      </c>
      <c r="D22" s="177">
        <v>510511</v>
      </c>
      <c r="E22" s="181">
        <v>4.4669250011707602</v>
      </c>
      <c r="F22" s="183">
        <v>27109.613800208699</v>
      </c>
      <c r="G22" s="181">
        <v>3.0806379318418999</v>
      </c>
    </row>
    <row r="23" spans="1:7" x14ac:dyDescent="0.25">
      <c r="A23" s="176" t="s">
        <v>4</v>
      </c>
      <c r="B23" s="176" t="s">
        <v>64</v>
      </c>
      <c r="C23" s="176" t="s">
        <v>77</v>
      </c>
      <c r="D23" s="177">
        <v>510522</v>
      </c>
      <c r="E23" s="181">
        <v>3.1003976241178299</v>
      </c>
      <c r="F23" s="183">
        <v>45420.8251933262</v>
      </c>
      <c r="G23" s="181">
        <v>2.3252982180883701</v>
      </c>
    </row>
    <row r="24" spans="1:7" x14ac:dyDescent="0.25">
      <c r="A24" s="176" t="s">
        <v>4</v>
      </c>
      <c r="B24" s="176" t="s">
        <v>64</v>
      </c>
      <c r="C24" s="176" t="s">
        <v>78</v>
      </c>
      <c r="D24" s="177">
        <v>410510</v>
      </c>
      <c r="E24" s="181">
        <v>3.2509699437195199</v>
      </c>
      <c r="F24" s="183">
        <v>162029.89007590699</v>
      </c>
      <c r="G24" s="181">
        <v>2.9929564561227302</v>
      </c>
    </row>
    <row r="25" spans="1:7" x14ac:dyDescent="0.25">
      <c r="A25" s="176" t="s">
        <v>4</v>
      </c>
      <c r="B25" s="176" t="s">
        <v>64</v>
      </c>
      <c r="C25" s="176" t="s">
        <v>79</v>
      </c>
      <c r="D25" s="177">
        <v>410512</v>
      </c>
      <c r="E25" s="181">
        <v>3.38739155805871</v>
      </c>
      <c r="F25" s="183">
        <v>40422.872592833897</v>
      </c>
      <c r="G25" s="181">
        <v>3.6132176619292902</v>
      </c>
    </row>
    <row r="26" spans="1:7" x14ac:dyDescent="0.25">
      <c r="A26" s="176" t="s">
        <v>430</v>
      </c>
      <c r="B26" s="176" t="s">
        <v>606</v>
      </c>
      <c r="C26" s="176" t="s">
        <v>607</v>
      </c>
      <c r="D26" s="177">
        <v>405705</v>
      </c>
      <c r="E26" s="181" t="e">
        <v>#N/A</v>
      </c>
      <c r="F26" s="183" t="e">
        <v>#N/A</v>
      </c>
      <c r="G26" s="181">
        <v>0</v>
      </c>
    </row>
    <row r="27" spans="1:7" x14ac:dyDescent="0.25">
      <c r="A27" s="176" t="s">
        <v>430</v>
      </c>
      <c r="B27" s="176" t="s">
        <v>608</v>
      </c>
      <c r="C27" s="176" t="s">
        <v>608</v>
      </c>
      <c r="D27" s="177">
        <v>405800</v>
      </c>
      <c r="E27" s="181">
        <v>0</v>
      </c>
      <c r="F27" s="183">
        <v>0</v>
      </c>
      <c r="G27" s="181">
        <v>0</v>
      </c>
    </row>
    <row r="28" spans="1:7" x14ac:dyDescent="0.25">
      <c r="A28" s="176" t="s">
        <v>430</v>
      </c>
      <c r="B28" s="176" t="s">
        <v>432</v>
      </c>
      <c r="C28" s="176" t="s">
        <v>432</v>
      </c>
      <c r="D28" s="177">
        <v>4017</v>
      </c>
      <c r="E28" s="181">
        <v>4.3992624544313301</v>
      </c>
      <c r="F28" s="183">
        <v>23059.366146508099</v>
      </c>
      <c r="G28" s="181">
        <v>2.4678789378517201</v>
      </c>
    </row>
    <row r="29" spans="1:7" x14ac:dyDescent="0.25">
      <c r="A29" s="176" t="s">
        <v>430</v>
      </c>
      <c r="B29" s="176" t="s">
        <v>434</v>
      </c>
      <c r="C29" s="176" t="s">
        <v>434</v>
      </c>
      <c r="D29" s="177">
        <v>4022</v>
      </c>
      <c r="E29" s="181">
        <v>1.6520288072927101</v>
      </c>
      <c r="F29" s="183">
        <v>23348.673809737</v>
      </c>
      <c r="G29" s="181">
        <v>3.08378710694639</v>
      </c>
    </row>
    <row r="30" spans="1:7" x14ac:dyDescent="0.25">
      <c r="A30" s="176" t="s">
        <v>80</v>
      </c>
      <c r="B30" s="176" t="s">
        <v>81</v>
      </c>
      <c r="C30" s="176" t="s">
        <v>82</v>
      </c>
      <c r="D30" s="177">
        <v>4057</v>
      </c>
      <c r="E30" s="181">
        <v>4.3244110133981204</v>
      </c>
      <c r="F30" s="183">
        <v>33201.866780645498</v>
      </c>
      <c r="G30" s="181">
        <v>1.9219604503991601</v>
      </c>
    </row>
    <row r="31" spans="1:7" x14ac:dyDescent="0.25">
      <c r="A31" s="176" t="s">
        <v>80</v>
      </c>
      <c r="B31" s="176" t="s">
        <v>81</v>
      </c>
      <c r="C31" s="176" t="s">
        <v>83</v>
      </c>
      <c r="D31" s="177">
        <v>4082</v>
      </c>
      <c r="E31" s="181">
        <v>3.5208643815070002</v>
      </c>
      <c r="F31" s="183">
        <v>54925.484351509302</v>
      </c>
      <c r="G31" s="181">
        <v>3.5208643815070002</v>
      </c>
    </row>
    <row r="32" spans="1:7" x14ac:dyDescent="0.25">
      <c r="A32" s="176" t="s">
        <v>80</v>
      </c>
      <c r="B32" s="176" t="s">
        <v>81</v>
      </c>
      <c r="C32" s="176" t="s">
        <v>84</v>
      </c>
      <c r="D32" s="177">
        <v>4030</v>
      </c>
      <c r="E32" s="181">
        <v>2.4025724724314599</v>
      </c>
      <c r="F32" s="183">
        <v>51841.662356337998</v>
      </c>
      <c r="G32" s="181">
        <v>2.1356199754946301</v>
      </c>
    </row>
    <row r="33" spans="1:7" x14ac:dyDescent="0.25">
      <c r="A33" s="176" t="s">
        <v>80</v>
      </c>
      <c r="B33" s="176" t="s">
        <v>81</v>
      </c>
      <c r="C33" s="176" t="s">
        <v>85</v>
      </c>
      <c r="D33" s="177">
        <v>4060</v>
      </c>
      <c r="E33" s="181">
        <v>3.0974205752853701</v>
      </c>
      <c r="F33" s="183">
        <v>57612.022700307898</v>
      </c>
      <c r="G33" s="181">
        <v>2.3540396372168799</v>
      </c>
    </row>
    <row r="34" spans="1:7" x14ac:dyDescent="0.25">
      <c r="A34" s="176" t="s">
        <v>80</v>
      </c>
      <c r="B34" s="176" t="s">
        <v>81</v>
      </c>
      <c r="C34" s="176" t="s">
        <v>86</v>
      </c>
      <c r="D34" s="177">
        <v>4064</v>
      </c>
      <c r="E34" s="181">
        <v>2.44350983596033</v>
      </c>
      <c r="F34" s="183">
        <v>60040.527397882499</v>
      </c>
      <c r="G34" s="181">
        <v>2.79258266966895</v>
      </c>
    </row>
    <row r="35" spans="1:7" x14ac:dyDescent="0.25">
      <c r="A35" s="176" t="s">
        <v>80</v>
      </c>
      <c r="B35" s="176" t="s">
        <v>81</v>
      </c>
      <c r="C35" s="176" t="s">
        <v>87</v>
      </c>
      <c r="D35" s="177">
        <v>4092</v>
      </c>
      <c r="E35" s="181">
        <v>4.5468045558166503</v>
      </c>
      <c r="F35" s="183">
        <v>57662.162030998101</v>
      </c>
      <c r="G35" s="181">
        <v>2.89342108097423</v>
      </c>
    </row>
    <row r="36" spans="1:7" x14ac:dyDescent="0.25">
      <c r="A36" s="176" t="s">
        <v>80</v>
      </c>
      <c r="B36" s="176" t="s">
        <v>81</v>
      </c>
      <c r="C36" s="176" t="s">
        <v>88</v>
      </c>
      <c r="D36" s="177">
        <v>4041</v>
      </c>
      <c r="E36" s="181">
        <v>6.5325360474341796</v>
      </c>
      <c r="F36" s="183">
        <v>66958.494486200303</v>
      </c>
      <c r="G36" s="181">
        <v>3.6745515266817201</v>
      </c>
    </row>
    <row r="37" spans="1:7" x14ac:dyDescent="0.25">
      <c r="A37" s="176" t="s">
        <v>80</v>
      </c>
      <c r="B37" s="176" t="s">
        <v>81</v>
      </c>
      <c r="C37" s="176" t="s">
        <v>89</v>
      </c>
      <c r="D37" s="177">
        <v>4085</v>
      </c>
      <c r="E37" s="181">
        <v>3.2012456901594399</v>
      </c>
      <c r="F37" s="183">
        <v>43483.587291332398</v>
      </c>
      <c r="G37" s="181">
        <v>2.13416379343963</v>
      </c>
    </row>
    <row r="38" spans="1:7" x14ac:dyDescent="0.25">
      <c r="A38" s="176" t="s">
        <v>80</v>
      </c>
      <c r="B38" s="176" t="s">
        <v>81</v>
      </c>
      <c r="C38" s="176" t="s">
        <v>90</v>
      </c>
      <c r="D38" s="177">
        <v>4066</v>
      </c>
      <c r="E38" s="181">
        <v>3.0151998978435599</v>
      </c>
      <c r="F38" s="183">
        <v>41713.136872452902</v>
      </c>
      <c r="G38" s="181">
        <v>1.3783770961570501</v>
      </c>
    </row>
    <row r="39" spans="1:7" x14ac:dyDescent="0.25">
      <c r="A39" s="176" t="s">
        <v>80</v>
      </c>
      <c r="B39" s="176" t="s">
        <v>81</v>
      </c>
      <c r="C39" s="176" t="s">
        <v>91</v>
      </c>
      <c r="D39" s="177">
        <v>4067</v>
      </c>
      <c r="E39" s="181">
        <v>4.6222826086454099</v>
      </c>
      <c r="F39" s="183">
        <v>39991.3043473914</v>
      </c>
      <c r="G39" s="181">
        <v>2.3967391304087302</v>
      </c>
    </row>
    <row r="40" spans="1:7" x14ac:dyDescent="0.25">
      <c r="A40" s="176" t="s">
        <v>80</v>
      </c>
      <c r="B40" s="176" t="s">
        <v>81</v>
      </c>
      <c r="C40" s="176" t="s">
        <v>92</v>
      </c>
      <c r="D40" s="177">
        <v>4095</v>
      </c>
      <c r="E40" s="181">
        <v>3.8673641536410899</v>
      </c>
      <c r="F40" s="183">
        <v>59741.107763370797</v>
      </c>
      <c r="G40" s="181">
        <v>1.93368207682055</v>
      </c>
    </row>
    <row r="41" spans="1:7" x14ac:dyDescent="0.25">
      <c r="A41" s="176" t="s">
        <v>80</v>
      </c>
      <c r="B41" s="176" t="s">
        <v>81</v>
      </c>
      <c r="C41" s="176" t="s">
        <v>93</v>
      </c>
      <c r="D41" s="177">
        <v>4087</v>
      </c>
      <c r="E41" s="181">
        <v>3.5162799256535999</v>
      </c>
      <c r="F41" s="183">
        <v>50139.547088023501</v>
      </c>
      <c r="G41" s="181">
        <v>2.2139540272633802</v>
      </c>
    </row>
    <row r="42" spans="1:7" x14ac:dyDescent="0.25">
      <c r="A42" s="176" t="s">
        <v>80</v>
      </c>
      <c r="B42" s="176" t="s">
        <v>81</v>
      </c>
      <c r="C42" s="176" t="s">
        <v>94</v>
      </c>
      <c r="D42" s="177">
        <v>4073</v>
      </c>
      <c r="E42" s="181">
        <v>2.47875030241081</v>
      </c>
      <c r="F42" s="183">
        <v>51268.818754863598</v>
      </c>
      <c r="G42" s="181">
        <v>2.0656252520090099</v>
      </c>
    </row>
    <row r="43" spans="1:7" x14ac:dyDescent="0.25">
      <c r="A43" s="176" t="s">
        <v>80</v>
      </c>
      <c r="B43" s="176" t="s">
        <v>81</v>
      </c>
      <c r="C43" s="176" t="s">
        <v>95</v>
      </c>
      <c r="D43" s="177">
        <v>4074</v>
      </c>
      <c r="E43" s="181">
        <v>5.5701002119259702</v>
      </c>
      <c r="F43" s="183">
        <v>56938.802166354399</v>
      </c>
      <c r="G43" s="181">
        <v>2.4756000941893199</v>
      </c>
    </row>
    <row r="44" spans="1:7" x14ac:dyDescent="0.25">
      <c r="A44" s="176" t="s">
        <v>80</v>
      </c>
      <c r="B44" s="176" t="s">
        <v>81</v>
      </c>
      <c r="C44" s="176" t="s">
        <v>96</v>
      </c>
      <c r="D44" s="177">
        <v>4079</v>
      </c>
      <c r="E44" s="181">
        <v>5.65984094136331</v>
      </c>
      <c r="F44" s="183">
        <v>50198.596675121204</v>
      </c>
      <c r="G44" s="181">
        <v>3.77322729424221</v>
      </c>
    </row>
    <row r="45" spans="1:7" x14ac:dyDescent="0.25">
      <c r="A45" s="176" t="s">
        <v>80</v>
      </c>
      <c r="B45" s="176" t="s">
        <v>81</v>
      </c>
      <c r="C45" s="176" t="s">
        <v>97</v>
      </c>
      <c r="D45" s="177">
        <v>4031</v>
      </c>
      <c r="E45" s="181">
        <v>2.7205318332737098</v>
      </c>
      <c r="F45" s="183">
        <v>57131.168498747997</v>
      </c>
      <c r="G45" s="181">
        <v>3.74073127075135</v>
      </c>
    </row>
    <row r="46" spans="1:7" x14ac:dyDescent="0.25">
      <c r="A46" s="176" t="s">
        <v>80</v>
      </c>
      <c r="B46" s="176" t="s">
        <v>81</v>
      </c>
      <c r="C46" s="176" t="s">
        <v>98</v>
      </c>
      <c r="D46" s="177">
        <v>4071</v>
      </c>
      <c r="E46" s="181">
        <v>3.4052784348240799</v>
      </c>
      <c r="F46" s="183">
        <v>37123.306597946597</v>
      </c>
      <c r="G46" s="181">
        <v>1.7314975092325899</v>
      </c>
    </row>
    <row r="47" spans="1:7" x14ac:dyDescent="0.25">
      <c r="A47" s="176" t="s">
        <v>80</v>
      </c>
      <c r="B47" s="176" t="s">
        <v>81</v>
      </c>
      <c r="C47" s="176" t="s">
        <v>99</v>
      </c>
      <c r="D47" s="177">
        <v>4080</v>
      </c>
      <c r="E47" s="181">
        <v>4.9787438144152301</v>
      </c>
      <c r="F47" s="183">
        <v>44678.814056317598</v>
      </c>
      <c r="G47" s="181">
        <v>3.4634739578540801</v>
      </c>
    </row>
    <row r="48" spans="1:7" x14ac:dyDescent="0.25">
      <c r="A48" s="176" t="s">
        <v>80</v>
      </c>
      <c r="B48" s="176" t="s">
        <v>100</v>
      </c>
      <c r="C48" s="176" t="s">
        <v>101</v>
      </c>
      <c r="D48" s="177">
        <v>4113</v>
      </c>
      <c r="E48" s="181">
        <v>4.3872472783787799</v>
      </c>
      <c r="F48" s="183">
        <v>60915.241057489999</v>
      </c>
      <c r="G48" s="181">
        <v>3.3748055987529102</v>
      </c>
    </row>
    <row r="49" spans="1:7" x14ac:dyDescent="0.25">
      <c r="A49" s="176" t="s">
        <v>80</v>
      </c>
      <c r="B49" s="176" t="s">
        <v>100</v>
      </c>
      <c r="C49" s="176" t="s">
        <v>102</v>
      </c>
      <c r="D49" s="177">
        <v>4111</v>
      </c>
      <c r="E49" s="181">
        <v>2.5936782722293299</v>
      </c>
      <c r="F49" s="183">
        <v>29349.517291016102</v>
      </c>
      <c r="G49" s="181">
        <v>2.73018765497824</v>
      </c>
    </row>
    <row r="50" spans="1:7" x14ac:dyDescent="0.25">
      <c r="A50" s="176" t="s">
        <v>80</v>
      </c>
      <c r="B50" s="176" t="s">
        <v>100</v>
      </c>
      <c r="C50" s="176" t="s">
        <v>103</v>
      </c>
      <c r="D50" s="177">
        <v>4104</v>
      </c>
      <c r="E50" s="181">
        <v>3.4337643973738801</v>
      </c>
      <c r="F50" s="183">
        <v>24595.722078608698</v>
      </c>
      <c r="G50" s="181">
        <v>1.55073230849143</v>
      </c>
    </row>
    <row r="51" spans="1:7" x14ac:dyDescent="0.25">
      <c r="A51" s="176" t="s">
        <v>80</v>
      </c>
      <c r="B51" s="176" t="s">
        <v>100</v>
      </c>
      <c r="C51" s="176" t="s">
        <v>104</v>
      </c>
      <c r="D51" s="177">
        <v>4008</v>
      </c>
      <c r="E51" s="181">
        <v>3.6201777155688699</v>
      </c>
      <c r="F51" s="183">
        <v>43894.654801272598</v>
      </c>
      <c r="G51" s="181">
        <v>3.1676555011227601</v>
      </c>
    </row>
    <row r="52" spans="1:7" x14ac:dyDescent="0.25">
      <c r="A52" s="176" t="s">
        <v>80</v>
      </c>
      <c r="B52" s="176" t="s">
        <v>100</v>
      </c>
      <c r="C52" s="176" t="s">
        <v>105</v>
      </c>
      <c r="D52" s="177">
        <v>4007</v>
      </c>
      <c r="E52" s="181">
        <v>3.4187196815194598</v>
      </c>
      <c r="F52" s="183">
        <v>57795.713861159202</v>
      </c>
      <c r="G52" s="181">
        <v>2.7091740872418399</v>
      </c>
    </row>
    <row r="53" spans="1:7" x14ac:dyDescent="0.25">
      <c r="A53" s="176" t="s">
        <v>80</v>
      </c>
      <c r="B53" s="176" t="s">
        <v>100</v>
      </c>
      <c r="C53" s="176" t="s">
        <v>106</v>
      </c>
      <c r="D53" s="177">
        <v>4015</v>
      </c>
      <c r="E53" s="181">
        <v>2.82433332764024</v>
      </c>
      <c r="F53" s="183">
        <v>53625.721496843398</v>
      </c>
      <c r="G53" s="181">
        <v>2.3013086373365002</v>
      </c>
    </row>
    <row r="54" spans="1:7" x14ac:dyDescent="0.25">
      <c r="A54" s="176" t="s">
        <v>80</v>
      </c>
      <c r="B54" s="176" t="s">
        <v>100</v>
      </c>
      <c r="C54" s="176" t="s">
        <v>107</v>
      </c>
      <c r="D54" s="177">
        <v>4109</v>
      </c>
      <c r="E54" s="181">
        <v>4.7641851311354602</v>
      </c>
      <c r="F54" s="183">
        <v>60941.868135774501</v>
      </c>
      <c r="G54" s="181">
        <v>3.9701542759462201</v>
      </c>
    </row>
    <row r="55" spans="1:7" x14ac:dyDescent="0.25">
      <c r="A55" s="176" t="s">
        <v>80</v>
      </c>
      <c r="B55" s="176" t="s">
        <v>100</v>
      </c>
      <c r="C55" s="176" t="s">
        <v>108</v>
      </c>
      <c r="D55" s="177">
        <v>4129</v>
      </c>
      <c r="E55" s="181">
        <v>2.7240487549582002</v>
      </c>
      <c r="F55" s="183">
        <v>39537.621929107598</v>
      </c>
      <c r="G55" s="181">
        <v>3.1131985770950799</v>
      </c>
    </row>
    <row r="56" spans="1:7" x14ac:dyDescent="0.25">
      <c r="A56" s="176" t="s">
        <v>80</v>
      </c>
      <c r="B56" s="176" t="s">
        <v>100</v>
      </c>
      <c r="C56" s="176" t="s">
        <v>109</v>
      </c>
      <c r="D56" s="177">
        <v>4116</v>
      </c>
      <c r="E56" s="181">
        <v>1.9085786164983201</v>
      </c>
      <c r="F56" s="183">
        <v>41988.729562963003</v>
      </c>
      <c r="G56" s="181">
        <v>2.86286792474748</v>
      </c>
    </row>
    <row r="57" spans="1:7" x14ac:dyDescent="0.25">
      <c r="A57" s="176" t="s">
        <v>80</v>
      </c>
      <c r="B57" s="176" t="s">
        <v>100</v>
      </c>
      <c r="C57" s="176" t="s">
        <v>110</v>
      </c>
      <c r="D57" s="177">
        <v>4126</v>
      </c>
      <c r="E57" s="181">
        <v>3.60497924043485</v>
      </c>
      <c r="F57" s="183">
        <v>45840.157078371602</v>
      </c>
      <c r="G57" s="181">
        <v>3.0357719919451398</v>
      </c>
    </row>
    <row r="58" spans="1:7" x14ac:dyDescent="0.25">
      <c r="A58" s="176" t="s">
        <v>80</v>
      </c>
      <c r="B58" s="176" t="s">
        <v>100</v>
      </c>
      <c r="C58" s="176" t="s">
        <v>111</v>
      </c>
      <c r="D58" s="177">
        <v>4119</v>
      </c>
      <c r="E58" s="181">
        <v>4.0142421002965696</v>
      </c>
      <c r="F58" s="183">
        <v>47256.0314225611</v>
      </c>
      <c r="G58" s="181">
        <v>2.2405072187701802</v>
      </c>
    </row>
    <row r="59" spans="1:7" x14ac:dyDescent="0.25">
      <c r="A59" s="176" t="s">
        <v>80</v>
      </c>
      <c r="B59" s="176" t="s">
        <v>100</v>
      </c>
      <c r="C59" s="176" t="s">
        <v>112</v>
      </c>
      <c r="D59" s="177">
        <v>4127</v>
      </c>
      <c r="E59" s="181">
        <v>4.7006387357442998</v>
      </c>
      <c r="F59" s="183">
        <v>76656.570152137807</v>
      </c>
      <c r="G59" s="181">
        <v>2.1695255703435201</v>
      </c>
    </row>
    <row r="60" spans="1:7" x14ac:dyDescent="0.25">
      <c r="A60" s="176" t="s">
        <v>80</v>
      </c>
      <c r="B60" s="176" t="s">
        <v>100</v>
      </c>
      <c r="C60" s="176" t="s">
        <v>113</v>
      </c>
      <c r="D60" s="177">
        <v>4121</v>
      </c>
      <c r="E60" s="181">
        <v>3.49688909920325</v>
      </c>
      <c r="F60" s="183">
        <v>45626.4098552328</v>
      </c>
      <c r="G60" s="181">
        <v>2.6642964565358098</v>
      </c>
    </row>
    <row r="61" spans="1:7" x14ac:dyDescent="0.25">
      <c r="A61" s="176" t="s">
        <v>80</v>
      </c>
      <c r="B61" s="176" t="s">
        <v>100</v>
      </c>
      <c r="C61" s="176" t="s">
        <v>114</v>
      </c>
      <c r="D61" s="177">
        <v>4101</v>
      </c>
      <c r="E61" s="181">
        <v>3.2110888495452801</v>
      </c>
      <c r="F61" s="183">
        <v>51747.931844595099</v>
      </c>
      <c r="G61" s="181">
        <v>2.9640820149648701</v>
      </c>
    </row>
    <row r="62" spans="1:7" x14ac:dyDescent="0.25">
      <c r="A62" s="176" t="s">
        <v>80</v>
      </c>
      <c r="B62" s="176" t="s">
        <v>100</v>
      </c>
      <c r="C62" s="176" t="s">
        <v>115</v>
      </c>
      <c r="D62" s="177">
        <v>4110</v>
      </c>
      <c r="E62" s="181">
        <v>4.7482870539944102</v>
      </c>
      <c r="F62" s="183">
        <v>34293.184278848501</v>
      </c>
      <c r="G62" s="181">
        <v>3.6931121531067599</v>
      </c>
    </row>
    <row r="63" spans="1:7" x14ac:dyDescent="0.25">
      <c r="A63" s="176" t="s">
        <v>80</v>
      </c>
      <c r="B63" s="176" t="s">
        <v>100</v>
      </c>
      <c r="C63" s="176" t="s">
        <v>116</v>
      </c>
      <c r="D63" s="177">
        <v>4107</v>
      </c>
      <c r="E63" s="181">
        <v>5.1876577231546301</v>
      </c>
      <c r="F63" s="183">
        <v>66166.216232599501</v>
      </c>
      <c r="G63" s="181">
        <v>3.7728419804760902</v>
      </c>
    </row>
    <row r="64" spans="1:7" x14ac:dyDescent="0.25">
      <c r="A64" s="176" t="s">
        <v>80</v>
      </c>
      <c r="B64" s="176" t="s">
        <v>100</v>
      </c>
      <c r="C64" s="176" t="s">
        <v>117</v>
      </c>
      <c r="D64" s="177">
        <v>4120</v>
      </c>
      <c r="E64" s="181">
        <v>3.3326226898081801</v>
      </c>
      <c r="F64" s="183">
        <v>63515.867735167703</v>
      </c>
      <c r="G64" s="181">
        <v>3.13658606099593</v>
      </c>
    </row>
    <row r="65" spans="1:7" x14ac:dyDescent="0.25">
      <c r="A65" s="176" t="s">
        <v>80</v>
      </c>
      <c r="B65" s="176" t="s">
        <v>118</v>
      </c>
      <c r="C65" s="176" t="s">
        <v>119</v>
      </c>
      <c r="D65" s="177">
        <v>4028</v>
      </c>
      <c r="E65" s="181">
        <v>3.39857359556754</v>
      </c>
      <c r="F65" s="183">
        <v>51694.0931115274</v>
      </c>
      <c r="G65" s="181">
        <v>3.2197013010639899</v>
      </c>
    </row>
    <row r="66" spans="1:7" x14ac:dyDescent="0.25">
      <c r="A66" s="176" t="s">
        <v>80</v>
      </c>
      <c r="B66" s="176" t="s">
        <v>118</v>
      </c>
      <c r="C66" s="176" t="s">
        <v>120</v>
      </c>
      <c r="D66" s="177">
        <v>4033</v>
      </c>
      <c r="E66" s="181">
        <v>7.0368615320346004</v>
      </c>
      <c r="F66" s="183">
        <v>106256.609133722</v>
      </c>
      <c r="G66" s="181">
        <v>2.8147446128138398</v>
      </c>
    </row>
    <row r="67" spans="1:7" x14ac:dyDescent="0.25">
      <c r="A67" s="176" t="s">
        <v>80</v>
      </c>
      <c r="B67" s="176" t="s">
        <v>118</v>
      </c>
      <c r="C67" s="176" t="s">
        <v>121</v>
      </c>
      <c r="D67" s="177">
        <v>4037</v>
      </c>
      <c r="E67" s="181">
        <v>3.5578291690253701</v>
      </c>
      <c r="F67" s="183">
        <v>36840.747201843398</v>
      </c>
      <c r="G67" s="181">
        <v>2.5249110231793002</v>
      </c>
    </row>
    <row r="68" spans="1:7" x14ac:dyDescent="0.25">
      <c r="A68" s="176" t="s">
        <v>80</v>
      </c>
      <c r="B68" s="176" t="s">
        <v>118</v>
      </c>
      <c r="C68" s="176" t="s">
        <v>122</v>
      </c>
      <c r="D68" s="177">
        <v>4038</v>
      </c>
      <c r="E68" s="181">
        <v>3.6287714574085501</v>
      </c>
      <c r="F68" s="183">
        <v>34550.302785386797</v>
      </c>
      <c r="G68" s="181">
        <v>2.8590320573521901</v>
      </c>
    </row>
    <row r="69" spans="1:7" x14ac:dyDescent="0.25">
      <c r="A69" s="176" t="s">
        <v>80</v>
      </c>
      <c r="B69" s="176" t="s">
        <v>118</v>
      </c>
      <c r="C69" s="176" t="s">
        <v>123</v>
      </c>
      <c r="D69" s="177">
        <v>4039</v>
      </c>
      <c r="E69" s="181">
        <v>4.30372108246892</v>
      </c>
      <c r="F69" s="183">
        <v>46480.187690664403</v>
      </c>
      <c r="G69" s="181">
        <v>3.9726656145866999</v>
      </c>
    </row>
    <row r="70" spans="1:7" x14ac:dyDescent="0.25">
      <c r="A70" s="176" t="s">
        <v>80</v>
      </c>
      <c r="B70" s="176" t="s">
        <v>118</v>
      </c>
      <c r="C70" s="176" t="s">
        <v>124</v>
      </c>
      <c r="D70" s="177">
        <v>4027</v>
      </c>
      <c r="E70" s="181">
        <v>4.0934024487281597</v>
      </c>
      <c r="F70" s="183">
        <v>52068.079147822202</v>
      </c>
      <c r="G70" s="181">
        <v>4.5846107425755402</v>
      </c>
    </row>
    <row r="71" spans="1:7" x14ac:dyDescent="0.25">
      <c r="A71" s="176" t="s">
        <v>80</v>
      </c>
      <c r="B71" s="176" t="s">
        <v>118</v>
      </c>
      <c r="C71" s="176" t="s">
        <v>125</v>
      </c>
      <c r="D71" s="177">
        <v>4029</v>
      </c>
      <c r="E71" s="181">
        <v>5.4699488653590702</v>
      </c>
      <c r="F71" s="183">
        <v>34278.346222916902</v>
      </c>
      <c r="G71" s="181">
        <v>4.5582907211325603</v>
      </c>
    </row>
    <row r="72" spans="1:7" x14ac:dyDescent="0.25">
      <c r="A72" s="176" t="s">
        <v>80</v>
      </c>
      <c r="B72" s="176" t="s">
        <v>118</v>
      </c>
      <c r="C72" s="176" t="s">
        <v>126</v>
      </c>
      <c r="D72" s="177">
        <v>4019</v>
      </c>
      <c r="E72" s="181">
        <v>4.7910402434681298</v>
      </c>
      <c r="F72" s="183">
        <v>59452.453930308999</v>
      </c>
      <c r="G72" s="181">
        <v>3.91994201738301</v>
      </c>
    </row>
    <row r="73" spans="1:7" x14ac:dyDescent="0.25">
      <c r="A73" s="176" t="s">
        <v>80</v>
      </c>
      <c r="B73" s="176" t="s">
        <v>118</v>
      </c>
      <c r="C73" s="176" t="s">
        <v>127</v>
      </c>
      <c r="D73" s="177">
        <v>4024</v>
      </c>
      <c r="E73" s="181">
        <v>3.62230826902911</v>
      </c>
      <c r="F73" s="183">
        <v>69185.7909091779</v>
      </c>
      <c r="G73" s="181">
        <v>3.9845390959320199</v>
      </c>
    </row>
    <row r="74" spans="1:7" x14ac:dyDescent="0.25">
      <c r="A74" s="176" t="s">
        <v>80</v>
      </c>
      <c r="B74" s="176" t="s">
        <v>118</v>
      </c>
      <c r="C74" s="176" t="s">
        <v>128</v>
      </c>
      <c r="D74" s="177">
        <v>4047</v>
      </c>
      <c r="E74" s="181">
        <v>3.8416183658424399</v>
      </c>
      <c r="F74" s="183">
        <v>38684.560904261401</v>
      </c>
      <c r="G74" s="181">
        <v>4.6456780238094604</v>
      </c>
    </row>
    <row r="75" spans="1:7" x14ac:dyDescent="0.25">
      <c r="A75" s="176" t="s">
        <v>80</v>
      </c>
      <c r="B75" s="176" t="s">
        <v>118</v>
      </c>
      <c r="C75" s="176" t="s">
        <v>129</v>
      </c>
      <c r="D75" s="177">
        <v>4026</v>
      </c>
      <c r="E75" s="181">
        <v>3.14913937081492</v>
      </c>
      <c r="F75" s="183">
        <v>48053.534102805497</v>
      </c>
      <c r="G75" s="181">
        <v>2.0994262472099501</v>
      </c>
    </row>
    <row r="76" spans="1:7" x14ac:dyDescent="0.25">
      <c r="A76" s="176" t="s">
        <v>80</v>
      </c>
      <c r="B76" s="176" t="s">
        <v>118</v>
      </c>
      <c r="C76" s="176" t="s">
        <v>130</v>
      </c>
      <c r="D76" s="177">
        <v>4045</v>
      </c>
      <c r="E76" s="181">
        <v>4.02691028766165</v>
      </c>
      <c r="F76" s="183">
        <v>35403.252945692002</v>
      </c>
      <c r="G76" s="181">
        <v>3.85912235900908</v>
      </c>
    </row>
    <row r="77" spans="1:7" x14ac:dyDescent="0.25">
      <c r="A77" s="176" t="s">
        <v>80</v>
      </c>
      <c r="B77" s="176" t="s">
        <v>118</v>
      </c>
      <c r="C77" s="176" t="s">
        <v>131</v>
      </c>
      <c r="D77" s="177">
        <v>4043</v>
      </c>
      <c r="E77" s="181">
        <v>4.0123955715794102</v>
      </c>
      <c r="F77" s="183">
        <v>52125.738940194802</v>
      </c>
      <c r="G77" s="181">
        <v>3.65836066820476</v>
      </c>
    </row>
    <row r="78" spans="1:7" x14ac:dyDescent="0.25">
      <c r="A78" s="176" t="s">
        <v>80</v>
      </c>
      <c r="B78" s="176" t="s">
        <v>118</v>
      </c>
      <c r="C78" s="176" t="s">
        <v>132</v>
      </c>
      <c r="D78" s="177">
        <v>4048</v>
      </c>
      <c r="E78" s="181">
        <v>3.2255082156767898</v>
      </c>
      <c r="F78" s="183">
        <v>35147.287856824703</v>
      </c>
      <c r="G78" s="181">
        <v>4.6590674226442497</v>
      </c>
    </row>
    <row r="79" spans="1:7" x14ac:dyDescent="0.25">
      <c r="A79" s="176" t="s">
        <v>80</v>
      </c>
      <c r="B79" s="176" t="s">
        <v>118</v>
      </c>
      <c r="C79" s="176" t="s">
        <v>133</v>
      </c>
      <c r="D79" s="177">
        <v>4010</v>
      </c>
      <c r="E79" s="181">
        <v>5.1022377559934897</v>
      </c>
      <c r="F79" s="183">
        <v>67349.538379114107</v>
      </c>
      <c r="G79" s="181">
        <v>3.6736111843153099</v>
      </c>
    </row>
    <row r="80" spans="1:7" x14ac:dyDescent="0.25">
      <c r="A80" s="176" t="s">
        <v>80</v>
      </c>
      <c r="B80" s="176" t="s">
        <v>118</v>
      </c>
      <c r="C80" s="176" t="s">
        <v>134</v>
      </c>
      <c r="D80" s="177">
        <v>4054</v>
      </c>
      <c r="E80" s="181">
        <v>4.8553105311006099</v>
      </c>
      <c r="F80" s="183">
        <v>40149.6832379474</v>
      </c>
      <c r="G80" s="181">
        <v>3.7348542546927801</v>
      </c>
    </row>
    <row r="81" spans="1:7" x14ac:dyDescent="0.25">
      <c r="A81" s="176" t="s">
        <v>80</v>
      </c>
      <c r="B81" s="176" t="s">
        <v>118</v>
      </c>
      <c r="C81" s="176" t="s">
        <v>135</v>
      </c>
      <c r="D81" s="177">
        <v>4006</v>
      </c>
      <c r="E81" s="181">
        <v>4.2255968297315203</v>
      </c>
      <c r="F81" s="183">
        <v>50293.5929053578</v>
      </c>
      <c r="G81" s="181">
        <v>3.4164399899957001</v>
      </c>
    </row>
    <row r="82" spans="1:7" x14ac:dyDescent="0.25">
      <c r="A82" s="176" t="s">
        <v>80</v>
      </c>
      <c r="B82" s="176" t="s">
        <v>118</v>
      </c>
      <c r="C82" s="176" t="s">
        <v>136</v>
      </c>
      <c r="D82" s="177">
        <v>4020</v>
      </c>
      <c r="E82" s="181">
        <v>3.3107694983423599</v>
      </c>
      <c r="F82" s="183">
        <v>69614.174670317705</v>
      </c>
      <c r="G82" s="181">
        <v>2.5631763858134402</v>
      </c>
    </row>
    <row r="83" spans="1:7" x14ac:dyDescent="0.25">
      <c r="A83" s="176" t="s">
        <v>80</v>
      </c>
      <c r="B83" s="176" t="s">
        <v>118</v>
      </c>
      <c r="C83" s="176" t="s">
        <v>137</v>
      </c>
      <c r="D83" s="177">
        <v>4012</v>
      </c>
      <c r="E83" s="181">
        <v>2.6248674308954101</v>
      </c>
      <c r="F83" s="183">
        <v>20473.965960984198</v>
      </c>
      <c r="G83" s="181">
        <v>3.1498409170745001</v>
      </c>
    </row>
    <row r="84" spans="1:7" x14ac:dyDescent="0.25">
      <c r="A84" s="176" t="s">
        <v>80</v>
      </c>
      <c r="B84" s="176" t="s">
        <v>118</v>
      </c>
      <c r="C84" s="176" t="s">
        <v>138</v>
      </c>
      <c r="D84" s="177">
        <v>4023</v>
      </c>
      <c r="E84" s="181">
        <v>2.6086953655510201</v>
      </c>
      <c r="F84" s="183">
        <v>44347.821214367301</v>
      </c>
      <c r="G84" s="181">
        <v>1.8414320227419001</v>
      </c>
    </row>
    <row r="85" spans="1:7" x14ac:dyDescent="0.25">
      <c r="A85" s="176" t="s">
        <v>139</v>
      </c>
      <c r="B85" s="176" t="s">
        <v>140</v>
      </c>
      <c r="C85" s="176" t="s">
        <v>141</v>
      </c>
      <c r="D85" s="177">
        <v>4132</v>
      </c>
      <c r="E85" s="181">
        <v>4.4367801318092699</v>
      </c>
      <c r="F85" s="183">
        <v>38989.886006808701</v>
      </c>
      <c r="G85" s="181">
        <v>1.8822703589493901</v>
      </c>
    </row>
    <row r="86" spans="1:7" x14ac:dyDescent="0.25">
      <c r="A86" s="176" t="s">
        <v>139</v>
      </c>
      <c r="B86" s="176" t="s">
        <v>140</v>
      </c>
      <c r="C86" s="176" t="s">
        <v>142</v>
      </c>
      <c r="D86" s="177">
        <v>4130</v>
      </c>
      <c r="E86" s="181">
        <v>4.8381867202578697</v>
      </c>
      <c r="F86" s="183">
        <v>30021.568879548799</v>
      </c>
      <c r="G86" s="181">
        <v>2.2330092555036298</v>
      </c>
    </row>
    <row r="87" spans="1:7" x14ac:dyDescent="0.25">
      <c r="A87" s="176" t="s">
        <v>139</v>
      </c>
      <c r="B87" s="176" t="s">
        <v>140</v>
      </c>
      <c r="C87" s="176" t="s">
        <v>143</v>
      </c>
      <c r="D87" s="177">
        <v>4135</v>
      </c>
      <c r="E87" s="181">
        <v>4.3956845341284696</v>
      </c>
      <c r="F87" s="183">
        <v>29102.463122505698</v>
      </c>
      <c r="G87" s="181">
        <v>2.4252052602088101</v>
      </c>
    </row>
    <row r="88" spans="1:7" x14ac:dyDescent="0.25">
      <c r="A88" s="176" t="s">
        <v>139</v>
      </c>
      <c r="B88" s="176" t="s">
        <v>140</v>
      </c>
      <c r="C88" s="176" t="s">
        <v>144</v>
      </c>
      <c r="D88" s="177">
        <v>4134</v>
      </c>
      <c r="E88" s="181">
        <v>2.97350444819884</v>
      </c>
      <c r="F88" s="183">
        <v>37664.389677185303</v>
      </c>
      <c r="G88" s="181">
        <v>15.8586903903938</v>
      </c>
    </row>
    <row r="89" spans="1:7" x14ac:dyDescent="0.25">
      <c r="A89" s="176" t="s">
        <v>139</v>
      </c>
      <c r="B89" s="176" t="s">
        <v>140</v>
      </c>
      <c r="C89" s="176" t="s">
        <v>146</v>
      </c>
      <c r="D89" s="177">
        <v>4133</v>
      </c>
      <c r="E89" s="181">
        <v>3.9871747895046599</v>
      </c>
      <c r="F89" s="183">
        <v>92625.137417723599</v>
      </c>
      <c r="G89" s="181">
        <v>2.4536460243105598</v>
      </c>
    </row>
    <row r="90" spans="1:7" x14ac:dyDescent="0.25">
      <c r="A90" s="176" t="s">
        <v>139</v>
      </c>
      <c r="B90" s="176" t="s">
        <v>140</v>
      </c>
      <c r="C90" s="176" t="s">
        <v>147</v>
      </c>
      <c r="D90" s="177">
        <v>4162</v>
      </c>
      <c r="E90" s="181">
        <v>6.5229495324163098</v>
      </c>
      <c r="F90" s="183">
        <v>34897.779998427301</v>
      </c>
      <c r="G90" s="181">
        <v>2.8266114640470699</v>
      </c>
    </row>
    <row r="91" spans="1:7" x14ac:dyDescent="0.25">
      <c r="A91" s="176" t="s">
        <v>139</v>
      </c>
      <c r="B91" s="176" t="s">
        <v>140</v>
      </c>
      <c r="C91" s="176" t="s">
        <v>148</v>
      </c>
      <c r="D91" s="177">
        <v>4147</v>
      </c>
      <c r="E91" s="181">
        <v>5.3765551656966402</v>
      </c>
      <c r="F91" s="183">
        <v>31917.962412230801</v>
      </c>
      <c r="G91" s="181">
        <v>4.9498444382604001</v>
      </c>
    </row>
    <row r="92" spans="1:7" x14ac:dyDescent="0.25">
      <c r="A92" s="176" t="s">
        <v>139</v>
      </c>
      <c r="B92" s="176" t="s">
        <v>140</v>
      </c>
      <c r="C92" s="176" t="s">
        <v>149</v>
      </c>
      <c r="D92" s="177">
        <v>4141</v>
      </c>
      <c r="E92" s="181">
        <v>6.6238684946862003</v>
      </c>
      <c r="F92" s="183">
        <v>53175.800101527297</v>
      </c>
      <c r="G92" s="181">
        <v>5.8536512278622199</v>
      </c>
    </row>
    <row r="93" spans="1:7" x14ac:dyDescent="0.25">
      <c r="A93" s="176" t="s">
        <v>139</v>
      </c>
      <c r="B93" s="176" t="s">
        <v>140</v>
      </c>
      <c r="C93" s="176" t="s">
        <v>150</v>
      </c>
      <c r="D93" s="177">
        <v>4139</v>
      </c>
      <c r="E93" s="181">
        <v>3.68288804061419</v>
      </c>
      <c r="F93" s="183">
        <v>20540.471026516399</v>
      </c>
      <c r="G93" s="181">
        <v>1.67404001846099</v>
      </c>
    </row>
    <row r="94" spans="1:7" x14ac:dyDescent="0.25">
      <c r="A94" s="176" t="s">
        <v>139</v>
      </c>
      <c r="B94" s="176" t="s">
        <v>140</v>
      </c>
      <c r="C94" s="176" t="s">
        <v>151</v>
      </c>
      <c r="D94" s="177">
        <v>4143</v>
      </c>
      <c r="E94" s="181">
        <v>9.4440356632337306</v>
      </c>
      <c r="F94" s="183">
        <v>33063.475351677698</v>
      </c>
      <c r="G94" s="181">
        <v>4.6752651798186804</v>
      </c>
    </row>
    <row r="95" spans="1:7" x14ac:dyDescent="0.25">
      <c r="A95" s="176" t="s">
        <v>139</v>
      </c>
      <c r="B95" s="176" t="s">
        <v>140</v>
      </c>
      <c r="C95" s="176" t="s">
        <v>152</v>
      </c>
      <c r="D95" s="177">
        <v>4159</v>
      </c>
      <c r="E95" s="181">
        <v>4.84477026738542</v>
      </c>
      <c r="F95" s="183">
        <v>49524.318288828697</v>
      </c>
      <c r="G95" s="181">
        <v>4.3064624598981496</v>
      </c>
    </row>
    <row r="96" spans="1:7" x14ac:dyDescent="0.25">
      <c r="A96" s="176" t="s">
        <v>139</v>
      </c>
      <c r="B96" s="176" t="s">
        <v>140</v>
      </c>
      <c r="C96" s="176" t="s">
        <v>153</v>
      </c>
      <c r="D96" s="177">
        <v>4157</v>
      </c>
      <c r="E96" s="181">
        <v>3.62810944684185</v>
      </c>
      <c r="F96" s="183">
        <v>44141.9982699092</v>
      </c>
      <c r="G96" s="181">
        <v>3.62810944684185</v>
      </c>
    </row>
    <row r="97" spans="1:7" x14ac:dyDescent="0.25">
      <c r="A97" s="176" t="s">
        <v>139</v>
      </c>
      <c r="B97" s="176" t="s">
        <v>140</v>
      </c>
      <c r="C97" s="176" t="s">
        <v>154</v>
      </c>
      <c r="D97" s="177">
        <v>4148</v>
      </c>
      <c r="E97" s="181">
        <v>4.41929004017046</v>
      </c>
      <c r="F97" s="183">
        <v>31753.417325669299</v>
      </c>
      <c r="G97" s="181">
        <v>2.2914837245328301</v>
      </c>
    </row>
    <row r="98" spans="1:7" x14ac:dyDescent="0.25">
      <c r="A98" s="176" t="s">
        <v>139</v>
      </c>
      <c r="B98" s="176" t="s">
        <v>140</v>
      </c>
      <c r="C98" s="176" t="s">
        <v>155</v>
      </c>
      <c r="D98" s="177">
        <v>4144</v>
      </c>
      <c r="E98" s="181">
        <v>6.1926477019679602</v>
      </c>
      <c r="F98" s="183">
        <v>23313.497230938199</v>
      </c>
      <c r="G98" s="181">
        <v>3.6427339423340999</v>
      </c>
    </row>
    <row r="99" spans="1:7" x14ac:dyDescent="0.25">
      <c r="A99" s="176" t="s">
        <v>139</v>
      </c>
      <c r="B99" s="176" t="s">
        <v>140</v>
      </c>
      <c r="C99" s="176" t="s">
        <v>156</v>
      </c>
      <c r="D99" s="177">
        <v>4153</v>
      </c>
      <c r="E99" s="181">
        <v>5.5903047687268002</v>
      </c>
      <c r="F99" s="183">
        <v>26021.537673478299</v>
      </c>
      <c r="G99" s="181">
        <v>2.3958449008829099</v>
      </c>
    </row>
    <row r="100" spans="1:7" x14ac:dyDescent="0.25">
      <c r="A100" s="176" t="s">
        <v>139</v>
      </c>
      <c r="B100" s="176" t="s">
        <v>140</v>
      </c>
      <c r="C100" s="176" t="s">
        <v>157</v>
      </c>
      <c r="D100" s="177">
        <v>4164</v>
      </c>
      <c r="E100" s="181">
        <v>4.0423535378988902</v>
      </c>
      <c r="F100" s="183">
        <v>28577.6819679287</v>
      </c>
      <c r="G100" s="181">
        <v>1.7575450164777799</v>
      </c>
    </row>
    <row r="101" spans="1:7" x14ac:dyDescent="0.25">
      <c r="A101" s="176" t="s">
        <v>139</v>
      </c>
      <c r="B101" s="176" t="s">
        <v>140</v>
      </c>
      <c r="C101" s="176" t="s">
        <v>158</v>
      </c>
      <c r="D101" s="177">
        <v>4140</v>
      </c>
      <c r="E101" s="181">
        <v>5.08820819743491</v>
      </c>
      <c r="F101" s="183">
        <v>32564.5324635834</v>
      </c>
      <c r="G101" s="181">
        <v>2.8493965905635501</v>
      </c>
    </row>
    <row r="102" spans="1:7" x14ac:dyDescent="0.25">
      <c r="A102" s="176" t="s">
        <v>139</v>
      </c>
      <c r="B102" s="176" t="s">
        <v>159</v>
      </c>
      <c r="C102" s="176" t="s">
        <v>160</v>
      </c>
      <c r="D102" s="177">
        <v>4189</v>
      </c>
      <c r="E102" s="181">
        <v>3.5027355801524398</v>
      </c>
      <c r="F102" s="183">
        <v>34026.574207195103</v>
      </c>
      <c r="G102" s="181">
        <v>2.0015631886585399</v>
      </c>
    </row>
    <row r="103" spans="1:7" x14ac:dyDescent="0.25">
      <c r="A103" s="176" t="s">
        <v>139</v>
      </c>
      <c r="B103" s="176" t="s">
        <v>159</v>
      </c>
      <c r="C103" s="176" t="s">
        <v>161</v>
      </c>
      <c r="D103" s="177">
        <v>4195</v>
      </c>
      <c r="E103" s="181">
        <v>3.20819674157068</v>
      </c>
      <c r="F103" s="183">
        <v>34648.524808963397</v>
      </c>
      <c r="G103" s="181">
        <v>2.56655739325655</v>
      </c>
    </row>
    <row r="104" spans="1:7" x14ac:dyDescent="0.25">
      <c r="A104" s="176" t="s">
        <v>139</v>
      </c>
      <c r="B104" s="176" t="s">
        <v>159</v>
      </c>
      <c r="C104" s="176" t="s">
        <v>162</v>
      </c>
      <c r="D104" s="177">
        <v>4193</v>
      </c>
      <c r="E104" s="181">
        <v>4.9731346251786297</v>
      </c>
      <c r="F104" s="183">
        <v>42967.883161543403</v>
      </c>
      <c r="G104" s="181">
        <v>1.9892538500714501</v>
      </c>
    </row>
    <row r="105" spans="1:7" x14ac:dyDescent="0.25">
      <c r="A105" s="176" t="s">
        <v>139</v>
      </c>
      <c r="B105" s="176" t="s">
        <v>159</v>
      </c>
      <c r="C105" s="176" t="s">
        <v>163</v>
      </c>
      <c r="D105" s="177">
        <v>4184</v>
      </c>
      <c r="E105" s="181">
        <v>4.5776028163758502</v>
      </c>
      <c r="F105" s="183">
        <v>47454.482529763001</v>
      </c>
      <c r="G105" s="181">
        <v>3.0517352109172302</v>
      </c>
    </row>
    <row r="106" spans="1:7" x14ac:dyDescent="0.25">
      <c r="A106" s="176" t="s">
        <v>139</v>
      </c>
      <c r="B106" s="176" t="s">
        <v>159</v>
      </c>
      <c r="C106" s="176" t="s">
        <v>164</v>
      </c>
      <c r="D106" s="177">
        <v>4196</v>
      </c>
      <c r="E106" s="181">
        <v>4.1625589932528699</v>
      </c>
      <c r="F106" s="183">
        <v>26957.524908685202</v>
      </c>
      <c r="G106" s="181">
        <v>1.58573675933443</v>
      </c>
    </row>
    <row r="107" spans="1:7" x14ac:dyDescent="0.25">
      <c r="A107" s="176" t="s">
        <v>139</v>
      </c>
      <c r="B107" s="176" t="s">
        <v>159</v>
      </c>
      <c r="C107" s="176" t="s">
        <v>165</v>
      </c>
      <c r="D107" s="177">
        <v>4174</v>
      </c>
      <c r="E107" s="181">
        <v>2.5277426199791</v>
      </c>
      <c r="F107" s="183">
        <v>17910.8619929948</v>
      </c>
      <c r="G107" s="181">
        <v>3.79161392996865</v>
      </c>
    </row>
    <row r="108" spans="1:7" x14ac:dyDescent="0.25">
      <c r="A108" s="176" t="s">
        <v>139</v>
      </c>
      <c r="B108" s="176" t="s">
        <v>159</v>
      </c>
      <c r="C108" s="176" t="s">
        <v>166</v>
      </c>
      <c r="D108" s="177">
        <v>4170</v>
      </c>
      <c r="E108" s="181">
        <v>4.3185030179352797</v>
      </c>
      <c r="F108" s="183">
        <v>33600.060066374499</v>
      </c>
      <c r="G108" s="181">
        <v>2.1065868380172099</v>
      </c>
    </row>
    <row r="109" spans="1:7" x14ac:dyDescent="0.25">
      <c r="A109" s="176" t="s">
        <v>139</v>
      </c>
      <c r="B109" s="176" t="s">
        <v>159</v>
      </c>
      <c r="C109" s="176" t="s">
        <v>167</v>
      </c>
      <c r="D109" s="177">
        <v>4169</v>
      </c>
      <c r="E109" s="181">
        <v>4.8923070374419098</v>
      </c>
      <c r="F109" s="183">
        <v>38966.796403484703</v>
      </c>
      <c r="G109" s="181">
        <v>2.2315786486577198</v>
      </c>
    </row>
    <row r="110" spans="1:7" x14ac:dyDescent="0.25">
      <c r="A110" s="176" t="s">
        <v>139</v>
      </c>
      <c r="B110" s="176" t="s">
        <v>159</v>
      </c>
      <c r="C110" s="176" t="s">
        <v>168</v>
      </c>
      <c r="D110" s="177">
        <v>4188</v>
      </c>
      <c r="E110" s="181">
        <v>4.00281557484176</v>
      </c>
      <c r="F110" s="183">
        <v>48177.221122866198</v>
      </c>
      <c r="G110" s="181">
        <v>2.00140778742088</v>
      </c>
    </row>
    <row r="111" spans="1:7" x14ac:dyDescent="0.25">
      <c r="A111" s="176" t="s">
        <v>139</v>
      </c>
      <c r="B111" s="176" t="s">
        <v>159</v>
      </c>
      <c r="C111" s="176" t="s">
        <v>169</v>
      </c>
      <c r="D111" s="177">
        <v>4180</v>
      </c>
      <c r="E111" s="181">
        <v>4.1215852393533101</v>
      </c>
      <c r="F111" s="183">
        <v>40960.029861435301</v>
      </c>
      <c r="G111" s="181">
        <v>2.8424725788643501</v>
      </c>
    </row>
    <row r="112" spans="1:7" x14ac:dyDescent="0.25">
      <c r="A112" s="176" t="s">
        <v>139</v>
      </c>
      <c r="B112" s="176" t="s">
        <v>159</v>
      </c>
      <c r="C112" s="176" t="s">
        <v>170</v>
      </c>
      <c r="D112" s="177">
        <v>4185</v>
      </c>
      <c r="E112" s="181">
        <v>2.10173827346456</v>
      </c>
      <c r="F112" s="183">
        <v>39032.282221484798</v>
      </c>
      <c r="G112" s="181">
        <v>2.7022349230258702</v>
      </c>
    </row>
    <row r="113" spans="1:7" x14ac:dyDescent="0.25">
      <c r="A113" s="176" t="s">
        <v>139</v>
      </c>
      <c r="B113" s="176" t="s">
        <v>159</v>
      </c>
      <c r="C113" s="176" t="s">
        <v>171</v>
      </c>
      <c r="D113" s="177">
        <v>4178</v>
      </c>
      <c r="E113" s="181">
        <v>3.5973938356722801</v>
      </c>
      <c r="F113" s="183">
        <v>28465.196314264998</v>
      </c>
      <c r="G113" s="181">
        <v>1.56977185556609</v>
      </c>
    </row>
    <row r="114" spans="1:7" x14ac:dyDescent="0.25">
      <c r="A114" s="176" t="s">
        <v>139</v>
      </c>
      <c r="B114" s="176" t="s">
        <v>159</v>
      </c>
      <c r="C114" s="176" t="s">
        <v>172</v>
      </c>
      <c r="D114" s="177">
        <v>4194</v>
      </c>
      <c r="E114" s="181">
        <v>2.4814751955576102</v>
      </c>
      <c r="F114" s="183">
        <v>88257.801121998898</v>
      </c>
      <c r="G114" s="181">
        <v>2.8123385549652902</v>
      </c>
    </row>
    <row r="115" spans="1:7" x14ac:dyDescent="0.25">
      <c r="A115" s="176" t="s">
        <v>139</v>
      </c>
      <c r="B115" s="176" t="s">
        <v>159</v>
      </c>
      <c r="C115" s="176" t="s">
        <v>173</v>
      </c>
      <c r="D115" s="177">
        <v>4181</v>
      </c>
      <c r="E115" s="181">
        <v>3.8650048858635002</v>
      </c>
      <c r="F115" s="183">
        <v>45656.928683974598</v>
      </c>
      <c r="G115" s="181">
        <v>1.9948412314134201</v>
      </c>
    </row>
    <row r="116" spans="1:7" x14ac:dyDescent="0.25">
      <c r="A116" s="176" t="s">
        <v>139</v>
      </c>
      <c r="B116" s="176" t="s">
        <v>159</v>
      </c>
      <c r="C116" s="176" t="s">
        <v>174</v>
      </c>
      <c r="D116" s="177">
        <v>4183</v>
      </c>
      <c r="E116" s="181">
        <v>4.66862783681119</v>
      </c>
      <c r="F116" s="183">
        <v>32043.763789022199</v>
      </c>
      <c r="G116" s="181">
        <v>2.54652427462428</v>
      </c>
    </row>
    <row r="117" spans="1:7" x14ac:dyDescent="0.25">
      <c r="A117" s="176" t="s">
        <v>175</v>
      </c>
      <c r="B117" s="176" t="s">
        <v>176</v>
      </c>
      <c r="C117" s="176" t="s">
        <v>177</v>
      </c>
      <c r="D117" s="177">
        <v>551110</v>
      </c>
      <c r="E117" s="181">
        <v>4.3833883868203296</v>
      </c>
      <c r="F117" s="183">
        <v>29807.041030378299</v>
      </c>
      <c r="G117" s="181">
        <v>3.7305433079322001</v>
      </c>
    </row>
    <row r="118" spans="1:7" x14ac:dyDescent="0.25">
      <c r="A118" s="176" t="s">
        <v>175</v>
      </c>
      <c r="B118" s="176" t="s">
        <v>176</v>
      </c>
      <c r="C118" s="176" t="s">
        <v>178</v>
      </c>
      <c r="D118" s="177">
        <v>451101</v>
      </c>
      <c r="E118" s="181">
        <v>8.02918427862949</v>
      </c>
      <c r="F118" s="183">
        <v>99510.4159250144</v>
      </c>
      <c r="G118" s="181">
        <v>3.6028390993850299</v>
      </c>
    </row>
    <row r="119" spans="1:7" x14ac:dyDescent="0.25">
      <c r="A119" s="176" t="s">
        <v>175</v>
      </c>
      <c r="B119" s="176" t="s">
        <v>176</v>
      </c>
      <c r="C119" s="176" t="s">
        <v>179</v>
      </c>
      <c r="D119" s="177">
        <v>551103</v>
      </c>
      <c r="E119" s="181">
        <v>6.2261957190900699</v>
      </c>
      <c r="F119" s="183">
        <v>35965.4364479203</v>
      </c>
      <c r="G119" s="181">
        <v>3.6624680700529799</v>
      </c>
    </row>
    <row r="120" spans="1:7" x14ac:dyDescent="0.25">
      <c r="A120" s="176" t="s">
        <v>175</v>
      </c>
      <c r="B120" s="176" t="s">
        <v>176</v>
      </c>
      <c r="C120" s="176" t="s">
        <v>180</v>
      </c>
      <c r="D120" s="177">
        <v>551330</v>
      </c>
      <c r="E120" s="181">
        <v>6.3734326077967296</v>
      </c>
      <c r="F120" s="183">
        <v>38686.735929326198</v>
      </c>
      <c r="G120" s="181">
        <v>2.2307014127288598</v>
      </c>
    </row>
    <row r="121" spans="1:7" x14ac:dyDescent="0.25">
      <c r="A121" s="176" t="s">
        <v>175</v>
      </c>
      <c r="B121" s="176" t="s">
        <v>176</v>
      </c>
      <c r="C121" s="176" t="s">
        <v>181</v>
      </c>
      <c r="D121" s="177">
        <v>451115</v>
      </c>
      <c r="E121" s="181">
        <v>9.7821980651561393</v>
      </c>
      <c r="F121" s="183">
        <v>50665.0396340156</v>
      </c>
      <c r="G121" s="181">
        <v>6.0717091438900201</v>
      </c>
    </row>
    <row r="122" spans="1:7" x14ac:dyDescent="0.25">
      <c r="A122" s="176" t="s">
        <v>175</v>
      </c>
      <c r="B122" s="176" t="s">
        <v>176</v>
      </c>
      <c r="C122" s="176" t="s">
        <v>182</v>
      </c>
      <c r="D122" s="177">
        <v>551128</v>
      </c>
      <c r="E122" s="181">
        <v>3.6816621911299299</v>
      </c>
      <c r="F122" s="183">
        <v>32214.544172386901</v>
      </c>
      <c r="G122" s="181">
        <v>3.0680518259416099</v>
      </c>
    </row>
    <row r="123" spans="1:7" x14ac:dyDescent="0.25">
      <c r="A123" s="176" t="s">
        <v>175</v>
      </c>
      <c r="B123" s="176" t="s">
        <v>176</v>
      </c>
      <c r="C123" s="176" t="s">
        <v>183</v>
      </c>
      <c r="D123" s="177">
        <v>451120</v>
      </c>
      <c r="E123" s="181">
        <v>3.8363966658584601</v>
      </c>
      <c r="F123" s="183">
        <v>41554.233359666898</v>
      </c>
      <c r="G123" s="181">
        <v>3.2306498238808099</v>
      </c>
    </row>
    <row r="124" spans="1:7" x14ac:dyDescent="0.25">
      <c r="A124" s="176" t="s">
        <v>175</v>
      </c>
      <c r="B124" s="176" t="s">
        <v>176</v>
      </c>
      <c r="C124" s="176" t="s">
        <v>184</v>
      </c>
      <c r="D124" s="177">
        <v>451381</v>
      </c>
      <c r="E124" s="181">
        <v>4.6981770583290796</v>
      </c>
      <c r="F124" s="183">
        <v>46288.5969189471</v>
      </c>
      <c r="G124" s="181">
        <v>2.4646174732218098</v>
      </c>
    </row>
    <row r="125" spans="1:7" x14ac:dyDescent="0.25">
      <c r="A125" s="176" t="s">
        <v>175</v>
      </c>
      <c r="B125" s="176" t="s">
        <v>176</v>
      </c>
      <c r="C125" s="176" t="s">
        <v>185</v>
      </c>
      <c r="D125" s="177">
        <v>551354</v>
      </c>
      <c r="E125" s="181">
        <v>4.3129585005770901</v>
      </c>
      <c r="F125" s="183">
        <v>42770.171797389499</v>
      </c>
      <c r="G125" s="181">
        <v>2.1564792502885402</v>
      </c>
    </row>
    <row r="126" spans="1:7" x14ac:dyDescent="0.25">
      <c r="A126" s="176" t="s">
        <v>175</v>
      </c>
      <c r="B126" s="176" t="s">
        <v>176</v>
      </c>
      <c r="C126" s="176" t="s">
        <v>186</v>
      </c>
      <c r="D126" s="177">
        <v>451166</v>
      </c>
      <c r="E126" s="181">
        <v>3.9498274129258002</v>
      </c>
      <c r="F126" s="183">
        <v>28053.254217564201</v>
      </c>
      <c r="G126" s="181">
        <v>3.1598619303406399</v>
      </c>
    </row>
    <row r="127" spans="1:7" x14ac:dyDescent="0.25">
      <c r="A127" s="176" t="s">
        <v>175</v>
      </c>
      <c r="B127" s="176" t="s">
        <v>187</v>
      </c>
      <c r="C127" s="176" t="s">
        <v>188</v>
      </c>
      <c r="D127" s="177">
        <v>508815</v>
      </c>
      <c r="E127" s="181">
        <v>4.4499876513070902</v>
      </c>
      <c r="F127" s="183">
        <v>44499.8765130709</v>
      </c>
      <c r="G127" s="181">
        <v>4.4499876513070902</v>
      </c>
    </row>
    <row r="128" spans="1:7" x14ac:dyDescent="0.25">
      <c r="A128" s="176" t="s">
        <v>175</v>
      </c>
      <c r="B128" s="176" t="s">
        <v>187</v>
      </c>
      <c r="C128" s="176" t="s">
        <v>189</v>
      </c>
      <c r="D128" s="177">
        <v>408801</v>
      </c>
      <c r="E128" s="181">
        <v>4.3971907382905</v>
      </c>
      <c r="F128" s="183">
        <v>44710.635426937799</v>
      </c>
      <c r="G128" s="181">
        <v>2.4624268134426801</v>
      </c>
    </row>
    <row r="129" spans="1:7" x14ac:dyDescent="0.25">
      <c r="A129" s="176" t="s">
        <v>175</v>
      </c>
      <c r="B129" s="176" t="s">
        <v>187</v>
      </c>
      <c r="C129" s="176" t="s">
        <v>187</v>
      </c>
      <c r="D129" s="177">
        <v>408822</v>
      </c>
      <c r="E129" s="181">
        <v>7.5827367317516998</v>
      </c>
      <c r="F129" s="183">
        <v>71253.653098365205</v>
      </c>
      <c r="G129" s="181">
        <v>3.1293834131038798</v>
      </c>
    </row>
    <row r="130" spans="1:7" x14ac:dyDescent="0.25">
      <c r="A130" s="176" t="s">
        <v>175</v>
      </c>
      <c r="B130" s="176" t="s">
        <v>187</v>
      </c>
      <c r="C130" s="176" t="s">
        <v>190</v>
      </c>
      <c r="D130" s="177">
        <v>508817</v>
      </c>
      <c r="E130" s="181">
        <v>3.1275205291729802</v>
      </c>
      <c r="F130" s="183">
        <v>50032.8224174977</v>
      </c>
      <c r="G130" s="181">
        <v>3.1275205291729802</v>
      </c>
    </row>
    <row r="131" spans="1:7" x14ac:dyDescent="0.25">
      <c r="A131" s="176" t="s">
        <v>175</v>
      </c>
      <c r="B131" s="176" t="s">
        <v>187</v>
      </c>
      <c r="C131" s="176" t="s">
        <v>191</v>
      </c>
      <c r="D131" s="177">
        <v>508802</v>
      </c>
      <c r="E131" s="181">
        <v>6.2762240180665101</v>
      </c>
      <c r="F131" s="183">
        <v>34328.216585772498</v>
      </c>
      <c r="G131" s="181">
        <v>2.7287930513332701</v>
      </c>
    </row>
    <row r="132" spans="1:7" x14ac:dyDescent="0.25">
      <c r="A132" s="176" t="s">
        <v>175</v>
      </c>
      <c r="B132" s="176" t="s">
        <v>187</v>
      </c>
      <c r="C132" s="176" t="s">
        <v>192</v>
      </c>
      <c r="D132" s="177">
        <v>508839</v>
      </c>
      <c r="E132" s="181">
        <v>8.6861210849868407</v>
      </c>
      <c r="F132" s="183">
        <v>39973.529233109402</v>
      </c>
      <c r="G132" s="181">
        <v>2.4817488814248101</v>
      </c>
    </row>
    <row r="133" spans="1:7" x14ac:dyDescent="0.25">
      <c r="A133" s="176" t="s">
        <v>175</v>
      </c>
      <c r="B133" s="176" t="s">
        <v>187</v>
      </c>
      <c r="C133" s="176" t="s">
        <v>193</v>
      </c>
      <c r="D133" s="177">
        <v>508819</v>
      </c>
      <c r="E133" s="181">
        <v>4.0930670505103004</v>
      </c>
      <c r="F133" s="183">
        <v>61779.730793639901</v>
      </c>
      <c r="G133" s="181">
        <v>3.5814336691965201</v>
      </c>
    </row>
    <row r="134" spans="1:7" x14ac:dyDescent="0.25">
      <c r="A134" s="176" t="s">
        <v>175</v>
      </c>
      <c r="B134" s="176" t="s">
        <v>187</v>
      </c>
      <c r="C134" s="176" t="s">
        <v>194</v>
      </c>
      <c r="D134" s="177">
        <v>408840</v>
      </c>
      <c r="E134" s="181">
        <v>5.1749146803762098</v>
      </c>
      <c r="F134" s="183">
        <v>34504.995626895601</v>
      </c>
      <c r="G134" s="181">
        <v>1.8362600478754301</v>
      </c>
    </row>
    <row r="135" spans="1:7" x14ac:dyDescent="0.25">
      <c r="A135" s="176" t="s">
        <v>175</v>
      </c>
      <c r="B135" s="176" t="s">
        <v>187</v>
      </c>
      <c r="C135" s="176" t="s">
        <v>195</v>
      </c>
      <c r="D135" s="177">
        <v>408862</v>
      </c>
      <c r="E135" s="181">
        <v>5.1637322223059403</v>
      </c>
      <c r="F135" s="183">
        <v>48487.4455674528</v>
      </c>
      <c r="G135" s="181">
        <v>3.0982393333835598</v>
      </c>
    </row>
    <row r="136" spans="1:7" x14ac:dyDescent="0.25">
      <c r="A136" s="176" t="s">
        <v>175</v>
      </c>
      <c r="B136" s="176" t="s">
        <v>187</v>
      </c>
      <c r="C136" s="176" t="s">
        <v>196</v>
      </c>
      <c r="D136" s="177">
        <v>508860</v>
      </c>
      <c r="E136" s="181">
        <v>3.7761049361279801</v>
      </c>
      <c r="F136" s="183">
        <v>45313.259233535799</v>
      </c>
      <c r="G136" s="181">
        <v>3.59629041535998</v>
      </c>
    </row>
    <row r="137" spans="1:7" x14ac:dyDescent="0.25">
      <c r="A137" s="176" t="s">
        <v>175</v>
      </c>
      <c r="B137" s="176" t="s">
        <v>187</v>
      </c>
      <c r="C137" s="176" t="s">
        <v>197</v>
      </c>
      <c r="D137" s="177">
        <v>408806</v>
      </c>
      <c r="E137" s="181">
        <v>4.4831826295103001</v>
      </c>
      <c r="F137" s="183">
        <v>70883.025788183601</v>
      </c>
      <c r="G137" s="181">
        <v>2.06916121362014</v>
      </c>
    </row>
    <row r="138" spans="1:7" x14ac:dyDescent="0.25">
      <c r="A138" s="176" t="s">
        <v>175</v>
      </c>
      <c r="B138" s="176" t="s">
        <v>187</v>
      </c>
      <c r="C138" s="176" t="s">
        <v>198</v>
      </c>
      <c r="D138" s="177">
        <v>508833</v>
      </c>
      <c r="E138" s="181">
        <v>6.8350633945877703</v>
      </c>
      <c r="F138" s="183">
        <v>47503.690592384999</v>
      </c>
      <c r="G138" s="181">
        <v>3.0757785275645002</v>
      </c>
    </row>
    <row r="139" spans="1:7" x14ac:dyDescent="0.25">
      <c r="A139" s="176" t="s">
        <v>175</v>
      </c>
      <c r="B139" s="176" t="s">
        <v>187</v>
      </c>
      <c r="C139" s="176" t="s">
        <v>199</v>
      </c>
      <c r="D139" s="177">
        <v>508820</v>
      </c>
      <c r="E139" s="181">
        <v>16.513897861146202</v>
      </c>
      <c r="F139" s="183">
        <v>52703.929344083597</v>
      </c>
      <c r="G139" s="181">
        <v>5.2703929344083598</v>
      </c>
    </row>
    <row r="140" spans="1:7" x14ac:dyDescent="0.25">
      <c r="A140" s="176" t="s">
        <v>175</v>
      </c>
      <c r="B140" s="176" t="s">
        <v>187</v>
      </c>
      <c r="C140" s="176" t="s">
        <v>200</v>
      </c>
      <c r="D140" s="177">
        <v>408814</v>
      </c>
      <c r="E140" s="181">
        <v>14.4098610124466</v>
      </c>
      <c r="F140" s="183">
        <v>119809.988840153</v>
      </c>
      <c r="G140" s="181">
        <v>6.4043826721984898</v>
      </c>
    </row>
    <row r="141" spans="1:7" x14ac:dyDescent="0.25">
      <c r="A141" s="176" t="s">
        <v>175</v>
      </c>
      <c r="B141" s="176" t="s">
        <v>201</v>
      </c>
      <c r="C141" s="176" t="s">
        <v>202</v>
      </c>
      <c r="D141" s="177">
        <v>551367</v>
      </c>
      <c r="E141" s="181">
        <v>9.79061008660406</v>
      </c>
      <c r="F141" s="183">
        <v>60960.402426025299</v>
      </c>
      <c r="G141" s="181">
        <v>3.69456984400153</v>
      </c>
    </row>
    <row r="142" spans="1:7" x14ac:dyDescent="0.25">
      <c r="A142" s="176" t="s">
        <v>175</v>
      </c>
      <c r="B142" s="176" t="s">
        <v>201</v>
      </c>
      <c r="C142" s="176" t="s">
        <v>203</v>
      </c>
      <c r="D142" s="177">
        <v>551340</v>
      </c>
      <c r="E142" s="181">
        <v>5.01769911499985</v>
      </c>
      <c r="F142" s="183">
        <v>37699.6460173655</v>
      </c>
      <c r="G142" s="181">
        <v>3.0106194689999102</v>
      </c>
    </row>
    <row r="143" spans="1:7" x14ac:dyDescent="0.25">
      <c r="A143" s="176" t="s">
        <v>175</v>
      </c>
      <c r="B143" s="176" t="s">
        <v>201</v>
      </c>
      <c r="C143" s="176" t="s">
        <v>204</v>
      </c>
      <c r="D143" s="177">
        <v>551369</v>
      </c>
      <c r="E143" s="181">
        <v>3.2481123171874402</v>
      </c>
      <c r="F143" s="183">
        <v>59908.070749040497</v>
      </c>
      <c r="G143" s="181">
        <v>3.7609721567433501</v>
      </c>
    </row>
    <row r="144" spans="1:7" x14ac:dyDescent="0.25">
      <c r="A144" s="176" t="s">
        <v>175</v>
      </c>
      <c r="B144" s="176" t="s">
        <v>201</v>
      </c>
      <c r="C144" s="176" t="s">
        <v>205</v>
      </c>
      <c r="D144" s="177">
        <v>551365</v>
      </c>
      <c r="E144" s="181">
        <v>5.8092616689577303</v>
      </c>
      <c r="F144" s="183">
        <v>32306.990700913298</v>
      </c>
      <c r="G144" s="181">
        <v>2.9983286033330199</v>
      </c>
    </row>
    <row r="145" spans="1:7" x14ac:dyDescent="0.25">
      <c r="A145" s="176" t="s">
        <v>175</v>
      </c>
      <c r="B145" s="176" t="s">
        <v>201</v>
      </c>
      <c r="C145" s="176" t="s">
        <v>206</v>
      </c>
      <c r="D145" s="177">
        <v>451370</v>
      </c>
      <c r="E145" s="181">
        <v>6.1153793366229499</v>
      </c>
      <c r="F145" s="183">
        <v>25468.202868059001</v>
      </c>
      <c r="G145" s="181">
        <v>1.88165518049937</v>
      </c>
    </row>
    <row r="146" spans="1:7" x14ac:dyDescent="0.25">
      <c r="A146" s="176" t="s">
        <v>175</v>
      </c>
      <c r="B146" s="176" t="s">
        <v>201</v>
      </c>
      <c r="C146" s="176" t="s">
        <v>207</v>
      </c>
      <c r="D146" s="177">
        <v>551314</v>
      </c>
      <c r="E146" s="181">
        <v>5.7068980912925102</v>
      </c>
      <c r="F146" s="183">
        <v>34664.121739702699</v>
      </c>
      <c r="G146" s="181">
        <v>5.0727983033711199</v>
      </c>
    </row>
    <row r="147" spans="1:7" x14ac:dyDescent="0.25">
      <c r="A147" s="176" t="s">
        <v>175</v>
      </c>
      <c r="B147" s="176" t="s">
        <v>201</v>
      </c>
      <c r="C147" s="176" t="s">
        <v>208</v>
      </c>
      <c r="D147" s="177">
        <v>451361</v>
      </c>
      <c r="E147" s="181">
        <v>3.96845940310227</v>
      </c>
      <c r="F147" s="183">
        <v>30953.983344197699</v>
      </c>
      <c r="G147" s="181">
        <v>4.2330233633090799</v>
      </c>
    </row>
    <row r="148" spans="1:7" x14ac:dyDescent="0.25">
      <c r="A148" s="176" t="s">
        <v>175</v>
      </c>
      <c r="B148" s="176" t="s">
        <v>201</v>
      </c>
      <c r="C148" s="176" t="s">
        <v>209</v>
      </c>
      <c r="D148" s="177">
        <v>451350</v>
      </c>
      <c r="E148" s="181">
        <v>9.5984374106890797</v>
      </c>
      <c r="F148" s="183">
        <v>34903.4087661421</v>
      </c>
      <c r="G148" s="181">
        <v>2.9917207513836099</v>
      </c>
    </row>
    <row r="149" spans="1:7" x14ac:dyDescent="0.25">
      <c r="A149" s="176" t="s">
        <v>175</v>
      </c>
      <c r="B149" s="176" t="s">
        <v>201</v>
      </c>
      <c r="C149" s="176" t="s">
        <v>210</v>
      </c>
      <c r="D149" s="177">
        <v>551310</v>
      </c>
      <c r="E149" s="181">
        <v>5.5467580720639296</v>
      </c>
      <c r="F149" s="183">
        <v>38731.252889053198</v>
      </c>
      <c r="G149" s="181">
        <v>4.32917703185477</v>
      </c>
    </row>
    <row r="150" spans="1:7" x14ac:dyDescent="0.25">
      <c r="A150" s="176" t="s">
        <v>175</v>
      </c>
      <c r="B150" s="176" t="s">
        <v>201</v>
      </c>
      <c r="C150" s="176" t="s">
        <v>211</v>
      </c>
      <c r="D150" s="177">
        <v>551309</v>
      </c>
      <c r="E150" s="181">
        <v>5.5235015445555797</v>
      </c>
      <c r="F150" s="183">
        <v>45257.077171519901</v>
      </c>
      <c r="G150" s="181">
        <v>3.56354938358424</v>
      </c>
    </row>
    <row r="151" spans="1:7" x14ac:dyDescent="0.25">
      <c r="A151" s="176" t="s">
        <v>175</v>
      </c>
      <c r="B151" s="176" t="s">
        <v>201</v>
      </c>
      <c r="C151" s="176" t="s">
        <v>212</v>
      </c>
      <c r="D151" s="177">
        <v>551305</v>
      </c>
      <c r="E151" s="181">
        <v>5.5033393900257899</v>
      </c>
      <c r="F151" s="183">
        <v>26885.826337126</v>
      </c>
      <c r="G151" s="181">
        <v>3.7583781200176101</v>
      </c>
    </row>
    <row r="152" spans="1:7" x14ac:dyDescent="0.25">
      <c r="A152" s="176" t="s">
        <v>175</v>
      </c>
      <c r="B152" s="176" t="s">
        <v>201</v>
      </c>
      <c r="C152" s="176" t="s">
        <v>213</v>
      </c>
      <c r="D152" s="177">
        <v>451301</v>
      </c>
      <c r="E152" s="181">
        <v>4.4128190590714196</v>
      </c>
      <c r="F152" s="183">
        <v>41588.928423580001</v>
      </c>
      <c r="G152" s="181">
        <v>2.6476914354428498</v>
      </c>
    </row>
    <row r="153" spans="1:7" x14ac:dyDescent="0.25">
      <c r="A153" s="176" t="s">
        <v>175</v>
      </c>
      <c r="B153" s="176" t="s">
        <v>201</v>
      </c>
      <c r="C153" s="176" t="s">
        <v>214</v>
      </c>
      <c r="D153" s="177">
        <v>551341</v>
      </c>
      <c r="E153" s="181">
        <v>4.8216579447175496</v>
      </c>
      <c r="F153" s="183">
        <v>41837.155089549196</v>
      </c>
      <c r="G153" s="181">
        <v>2.9671741198261898</v>
      </c>
    </row>
    <row r="154" spans="1:7" x14ac:dyDescent="0.25">
      <c r="A154" s="176" t="s">
        <v>175</v>
      </c>
      <c r="B154" s="176" t="s">
        <v>201</v>
      </c>
      <c r="C154" s="176" t="s">
        <v>215</v>
      </c>
      <c r="D154" s="177">
        <v>551307</v>
      </c>
      <c r="E154" s="181">
        <v>6.3805168670755501</v>
      </c>
      <c r="F154" s="183">
        <v>30695.459522687801</v>
      </c>
      <c r="G154" s="181">
        <v>3.1040352326313498</v>
      </c>
    </row>
    <row r="155" spans="1:7" x14ac:dyDescent="0.25">
      <c r="A155" s="176" t="s">
        <v>175</v>
      </c>
      <c r="B155" s="176" t="s">
        <v>201</v>
      </c>
      <c r="C155" s="176" t="s">
        <v>216</v>
      </c>
      <c r="D155" s="177">
        <v>551306</v>
      </c>
      <c r="E155" s="181">
        <v>5.1920075062916196</v>
      </c>
      <c r="F155" s="183">
        <v>61489.657525492898</v>
      </c>
      <c r="G155" s="181">
        <v>3.2577302000261099</v>
      </c>
    </row>
    <row r="156" spans="1:7" x14ac:dyDescent="0.25">
      <c r="A156" s="176" t="s">
        <v>175</v>
      </c>
      <c r="B156" s="176" t="s">
        <v>201</v>
      </c>
      <c r="C156" s="176" t="s">
        <v>217</v>
      </c>
      <c r="D156" s="177">
        <v>551349</v>
      </c>
      <c r="E156" s="181">
        <v>4.2737851918469003</v>
      </c>
      <c r="F156" s="183">
        <v>86081.156739116195</v>
      </c>
      <c r="G156" s="181">
        <v>4.9860827238213803</v>
      </c>
    </row>
    <row r="157" spans="1:7" x14ac:dyDescent="0.25">
      <c r="A157" s="176" t="s">
        <v>175</v>
      </c>
      <c r="B157" s="176" t="s">
        <v>201</v>
      </c>
      <c r="C157" s="176" t="s">
        <v>218</v>
      </c>
      <c r="D157" s="177">
        <v>451308</v>
      </c>
      <c r="E157" s="181">
        <v>5.4019706774535603</v>
      </c>
      <c r="F157" s="183">
        <v>30999.945364932399</v>
      </c>
      <c r="G157" s="181">
        <v>1.96435297361948</v>
      </c>
    </row>
    <row r="158" spans="1:7" x14ac:dyDescent="0.25">
      <c r="A158" s="176" t="s">
        <v>175</v>
      </c>
      <c r="B158" s="176" t="s">
        <v>201</v>
      </c>
      <c r="C158" s="176" t="s">
        <v>219</v>
      </c>
      <c r="D158" s="177">
        <v>451336</v>
      </c>
      <c r="E158" s="181">
        <v>6.5114141333394997</v>
      </c>
      <c r="F158" s="183">
        <v>63439.205267095997</v>
      </c>
      <c r="G158" s="181">
        <v>3.2056192656440601</v>
      </c>
    </row>
    <row r="159" spans="1:7" x14ac:dyDescent="0.25">
      <c r="A159" s="176" t="s">
        <v>220</v>
      </c>
      <c r="B159" s="176" t="s">
        <v>221</v>
      </c>
      <c r="C159" s="176" t="s">
        <v>222</v>
      </c>
      <c r="D159" s="177">
        <v>554116</v>
      </c>
      <c r="E159" s="181">
        <v>4.3962783483447101</v>
      </c>
      <c r="F159" s="183">
        <v>42563.967645337398</v>
      </c>
      <c r="G159" s="181">
        <v>1.9983083401566899</v>
      </c>
    </row>
    <row r="160" spans="1:7" x14ac:dyDescent="0.25">
      <c r="A160" s="176" t="s">
        <v>220</v>
      </c>
      <c r="B160" s="176" t="s">
        <v>221</v>
      </c>
      <c r="C160" s="176" t="s">
        <v>223</v>
      </c>
      <c r="D160" s="177">
        <v>454161</v>
      </c>
      <c r="E160" s="181">
        <v>6.1834143206724503</v>
      </c>
      <c r="F160" s="183">
        <v>63143.5721216905</v>
      </c>
      <c r="G160" s="181">
        <v>3.6373025415720299</v>
      </c>
    </row>
    <row r="161" spans="1:7" x14ac:dyDescent="0.25">
      <c r="A161" s="176" t="s">
        <v>220</v>
      </c>
      <c r="B161" s="176" t="s">
        <v>221</v>
      </c>
      <c r="C161" s="176" t="s">
        <v>224</v>
      </c>
      <c r="D161" s="177">
        <v>554166</v>
      </c>
      <c r="E161" s="181">
        <v>2.3814011539159901</v>
      </c>
      <c r="F161" s="183">
        <v>62502.6210550873</v>
      </c>
      <c r="G161" s="181">
        <v>2.5645858580633698</v>
      </c>
    </row>
    <row r="162" spans="1:7" x14ac:dyDescent="0.25">
      <c r="A162" s="176" t="s">
        <v>220</v>
      </c>
      <c r="B162" s="176" t="s">
        <v>221</v>
      </c>
      <c r="C162" s="176" t="s">
        <v>225</v>
      </c>
      <c r="D162" s="177">
        <v>454171</v>
      </c>
      <c r="E162" s="181">
        <v>5.5162162918463498</v>
      </c>
      <c r="F162" s="183">
        <v>35982.703196043898</v>
      </c>
      <c r="G162" s="181">
        <v>4.2432433014202697</v>
      </c>
    </row>
    <row r="163" spans="1:7" x14ac:dyDescent="0.25">
      <c r="A163" s="176" t="s">
        <v>220</v>
      </c>
      <c r="B163" s="176" t="s">
        <v>221</v>
      </c>
      <c r="C163" s="176" t="s">
        <v>226</v>
      </c>
      <c r="D163" s="177">
        <v>554266</v>
      </c>
      <c r="E163" s="181">
        <v>4.4043417154857796</v>
      </c>
      <c r="F163" s="183">
        <v>45050.123832683101</v>
      </c>
      <c r="G163" s="181">
        <v>5.6627250627674304</v>
      </c>
    </row>
    <row r="164" spans="1:7" x14ac:dyDescent="0.25">
      <c r="A164" s="176" t="s">
        <v>220</v>
      </c>
      <c r="B164" s="176" t="s">
        <v>221</v>
      </c>
      <c r="C164" s="176" t="s">
        <v>227</v>
      </c>
      <c r="D164" s="177">
        <v>554296</v>
      </c>
      <c r="E164" s="181">
        <v>2.2926547696355901</v>
      </c>
      <c r="F164" s="183">
        <v>57990.679467253103</v>
      </c>
      <c r="G164" s="181">
        <v>2.42751681490827</v>
      </c>
    </row>
    <row r="165" spans="1:7" x14ac:dyDescent="0.25">
      <c r="A165" s="176" t="s">
        <v>220</v>
      </c>
      <c r="B165" s="176" t="s">
        <v>221</v>
      </c>
      <c r="C165" s="176" t="s">
        <v>228</v>
      </c>
      <c r="D165" s="177">
        <v>554356</v>
      </c>
      <c r="E165" s="181">
        <v>3.3419786514904999</v>
      </c>
      <c r="F165" s="183">
        <v>35424.973705799297</v>
      </c>
      <c r="G165" s="181">
        <v>2.78498220957542</v>
      </c>
    </row>
    <row r="166" spans="1:7" x14ac:dyDescent="0.25">
      <c r="A166" s="176" t="s">
        <v>220</v>
      </c>
      <c r="B166" s="176" t="s">
        <v>221</v>
      </c>
      <c r="C166" s="176" t="s">
        <v>229</v>
      </c>
      <c r="D166" s="177">
        <v>454426</v>
      </c>
      <c r="E166" s="181">
        <v>4.83639116388962</v>
      </c>
      <c r="F166" s="183">
        <v>38050.307481901596</v>
      </c>
      <c r="G166" s="181">
        <v>3.6272933729172201</v>
      </c>
    </row>
    <row r="167" spans="1:7" x14ac:dyDescent="0.25">
      <c r="A167" s="176" t="s">
        <v>220</v>
      </c>
      <c r="B167" s="176" t="s">
        <v>221</v>
      </c>
      <c r="C167" s="176" t="s">
        <v>230</v>
      </c>
      <c r="D167" s="177">
        <v>554431</v>
      </c>
      <c r="E167" s="181">
        <v>9.4571467275169105</v>
      </c>
      <c r="F167" s="183">
        <v>37058.920661012802</v>
      </c>
      <c r="G167" s="181">
        <v>2.9098913007744298</v>
      </c>
    </row>
    <row r="168" spans="1:7" x14ac:dyDescent="0.25">
      <c r="A168" s="176" t="s">
        <v>220</v>
      </c>
      <c r="B168" s="176" t="s">
        <v>221</v>
      </c>
      <c r="C168" s="176" t="s">
        <v>231</v>
      </c>
      <c r="D168" s="177">
        <v>554476</v>
      </c>
      <c r="E168" s="181">
        <v>4.2080315952451404</v>
      </c>
      <c r="F168" s="183">
        <v>72279.130930093001</v>
      </c>
      <c r="G168" s="181">
        <v>2.4753127030853799</v>
      </c>
    </row>
    <row r="169" spans="1:7" x14ac:dyDescent="0.25">
      <c r="A169" s="176" t="s">
        <v>220</v>
      </c>
      <c r="B169" s="176" t="s">
        <v>221</v>
      </c>
      <c r="C169" s="176" t="s">
        <v>232</v>
      </c>
      <c r="D169" s="177">
        <v>554471</v>
      </c>
      <c r="E169" s="181">
        <v>5.9092662046511801</v>
      </c>
      <c r="F169" s="183">
        <v>68493.767372093207</v>
      </c>
      <c r="G169" s="181">
        <v>5.3720601860465296</v>
      </c>
    </row>
    <row r="170" spans="1:7" x14ac:dyDescent="0.25">
      <c r="A170" s="176" t="s">
        <v>220</v>
      </c>
      <c r="B170" s="176" t="s">
        <v>221</v>
      </c>
      <c r="C170" s="176" t="s">
        <v>233</v>
      </c>
      <c r="D170" s="177">
        <v>454481</v>
      </c>
      <c r="E170" s="181">
        <v>3.84643513805131</v>
      </c>
      <c r="F170" s="183">
        <v>30874.854048745601</v>
      </c>
      <c r="G170" s="181">
        <v>3.0771481104410499</v>
      </c>
    </row>
    <row r="171" spans="1:7" x14ac:dyDescent="0.25">
      <c r="A171" s="176" t="s">
        <v>220</v>
      </c>
      <c r="B171" s="176" t="s">
        <v>221</v>
      </c>
      <c r="C171" s="176" t="s">
        <v>234</v>
      </c>
      <c r="D171" s="177">
        <v>554486</v>
      </c>
      <c r="E171" s="181">
        <v>4.1050162593632402</v>
      </c>
      <c r="F171" s="183">
        <v>33682.184692211202</v>
      </c>
      <c r="G171" s="181">
        <v>1.6841092346105599</v>
      </c>
    </row>
    <row r="172" spans="1:7" x14ac:dyDescent="0.25">
      <c r="A172" s="176" t="s">
        <v>220</v>
      </c>
      <c r="B172" s="176" t="s">
        <v>221</v>
      </c>
      <c r="C172" s="176" t="s">
        <v>235</v>
      </c>
      <c r="D172" s="177">
        <v>554491</v>
      </c>
      <c r="E172" s="181">
        <v>3.1806189207796902</v>
      </c>
      <c r="F172" s="183">
        <v>43559.333410296997</v>
      </c>
      <c r="G172" s="181">
        <v>2.42332870154643</v>
      </c>
    </row>
    <row r="173" spans="1:7" x14ac:dyDescent="0.25">
      <c r="A173" s="176" t="s">
        <v>220</v>
      </c>
      <c r="B173" s="176" t="s">
        <v>221</v>
      </c>
      <c r="C173" s="176" t="s">
        <v>236</v>
      </c>
      <c r="D173" s="177">
        <v>554601</v>
      </c>
      <c r="E173" s="181">
        <v>2.76021068422504</v>
      </c>
      <c r="F173" s="183">
        <v>17815.905325452499</v>
      </c>
      <c r="G173" s="181">
        <v>2.0074259521636599</v>
      </c>
    </row>
    <row r="174" spans="1:7" x14ac:dyDescent="0.25">
      <c r="A174" s="176" t="s">
        <v>220</v>
      </c>
      <c r="B174" s="176" t="s">
        <v>221</v>
      </c>
      <c r="C174" s="176" t="s">
        <v>237</v>
      </c>
      <c r="D174" s="177">
        <v>554611</v>
      </c>
      <c r="E174" s="181">
        <v>4.8306524022976696</v>
      </c>
      <c r="F174" s="183">
        <v>37712.403582075603</v>
      </c>
      <c r="G174" s="181">
        <v>2.99833597383993</v>
      </c>
    </row>
    <row r="175" spans="1:7" x14ac:dyDescent="0.25">
      <c r="A175" s="176" t="s">
        <v>220</v>
      </c>
      <c r="B175" s="176" t="s">
        <v>221</v>
      </c>
      <c r="C175" s="176" t="s">
        <v>238</v>
      </c>
      <c r="D175" s="177">
        <v>554636</v>
      </c>
      <c r="E175" s="181">
        <v>3.6946863339462999</v>
      </c>
      <c r="F175" s="183">
        <v>42119.424206987802</v>
      </c>
      <c r="G175" s="181">
        <v>3.6946863339462999</v>
      </c>
    </row>
    <row r="176" spans="1:7" x14ac:dyDescent="0.25">
      <c r="A176" s="176" t="s">
        <v>220</v>
      </c>
      <c r="B176" s="176" t="s">
        <v>221</v>
      </c>
      <c r="C176" s="176" t="s">
        <v>239</v>
      </c>
      <c r="D176" s="177">
        <v>454671</v>
      </c>
      <c r="E176" s="181">
        <v>3.4293546977133098</v>
      </c>
      <c r="F176" s="183">
        <v>35665.288856218503</v>
      </c>
      <c r="G176" s="181">
        <v>2.7434837581706502</v>
      </c>
    </row>
    <row r="177" spans="1:7" x14ac:dyDescent="0.25">
      <c r="A177" s="176" t="s">
        <v>220</v>
      </c>
      <c r="B177" s="176" t="s">
        <v>240</v>
      </c>
      <c r="C177" s="176" t="s">
        <v>241</v>
      </c>
      <c r="D177" s="177">
        <v>554184</v>
      </c>
      <c r="E177" s="181">
        <v>6.2889301167370597</v>
      </c>
      <c r="F177" s="183">
        <v>45531.854045176296</v>
      </c>
      <c r="G177" s="181">
        <v>1.5093432280168899</v>
      </c>
    </row>
    <row r="178" spans="1:7" x14ac:dyDescent="0.25">
      <c r="A178" s="176" t="s">
        <v>220</v>
      </c>
      <c r="B178" s="176" t="s">
        <v>240</v>
      </c>
      <c r="C178" s="176" t="s">
        <v>242</v>
      </c>
      <c r="D178" s="177">
        <v>554506</v>
      </c>
      <c r="E178" s="181">
        <v>5.5326460339765902</v>
      </c>
      <c r="F178" s="183">
        <v>43517.1227706918</v>
      </c>
      <c r="G178" s="181">
        <v>3.05249436357329</v>
      </c>
    </row>
    <row r="179" spans="1:7" x14ac:dyDescent="0.25">
      <c r="A179" s="176" t="s">
        <v>220</v>
      </c>
      <c r="B179" s="176" t="s">
        <v>240</v>
      </c>
      <c r="C179" s="176" t="s">
        <v>243</v>
      </c>
      <c r="D179" s="177">
        <v>554196</v>
      </c>
      <c r="E179" s="181">
        <v>5.2026806086263502</v>
      </c>
      <c r="F179" s="183">
        <v>67477.190924002396</v>
      </c>
      <c r="G179" s="181">
        <v>1.89188385768231</v>
      </c>
    </row>
    <row r="180" spans="1:7" x14ac:dyDescent="0.25">
      <c r="A180" s="176" t="s">
        <v>220</v>
      </c>
      <c r="B180" s="176" t="s">
        <v>240</v>
      </c>
      <c r="C180" s="176" t="s">
        <v>244</v>
      </c>
      <c r="D180" s="177">
        <v>554257</v>
      </c>
      <c r="E180" s="181">
        <v>4.5836242592011898</v>
      </c>
      <c r="F180" s="183">
        <v>47068.091611672302</v>
      </c>
      <c r="G180" s="181">
        <v>2.0053356134005198</v>
      </c>
    </row>
    <row r="181" spans="1:7" x14ac:dyDescent="0.25">
      <c r="A181" s="176" t="s">
        <v>220</v>
      </c>
      <c r="B181" s="176" t="s">
        <v>240</v>
      </c>
      <c r="C181" s="176" t="s">
        <v>245</v>
      </c>
      <c r="D181" s="177">
        <v>554321</v>
      </c>
      <c r="E181" s="181">
        <v>7.4970465312850196</v>
      </c>
      <c r="F181" s="183">
        <v>69012.2862274605</v>
      </c>
      <c r="G181" s="181">
        <v>3.1566511710673799</v>
      </c>
    </row>
    <row r="182" spans="1:7" x14ac:dyDescent="0.25">
      <c r="A182" s="176" t="s">
        <v>220</v>
      </c>
      <c r="B182" s="176" t="s">
        <v>240</v>
      </c>
      <c r="C182" s="176" t="s">
        <v>246</v>
      </c>
      <c r="D182" s="177">
        <v>454355</v>
      </c>
      <c r="E182" s="181">
        <v>7.9108671510364399</v>
      </c>
      <c r="F182" s="183">
        <v>47495.089894150296</v>
      </c>
      <c r="G182" s="181">
        <v>1.8771549171950901</v>
      </c>
    </row>
    <row r="183" spans="1:7" x14ac:dyDescent="0.25">
      <c r="A183" s="176" t="s">
        <v>220</v>
      </c>
      <c r="B183" s="176" t="s">
        <v>240</v>
      </c>
      <c r="C183" s="176" t="s">
        <v>247</v>
      </c>
      <c r="D183" s="177">
        <v>554357</v>
      </c>
      <c r="E183" s="181">
        <v>3.0339077768893898</v>
      </c>
      <c r="F183" s="183">
        <v>28765.940403099401</v>
      </c>
      <c r="G183" s="181">
        <v>2.24733909399214</v>
      </c>
    </row>
    <row r="184" spans="1:7" x14ac:dyDescent="0.25">
      <c r="A184" s="176" t="s">
        <v>220</v>
      </c>
      <c r="B184" s="176" t="s">
        <v>240</v>
      </c>
      <c r="C184" s="176" t="s">
        <v>248</v>
      </c>
      <c r="D184" s="177">
        <v>554381</v>
      </c>
      <c r="E184" s="181">
        <v>4.2035840075540802</v>
      </c>
      <c r="F184" s="183">
        <v>35464.9745479431</v>
      </c>
      <c r="G184" s="181">
        <v>2.4336538991102601</v>
      </c>
    </row>
    <row r="185" spans="1:7" x14ac:dyDescent="0.25">
      <c r="A185" s="176" t="s">
        <v>220</v>
      </c>
      <c r="B185" s="176" t="s">
        <v>240</v>
      </c>
      <c r="C185" s="176" t="s">
        <v>249</v>
      </c>
      <c r="D185" s="177">
        <v>554376</v>
      </c>
      <c r="E185" s="181">
        <v>2.8012591880782298</v>
      </c>
      <c r="F185" s="183">
        <v>39711.968489815001</v>
      </c>
      <c r="G185" s="181">
        <v>2.63647923583834</v>
      </c>
    </row>
    <row r="186" spans="1:7" x14ac:dyDescent="0.25">
      <c r="A186" s="176" t="s">
        <v>220</v>
      </c>
      <c r="B186" s="176" t="s">
        <v>240</v>
      </c>
      <c r="C186" s="176" t="s">
        <v>250</v>
      </c>
      <c r="D186" s="177">
        <v>554416</v>
      </c>
      <c r="E186" s="181">
        <v>3.3126627247935598</v>
      </c>
      <c r="F186" s="183">
        <v>29049.503894343499</v>
      </c>
      <c r="G186" s="181">
        <v>3.5674829343930599</v>
      </c>
    </row>
    <row r="187" spans="1:7" x14ac:dyDescent="0.25">
      <c r="A187" s="176" t="s">
        <v>220</v>
      </c>
      <c r="B187" s="176" t="s">
        <v>240</v>
      </c>
      <c r="C187" s="176" t="s">
        <v>251</v>
      </c>
      <c r="D187" s="177">
        <v>454466</v>
      </c>
      <c r="E187" s="181">
        <v>6.5613859974623301</v>
      </c>
      <c r="F187" s="183">
        <v>41992.870383758898</v>
      </c>
      <c r="G187" s="181">
        <v>3.8274751651863599</v>
      </c>
    </row>
    <row r="188" spans="1:7" x14ac:dyDescent="0.25">
      <c r="A188" s="176" t="s">
        <v>220</v>
      </c>
      <c r="B188" s="176" t="s">
        <v>240</v>
      </c>
      <c r="C188" s="176" t="s">
        <v>252</v>
      </c>
      <c r="D188" s="177">
        <v>554496</v>
      </c>
      <c r="E188" s="181">
        <v>3.31988395777211</v>
      </c>
      <c r="F188" s="183">
        <v>41830.537867928499</v>
      </c>
      <c r="G188" s="181">
        <v>1.99193037466326</v>
      </c>
    </row>
    <row r="189" spans="1:7" x14ac:dyDescent="0.25">
      <c r="A189" s="176" t="s">
        <v>220</v>
      </c>
      <c r="B189" s="176" t="s">
        <v>240</v>
      </c>
      <c r="C189" s="176" t="s">
        <v>253</v>
      </c>
      <c r="D189" s="177">
        <v>554516</v>
      </c>
      <c r="E189" s="181">
        <v>4.8194884971249499</v>
      </c>
      <c r="F189" s="183">
        <v>45562.702792050499</v>
      </c>
      <c r="G189" s="181">
        <v>2.9658390751538102</v>
      </c>
    </row>
    <row r="190" spans="1:7" x14ac:dyDescent="0.25">
      <c r="A190" s="176" t="s">
        <v>220</v>
      </c>
      <c r="B190" s="176" t="s">
        <v>240</v>
      </c>
      <c r="C190" s="176" t="s">
        <v>254</v>
      </c>
      <c r="D190" s="177">
        <v>554531</v>
      </c>
      <c r="E190" s="181">
        <v>4.77853807210208</v>
      </c>
      <c r="F190" s="183">
        <v>60249.400859087102</v>
      </c>
      <c r="G190" s="181">
        <v>4.3803265660935802</v>
      </c>
    </row>
    <row r="191" spans="1:7" x14ac:dyDescent="0.25">
      <c r="A191" s="176" t="s">
        <v>220</v>
      </c>
      <c r="B191" s="176" t="s">
        <v>240</v>
      </c>
      <c r="C191" s="176" t="s">
        <v>255</v>
      </c>
      <c r="D191" s="177">
        <v>554533</v>
      </c>
      <c r="E191" s="181">
        <v>3.27009839197917</v>
      </c>
      <c r="F191" s="183">
        <v>32672.548281600601</v>
      </c>
      <c r="G191" s="181">
        <v>1.99049467337863</v>
      </c>
    </row>
    <row r="192" spans="1:7" x14ac:dyDescent="0.25">
      <c r="A192" s="176" t="s">
        <v>220</v>
      </c>
      <c r="B192" s="176" t="s">
        <v>240</v>
      </c>
      <c r="C192" s="176" t="s">
        <v>256</v>
      </c>
      <c r="D192" s="177">
        <v>454535</v>
      </c>
      <c r="E192" s="181">
        <v>4.0289912018869902</v>
      </c>
      <c r="F192" s="183">
        <v>33279.467327586499</v>
      </c>
      <c r="G192" s="181">
        <v>2.1487953076730602</v>
      </c>
    </row>
    <row r="193" spans="1:7" x14ac:dyDescent="0.25">
      <c r="A193" s="176" t="s">
        <v>220</v>
      </c>
      <c r="B193" s="176" t="s">
        <v>240</v>
      </c>
      <c r="C193" s="176" t="s">
        <v>257</v>
      </c>
      <c r="D193" s="177">
        <v>454651</v>
      </c>
      <c r="E193" s="181">
        <v>5.9656730886818004</v>
      </c>
      <c r="F193" s="183">
        <v>57462.280986042897</v>
      </c>
      <c r="G193" s="181">
        <v>4.3136405410468397</v>
      </c>
    </row>
    <row r="194" spans="1:7" x14ac:dyDescent="0.25">
      <c r="A194" s="176" t="s">
        <v>220</v>
      </c>
      <c r="B194" s="176" t="s">
        <v>240</v>
      </c>
      <c r="C194" s="176" t="s">
        <v>258</v>
      </c>
      <c r="D194" s="177">
        <v>554686</v>
      </c>
      <c r="E194" s="181">
        <v>4.6014663162810399</v>
      </c>
      <c r="F194" s="183">
        <v>56367.962374442803</v>
      </c>
      <c r="G194" s="181">
        <v>2.87591644767565</v>
      </c>
    </row>
    <row r="195" spans="1:7" x14ac:dyDescent="0.25">
      <c r="A195" s="176" t="s">
        <v>220</v>
      </c>
      <c r="B195" s="176" t="s">
        <v>240</v>
      </c>
      <c r="C195" s="176" t="s">
        <v>259</v>
      </c>
      <c r="D195" s="177">
        <v>454696</v>
      </c>
      <c r="E195" s="181">
        <v>4.9580278926120798</v>
      </c>
      <c r="F195" s="183">
        <v>36579.228007715799</v>
      </c>
      <c r="G195" s="181">
        <v>2.4239247474992398</v>
      </c>
    </row>
    <row r="196" spans="1:7" x14ac:dyDescent="0.25">
      <c r="A196" s="176" t="s">
        <v>220</v>
      </c>
      <c r="B196" s="176" t="s">
        <v>260</v>
      </c>
      <c r="C196" s="176" t="s">
        <v>261</v>
      </c>
      <c r="D196" s="177">
        <v>455151</v>
      </c>
      <c r="E196" s="181">
        <v>2.7080883550532202</v>
      </c>
      <c r="F196" s="183">
        <v>29549.410243407699</v>
      </c>
      <c r="G196" s="181">
        <v>1.66651591080198</v>
      </c>
    </row>
    <row r="197" spans="1:7" x14ac:dyDescent="0.25">
      <c r="A197" s="176" t="s">
        <v>220</v>
      </c>
      <c r="B197" s="176" t="s">
        <v>260</v>
      </c>
      <c r="C197" s="176" t="s">
        <v>262</v>
      </c>
      <c r="D197" s="177">
        <v>455231</v>
      </c>
      <c r="E197" s="181">
        <v>3.9188093606727801</v>
      </c>
      <c r="F197" s="183">
        <v>54591.191510483397</v>
      </c>
      <c r="G197" s="181">
        <v>1.95940468033639</v>
      </c>
    </row>
    <row r="198" spans="1:7" x14ac:dyDescent="0.25">
      <c r="A198" s="176" t="s">
        <v>220</v>
      </c>
      <c r="B198" s="176" t="s">
        <v>260</v>
      </c>
      <c r="C198" s="176" t="s">
        <v>263</v>
      </c>
      <c r="D198" s="177">
        <v>455298</v>
      </c>
      <c r="E198" s="181">
        <v>4.6004193983930897</v>
      </c>
      <c r="F198" s="183">
        <v>53415.980792453098</v>
      </c>
      <c r="G198" s="181">
        <v>2.5557885546628301</v>
      </c>
    </row>
    <row r="199" spans="1:7" x14ac:dyDescent="0.25">
      <c r="A199" s="176" t="s">
        <v>220</v>
      </c>
      <c r="B199" s="176" t="s">
        <v>260</v>
      </c>
      <c r="C199" s="176" t="s">
        <v>264</v>
      </c>
      <c r="D199" s="177">
        <v>555406</v>
      </c>
      <c r="E199" s="181">
        <v>2.8403758177610601</v>
      </c>
      <c r="F199" s="183">
        <v>36029.220456359799</v>
      </c>
      <c r="G199" s="181">
        <v>2.65101742991033</v>
      </c>
    </row>
    <row r="200" spans="1:7" x14ac:dyDescent="0.25">
      <c r="A200" s="176" t="s">
        <v>220</v>
      </c>
      <c r="B200" s="176" t="s">
        <v>260</v>
      </c>
      <c r="C200" s="176" t="s">
        <v>265</v>
      </c>
      <c r="D200" s="177">
        <v>554412</v>
      </c>
      <c r="E200" s="181">
        <v>4.8288708925174699</v>
      </c>
      <c r="F200" s="183">
        <v>40116.773568606703</v>
      </c>
      <c r="G200" s="181">
        <v>2.2287096427003701</v>
      </c>
    </row>
    <row r="201" spans="1:7" x14ac:dyDescent="0.25">
      <c r="A201" s="176" t="s">
        <v>220</v>
      </c>
      <c r="B201" s="176" t="s">
        <v>260</v>
      </c>
      <c r="C201" s="176" t="s">
        <v>266</v>
      </c>
      <c r="D201" s="177">
        <v>554413</v>
      </c>
      <c r="E201" s="181">
        <v>3.7423681776064002</v>
      </c>
      <c r="F201" s="183">
        <v>39746.530989750703</v>
      </c>
      <c r="G201" s="181">
        <v>2.8390379278393398</v>
      </c>
    </row>
    <row r="202" spans="1:7" x14ac:dyDescent="0.25">
      <c r="A202" s="176" t="s">
        <v>220</v>
      </c>
      <c r="B202" s="176" t="s">
        <v>260</v>
      </c>
      <c r="C202" s="176" t="s">
        <v>267</v>
      </c>
      <c r="D202" s="177">
        <v>454414</v>
      </c>
      <c r="E202" s="181">
        <v>4.78497603206843</v>
      </c>
      <c r="F202" s="183">
        <v>41181.6646888986</v>
      </c>
      <c r="G202" s="181">
        <v>3.7044975732142702</v>
      </c>
    </row>
    <row r="203" spans="1:7" x14ac:dyDescent="0.25">
      <c r="A203" s="176" t="s">
        <v>220</v>
      </c>
      <c r="B203" s="176" t="s">
        <v>260</v>
      </c>
      <c r="C203" s="176" t="s">
        <v>268</v>
      </c>
      <c r="D203" s="177">
        <v>455456</v>
      </c>
      <c r="E203" s="181">
        <v>8.7375205392062991</v>
      </c>
      <c r="F203" s="183">
        <v>60935.468240424801</v>
      </c>
      <c r="G203" s="181">
        <v>3.1205430497165398</v>
      </c>
    </row>
    <row r="204" spans="1:7" x14ac:dyDescent="0.25">
      <c r="A204" s="176" t="s">
        <v>220</v>
      </c>
      <c r="B204" s="176" t="s">
        <v>260</v>
      </c>
      <c r="C204" s="176" t="s">
        <v>269</v>
      </c>
      <c r="D204" s="177">
        <v>455566</v>
      </c>
      <c r="E204" s="181">
        <v>5.0169345167587798</v>
      </c>
      <c r="F204" s="183">
        <v>43076.437747342599</v>
      </c>
      <c r="G204" s="181">
        <v>1.7299774195719899</v>
      </c>
    </row>
    <row r="205" spans="1:7" x14ac:dyDescent="0.25">
      <c r="A205" s="176" t="s">
        <v>220</v>
      </c>
      <c r="B205" s="176" t="s">
        <v>260</v>
      </c>
      <c r="C205" s="176" t="s">
        <v>270</v>
      </c>
      <c r="D205" s="177">
        <v>555624</v>
      </c>
      <c r="E205" s="181">
        <v>5.6434774864674004</v>
      </c>
      <c r="F205" s="183">
        <v>70919.700413273706</v>
      </c>
      <c r="G205" s="181">
        <v>3.0098546594492799</v>
      </c>
    </row>
    <row r="206" spans="1:7" x14ac:dyDescent="0.25">
      <c r="A206" s="176" t="s">
        <v>220</v>
      </c>
      <c r="B206" s="176" t="s">
        <v>260</v>
      </c>
      <c r="C206" s="176" t="s">
        <v>271</v>
      </c>
      <c r="D206" s="177">
        <v>455676</v>
      </c>
      <c r="E206" s="181">
        <v>2.3049055253531301</v>
      </c>
      <c r="F206" s="183">
        <v>32268.6773549438</v>
      </c>
      <c r="G206" s="181">
        <v>2.048804911425</v>
      </c>
    </row>
    <row r="207" spans="1:7" x14ac:dyDescent="0.25">
      <c r="A207" s="176" t="s">
        <v>220</v>
      </c>
      <c r="B207" s="176" t="s">
        <v>260</v>
      </c>
      <c r="C207" s="176" t="s">
        <v>272</v>
      </c>
      <c r="D207" s="177">
        <v>455678</v>
      </c>
      <c r="E207" s="181">
        <v>3.4757626877001702</v>
      </c>
      <c r="F207" s="183">
        <v>35154.856898453203</v>
      </c>
      <c r="G207" s="181">
        <v>1.9861501072572401</v>
      </c>
    </row>
    <row r="208" spans="1:7" x14ac:dyDescent="0.25">
      <c r="A208" s="176" t="s">
        <v>220</v>
      </c>
      <c r="B208" s="176" t="s">
        <v>260</v>
      </c>
      <c r="C208" s="176" t="s">
        <v>273</v>
      </c>
      <c r="D208" s="177">
        <v>555679</v>
      </c>
      <c r="E208" s="181">
        <v>3.7259326125224899</v>
      </c>
      <c r="F208" s="183">
        <v>65682.869197896507</v>
      </c>
      <c r="G208" s="181">
        <v>2.3952423937644598</v>
      </c>
    </row>
    <row r="209" spans="1:7" x14ac:dyDescent="0.25">
      <c r="A209" s="176" t="s">
        <v>220</v>
      </c>
      <c r="B209" s="176" t="s">
        <v>260</v>
      </c>
      <c r="C209" s="176" t="s">
        <v>274</v>
      </c>
      <c r="D209" s="177">
        <v>554700</v>
      </c>
      <c r="E209" s="181">
        <v>4.7623435016442004</v>
      </c>
      <c r="F209" s="183">
        <v>45242.263265619898</v>
      </c>
      <c r="G209" s="181">
        <v>3.0478998410522902</v>
      </c>
    </row>
    <row r="210" spans="1:7" x14ac:dyDescent="0.25">
      <c r="A210" s="176" t="s">
        <v>275</v>
      </c>
      <c r="B210" s="176" t="s">
        <v>276</v>
      </c>
      <c r="C210" s="176" t="s">
        <v>277</v>
      </c>
      <c r="D210" s="177">
        <v>557105</v>
      </c>
      <c r="E210" s="181">
        <v>4.9375412217107701</v>
      </c>
      <c r="F210" s="183">
        <v>78256.816363615697</v>
      </c>
      <c r="G210" s="181">
        <v>3.3783176780126301</v>
      </c>
    </row>
    <row r="211" spans="1:7" x14ac:dyDescent="0.25">
      <c r="A211" s="176" t="s">
        <v>275</v>
      </c>
      <c r="B211" s="176" t="s">
        <v>276</v>
      </c>
      <c r="C211" s="176" t="s">
        <v>278</v>
      </c>
      <c r="D211" s="177">
        <v>557178</v>
      </c>
      <c r="E211" s="181">
        <v>3.1777176016744599</v>
      </c>
      <c r="F211" s="183">
        <v>41343.778480733003</v>
      </c>
      <c r="G211" s="181">
        <v>3.0104693068494899</v>
      </c>
    </row>
    <row r="212" spans="1:7" x14ac:dyDescent="0.25">
      <c r="A212" s="176" t="s">
        <v>275</v>
      </c>
      <c r="B212" s="176" t="s">
        <v>276</v>
      </c>
      <c r="C212" s="176" t="s">
        <v>279</v>
      </c>
      <c r="D212" s="177">
        <v>557224</v>
      </c>
      <c r="E212" s="181">
        <v>3.1478621822829802</v>
      </c>
      <c r="F212" s="183">
        <v>53363.7588996544</v>
      </c>
      <c r="G212" s="181">
        <v>2.9979639831266498</v>
      </c>
    </row>
    <row r="213" spans="1:7" x14ac:dyDescent="0.25">
      <c r="A213" s="176" t="s">
        <v>275</v>
      </c>
      <c r="B213" s="176" t="s">
        <v>276</v>
      </c>
      <c r="C213" s="176" t="s">
        <v>280</v>
      </c>
      <c r="D213" s="177">
        <v>557432</v>
      </c>
      <c r="E213" s="181">
        <v>3.2012324711816098</v>
      </c>
      <c r="F213" s="183">
        <v>34813.403124099998</v>
      </c>
      <c r="G213" s="181">
        <v>2.66769372598467</v>
      </c>
    </row>
    <row r="214" spans="1:7" x14ac:dyDescent="0.25">
      <c r="A214" s="176" t="s">
        <v>275</v>
      </c>
      <c r="B214" s="176" t="s">
        <v>276</v>
      </c>
      <c r="C214" s="176" t="s">
        <v>281</v>
      </c>
      <c r="D214" s="177">
        <v>557433</v>
      </c>
      <c r="E214" s="181">
        <v>3.3773346987667101</v>
      </c>
      <c r="F214" s="183">
        <v>57903.920933969697</v>
      </c>
      <c r="G214" s="181">
        <v>2.25155646584447</v>
      </c>
    </row>
    <row r="215" spans="1:7" x14ac:dyDescent="0.25">
      <c r="A215" s="176" t="s">
        <v>275</v>
      </c>
      <c r="B215" s="176" t="s">
        <v>276</v>
      </c>
      <c r="C215" s="176" t="s">
        <v>282</v>
      </c>
      <c r="D215" s="177">
        <v>557434</v>
      </c>
      <c r="E215" s="181">
        <v>2.6686330675636301</v>
      </c>
      <c r="F215" s="183">
        <v>49796.693040737402</v>
      </c>
      <c r="G215" s="181">
        <v>2.93549637432</v>
      </c>
    </row>
    <row r="216" spans="1:7" x14ac:dyDescent="0.25">
      <c r="A216" s="176" t="s">
        <v>275</v>
      </c>
      <c r="B216" s="176" t="s">
        <v>276</v>
      </c>
      <c r="C216" s="176" t="s">
        <v>283</v>
      </c>
      <c r="D216" s="177">
        <v>557436</v>
      </c>
      <c r="E216" s="181">
        <v>3.9821567697354099</v>
      </c>
      <c r="F216" s="183">
        <v>33695.172666991901</v>
      </c>
      <c r="G216" s="181">
        <v>2.45055801214487</v>
      </c>
    </row>
    <row r="217" spans="1:7" x14ac:dyDescent="0.25">
      <c r="A217" s="176" t="s">
        <v>275</v>
      </c>
      <c r="B217" s="176" t="s">
        <v>276</v>
      </c>
      <c r="C217" s="176" t="s">
        <v>284</v>
      </c>
      <c r="D217" s="177">
        <v>557440</v>
      </c>
      <c r="E217" s="181">
        <v>4.1738299456292101</v>
      </c>
      <c r="F217" s="183">
        <v>43477.395266970998</v>
      </c>
      <c r="G217" s="181">
        <v>2.4347341349503702</v>
      </c>
    </row>
    <row r="218" spans="1:7" x14ac:dyDescent="0.25">
      <c r="A218" s="176" t="s">
        <v>275</v>
      </c>
      <c r="B218" s="176" t="s">
        <v>276</v>
      </c>
      <c r="C218" s="176" t="s">
        <v>285</v>
      </c>
      <c r="D218" s="177">
        <v>557441</v>
      </c>
      <c r="E218" s="181">
        <v>4.7129417243949296</v>
      </c>
      <c r="F218" s="183">
        <v>48307.652675048099</v>
      </c>
      <c r="G218" s="181">
        <v>2.7492160058970398</v>
      </c>
    </row>
    <row r="219" spans="1:7" x14ac:dyDescent="0.25">
      <c r="A219" s="176" t="s">
        <v>275</v>
      </c>
      <c r="B219" s="176" t="s">
        <v>276</v>
      </c>
      <c r="C219" s="176" t="s">
        <v>286</v>
      </c>
      <c r="D219" s="177">
        <v>557439</v>
      </c>
      <c r="E219" s="181">
        <v>1.71450151759946</v>
      </c>
      <c r="F219" s="183">
        <v>30096.095870476602</v>
      </c>
      <c r="G219" s="181">
        <v>2.9014641067067699</v>
      </c>
    </row>
    <row r="220" spans="1:7" x14ac:dyDescent="0.25">
      <c r="A220" s="176" t="s">
        <v>275</v>
      </c>
      <c r="B220" s="176" t="s">
        <v>276</v>
      </c>
      <c r="C220" s="176" t="s">
        <v>287</v>
      </c>
      <c r="D220" s="177">
        <v>457443</v>
      </c>
      <c r="E220" s="181">
        <v>2.1959934868785198</v>
      </c>
      <c r="F220" s="183">
        <v>38088.2870335263</v>
      </c>
      <c r="G220" s="181">
        <v>3.6599891447975299</v>
      </c>
    </row>
    <row r="221" spans="1:7" x14ac:dyDescent="0.25">
      <c r="A221" s="176" t="s">
        <v>275</v>
      </c>
      <c r="B221" s="176" t="s">
        <v>276</v>
      </c>
      <c r="C221" s="176" t="s">
        <v>288</v>
      </c>
      <c r="D221" s="177">
        <v>557445</v>
      </c>
      <c r="E221" s="181">
        <v>2.9343451843705801</v>
      </c>
      <c r="F221" s="183">
        <v>38798.564104455501</v>
      </c>
      <c r="G221" s="181">
        <v>4.2384985996464</v>
      </c>
    </row>
    <row r="222" spans="1:7" x14ac:dyDescent="0.25">
      <c r="A222" s="176" t="s">
        <v>275</v>
      </c>
      <c r="B222" s="176" t="s">
        <v>276</v>
      </c>
      <c r="C222" s="176" t="s">
        <v>289</v>
      </c>
      <c r="D222" s="177">
        <v>457446</v>
      </c>
      <c r="E222" s="181">
        <v>2.3286885686827299</v>
      </c>
      <c r="F222" s="183">
        <v>39656.196507861801</v>
      </c>
      <c r="G222" s="181">
        <v>2.4656702491934799</v>
      </c>
    </row>
    <row r="223" spans="1:7" x14ac:dyDescent="0.25">
      <c r="A223" s="176" t="s">
        <v>275</v>
      </c>
      <c r="B223" s="176" t="s">
        <v>276</v>
      </c>
      <c r="C223" s="176" t="s">
        <v>290</v>
      </c>
      <c r="D223" s="177">
        <v>557447</v>
      </c>
      <c r="E223" s="181">
        <v>3.0392563576420799</v>
      </c>
      <c r="F223" s="183">
        <v>58590.108672322298</v>
      </c>
      <c r="G223" s="181">
        <v>6.41620786613327</v>
      </c>
    </row>
    <row r="224" spans="1:7" x14ac:dyDescent="0.25">
      <c r="A224" s="176" t="s">
        <v>275</v>
      </c>
      <c r="B224" s="176" t="s">
        <v>276</v>
      </c>
      <c r="C224" s="176" t="s">
        <v>291</v>
      </c>
      <c r="D224" s="177">
        <v>557437</v>
      </c>
      <c r="E224" s="181">
        <v>5.86898936808561</v>
      </c>
      <c r="F224" s="183">
        <v>65701.908383709902</v>
      </c>
      <c r="G224" s="181">
        <v>3.4896693539968502</v>
      </c>
    </row>
    <row r="225" spans="1:7" x14ac:dyDescent="0.25">
      <c r="A225" s="176" t="s">
        <v>275</v>
      </c>
      <c r="B225" s="176" t="s">
        <v>276</v>
      </c>
      <c r="C225" s="176" t="s">
        <v>292</v>
      </c>
      <c r="D225" s="177">
        <v>457453</v>
      </c>
      <c r="E225" s="181">
        <v>2.98332802174022</v>
      </c>
      <c r="F225" s="183">
        <v>34334.2142328103</v>
      </c>
      <c r="G225" s="181">
        <v>2.8536181077515099</v>
      </c>
    </row>
    <row r="226" spans="1:7" x14ac:dyDescent="0.25">
      <c r="A226" s="176" t="s">
        <v>275</v>
      </c>
      <c r="B226" s="176" t="s">
        <v>276</v>
      </c>
      <c r="C226" s="176" t="s">
        <v>293</v>
      </c>
      <c r="D226" s="177">
        <v>557459</v>
      </c>
      <c r="E226" s="181">
        <v>3.5248962371594801</v>
      </c>
      <c r="F226" s="183">
        <v>56468.837719294897</v>
      </c>
      <c r="G226" s="181">
        <v>2.8199169897275902</v>
      </c>
    </row>
    <row r="227" spans="1:7" x14ac:dyDescent="0.25">
      <c r="A227" s="176" t="s">
        <v>275</v>
      </c>
      <c r="B227" s="176" t="s">
        <v>276</v>
      </c>
      <c r="C227" s="176" t="s">
        <v>294</v>
      </c>
      <c r="D227" s="177">
        <v>557559</v>
      </c>
      <c r="E227" s="181">
        <v>4.0298528380329399</v>
      </c>
      <c r="F227" s="183">
        <v>38585.840924165401</v>
      </c>
      <c r="G227" s="181">
        <v>3.02238962852471</v>
      </c>
    </row>
    <row r="228" spans="1:7" x14ac:dyDescent="0.25">
      <c r="A228" s="176" t="s">
        <v>275</v>
      </c>
      <c r="B228" s="176" t="s">
        <v>276</v>
      </c>
      <c r="C228" s="176" t="s">
        <v>295</v>
      </c>
      <c r="D228" s="177">
        <v>457574</v>
      </c>
      <c r="E228" s="181">
        <v>6.3397928869317104</v>
      </c>
      <c r="F228" s="183">
        <v>44982.340007277402</v>
      </c>
      <c r="G228" s="181">
        <v>2.4151591950215998</v>
      </c>
    </row>
    <row r="229" spans="1:7" x14ac:dyDescent="0.25">
      <c r="A229" s="176" t="s">
        <v>275</v>
      </c>
      <c r="B229" s="176" t="s">
        <v>276</v>
      </c>
      <c r="C229" s="176" t="s">
        <v>296</v>
      </c>
      <c r="D229" s="177">
        <v>557612</v>
      </c>
      <c r="E229" s="181">
        <v>2.3515982973046499</v>
      </c>
      <c r="F229" s="183">
        <v>42067.480651783197</v>
      </c>
      <c r="G229" s="181">
        <v>2.0903095976041302</v>
      </c>
    </row>
    <row r="230" spans="1:7" x14ac:dyDescent="0.25">
      <c r="A230" s="176" t="s">
        <v>275</v>
      </c>
      <c r="B230" s="176" t="s">
        <v>276</v>
      </c>
      <c r="C230" s="176" t="s">
        <v>297</v>
      </c>
      <c r="D230" s="177">
        <v>557444</v>
      </c>
      <c r="E230" s="181">
        <v>4.7321839750297796</v>
      </c>
      <c r="F230" s="183">
        <v>40198.657556305603</v>
      </c>
      <c r="G230" s="181">
        <v>2.49062314475252</v>
      </c>
    </row>
    <row r="231" spans="1:7" x14ac:dyDescent="0.25">
      <c r="A231" s="176" t="s">
        <v>275</v>
      </c>
      <c r="B231" s="176" t="s">
        <v>276</v>
      </c>
      <c r="C231" s="176" t="s">
        <v>298</v>
      </c>
      <c r="D231" s="177">
        <v>557712</v>
      </c>
      <c r="E231" s="181">
        <v>4.0317806806670102</v>
      </c>
      <c r="F231" s="183">
        <v>44525.057594352198</v>
      </c>
      <c r="G231" s="181">
        <v>2.4541273708407898</v>
      </c>
    </row>
    <row r="232" spans="1:7" x14ac:dyDescent="0.25">
      <c r="A232" s="176" t="s">
        <v>275</v>
      </c>
      <c r="B232" s="176" t="s">
        <v>299</v>
      </c>
      <c r="C232" s="176" t="s">
        <v>300</v>
      </c>
      <c r="D232" s="177">
        <v>457163</v>
      </c>
      <c r="E232" s="181">
        <v>8.9565946661432996</v>
      </c>
      <c r="F232" s="183">
        <v>91479.808094412103</v>
      </c>
      <c r="G232" s="181">
        <v>2.84982557559105</v>
      </c>
    </row>
    <row r="233" spans="1:7" x14ac:dyDescent="0.25">
      <c r="A233" s="176" t="s">
        <v>275</v>
      </c>
      <c r="B233" s="176" t="s">
        <v>299</v>
      </c>
      <c r="C233" s="176" t="s">
        <v>301</v>
      </c>
      <c r="D233" s="177">
        <v>457165</v>
      </c>
      <c r="E233" s="181">
        <v>7.5157658380320704</v>
      </c>
      <c r="F233" s="183">
        <v>50235.378861406403</v>
      </c>
      <c r="G233" s="181">
        <v>4.2088288692979603</v>
      </c>
    </row>
    <row r="234" spans="1:7" x14ac:dyDescent="0.25">
      <c r="A234" s="176" t="s">
        <v>275</v>
      </c>
      <c r="B234" s="176" t="s">
        <v>299</v>
      </c>
      <c r="C234" s="176" t="s">
        <v>302</v>
      </c>
      <c r="D234" s="177">
        <v>557210</v>
      </c>
      <c r="E234" s="181">
        <v>7.0338495806375798</v>
      </c>
      <c r="F234" s="183">
        <v>48841.293025552201</v>
      </c>
      <c r="G234" s="181">
        <v>4.3961559878984904</v>
      </c>
    </row>
    <row r="235" spans="1:7" x14ac:dyDescent="0.25">
      <c r="A235" s="176" t="s">
        <v>275</v>
      </c>
      <c r="B235" s="176" t="s">
        <v>299</v>
      </c>
      <c r="C235" s="176" t="s">
        <v>303</v>
      </c>
      <c r="D235" s="177">
        <v>557250</v>
      </c>
      <c r="E235" s="181">
        <v>5.1061499940077804</v>
      </c>
      <c r="F235" s="183">
        <v>49359.449942075204</v>
      </c>
      <c r="G235" s="181">
        <v>3.06368999640467</v>
      </c>
    </row>
    <row r="236" spans="1:7" x14ac:dyDescent="0.25">
      <c r="A236" s="176" t="s">
        <v>275</v>
      </c>
      <c r="B236" s="176" t="s">
        <v>299</v>
      </c>
      <c r="C236" s="176" t="s">
        <v>304</v>
      </c>
      <c r="D236" s="177">
        <v>457258</v>
      </c>
      <c r="E236" s="181">
        <v>2.9271344653351901</v>
      </c>
      <c r="F236" s="183">
        <v>30195.702905563001</v>
      </c>
      <c r="G236" s="181">
        <v>2.1568359218259299</v>
      </c>
    </row>
    <row r="237" spans="1:7" x14ac:dyDescent="0.25">
      <c r="A237" s="176" t="s">
        <v>275</v>
      </c>
      <c r="B237" s="176" t="s">
        <v>299</v>
      </c>
      <c r="C237" s="176" t="s">
        <v>305</v>
      </c>
      <c r="D237" s="177">
        <v>557305</v>
      </c>
      <c r="E237" s="181">
        <v>4.9018224457076904</v>
      </c>
      <c r="F237" s="183">
        <v>39144.553530722798</v>
      </c>
      <c r="G237" s="181">
        <v>4.9018224457076904</v>
      </c>
    </row>
    <row r="238" spans="1:7" x14ac:dyDescent="0.25">
      <c r="A238" s="176" t="s">
        <v>275</v>
      </c>
      <c r="B238" s="176" t="s">
        <v>299</v>
      </c>
      <c r="C238" s="176" t="s">
        <v>306</v>
      </c>
      <c r="D238" s="177">
        <v>457308</v>
      </c>
      <c r="E238" s="181">
        <v>5.1078963108177602</v>
      </c>
      <c r="F238" s="183">
        <v>38572.224651817902</v>
      </c>
      <c r="G238" s="181">
        <v>4.0211098617076004</v>
      </c>
    </row>
    <row r="239" spans="1:7" x14ac:dyDescent="0.25">
      <c r="A239" s="176" t="s">
        <v>275</v>
      </c>
      <c r="B239" s="176" t="s">
        <v>299</v>
      </c>
      <c r="C239" s="176" t="s">
        <v>307</v>
      </c>
      <c r="D239" s="177">
        <v>457345</v>
      </c>
      <c r="E239" s="181">
        <v>3.6080108268308799</v>
      </c>
      <c r="F239" s="183">
        <v>65345.084974825899</v>
      </c>
      <c r="G239" s="181">
        <v>2.80623064309068</v>
      </c>
    </row>
    <row r="240" spans="1:7" x14ac:dyDescent="0.25">
      <c r="A240" s="176" t="s">
        <v>275</v>
      </c>
      <c r="B240" s="176" t="s">
        <v>299</v>
      </c>
      <c r="C240" s="176" t="s">
        <v>308</v>
      </c>
      <c r="D240" s="177">
        <v>557353</v>
      </c>
      <c r="E240" s="181">
        <v>4.4227697721116499</v>
      </c>
      <c r="F240" s="183">
        <v>48073.584479474397</v>
      </c>
      <c r="G240" s="181">
        <v>3.0767094066863598</v>
      </c>
    </row>
    <row r="241" spans="1:7" x14ac:dyDescent="0.25">
      <c r="A241" s="176" t="s">
        <v>275</v>
      </c>
      <c r="B241" s="176" t="s">
        <v>299</v>
      </c>
      <c r="C241" s="176" t="s">
        <v>309</v>
      </c>
      <c r="D241" s="177">
        <v>457435</v>
      </c>
      <c r="E241" s="181">
        <v>4.0137433288371502</v>
      </c>
      <c r="F241" s="183">
        <v>48819.011451486003</v>
      </c>
      <c r="G241" s="181">
        <v>2.3785145652368298</v>
      </c>
    </row>
    <row r="242" spans="1:7" x14ac:dyDescent="0.25">
      <c r="A242" s="176" t="s">
        <v>275</v>
      </c>
      <c r="B242" s="176" t="s">
        <v>299</v>
      </c>
      <c r="C242" s="176" t="s">
        <v>310</v>
      </c>
      <c r="D242" s="177">
        <v>557458</v>
      </c>
      <c r="E242" s="181">
        <v>4.3146003991686301</v>
      </c>
      <c r="F242" s="183">
        <v>59110.025468610198</v>
      </c>
      <c r="G242" s="181">
        <v>3.4516803193348999</v>
      </c>
    </row>
    <row r="243" spans="1:7" x14ac:dyDescent="0.25">
      <c r="A243" s="176" t="s">
        <v>275</v>
      </c>
      <c r="B243" s="176" t="s">
        <v>299</v>
      </c>
      <c r="C243" s="176" t="s">
        <v>311</v>
      </c>
      <c r="D243" s="177">
        <v>557503</v>
      </c>
      <c r="E243" s="181">
        <v>2.8671024449314801</v>
      </c>
      <c r="F243" s="183">
        <v>182197.801878553</v>
      </c>
      <c r="G243" s="181">
        <v>2.5087146393150399</v>
      </c>
    </row>
    <row r="244" spans="1:7" x14ac:dyDescent="0.25">
      <c r="A244" s="176" t="s">
        <v>275</v>
      </c>
      <c r="B244" s="176" t="s">
        <v>299</v>
      </c>
      <c r="C244" s="176" t="s">
        <v>312</v>
      </c>
      <c r="D244" s="177">
        <v>557523</v>
      </c>
      <c r="E244" s="181">
        <v>5.30960595403831</v>
      </c>
      <c r="F244" s="183">
        <v>31606.128073775399</v>
      </c>
      <c r="G244" s="181">
        <v>3.0739823944432301</v>
      </c>
    </row>
    <row r="245" spans="1:7" x14ac:dyDescent="0.25">
      <c r="A245" s="176" t="s">
        <v>275</v>
      </c>
      <c r="B245" s="176" t="s">
        <v>299</v>
      </c>
      <c r="C245" s="176" t="s">
        <v>313</v>
      </c>
      <c r="D245" s="177">
        <v>457543</v>
      </c>
      <c r="E245" s="181">
        <v>2.43490445202334</v>
      </c>
      <c r="F245" s="183">
        <v>30614.865310106699</v>
      </c>
      <c r="G245" s="181">
        <v>3.5711931963008898</v>
      </c>
    </row>
    <row r="246" spans="1:7" x14ac:dyDescent="0.25">
      <c r="A246" s="176" t="s">
        <v>275</v>
      </c>
      <c r="B246" s="176" t="s">
        <v>299</v>
      </c>
      <c r="C246" s="176" t="s">
        <v>314</v>
      </c>
      <c r="D246" s="177">
        <v>457583</v>
      </c>
      <c r="E246" s="181">
        <v>7.2353217481911898</v>
      </c>
      <c r="F246" s="183">
        <v>32267.871704576799</v>
      </c>
      <c r="G246" s="181">
        <v>3.1602554762214399</v>
      </c>
    </row>
    <row r="247" spans="1:7" x14ac:dyDescent="0.25">
      <c r="A247" s="176" t="s">
        <v>275</v>
      </c>
      <c r="B247" s="176" t="s">
        <v>299</v>
      </c>
      <c r="C247" s="176" t="s">
        <v>315</v>
      </c>
      <c r="D247" s="177">
        <v>457614</v>
      </c>
      <c r="E247" s="181">
        <v>4.3243610420769798</v>
      </c>
      <c r="F247" s="183">
        <v>28236.908858535098</v>
      </c>
      <c r="G247" s="181">
        <v>1.8699939641414001</v>
      </c>
    </row>
    <row r="248" spans="1:7" x14ac:dyDescent="0.25">
      <c r="A248" s="176" t="s">
        <v>275</v>
      </c>
      <c r="B248" s="176" t="s">
        <v>299</v>
      </c>
      <c r="C248" s="176" t="s">
        <v>316</v>
      </c>
      <c r="D248" s="177">
        <v>457617</v>
      </c>
      <c r="E248" s="181">
        <v>4.1755151510620898</v>
      </c>
      <c r="F248" s="183">
        <v>40856.2413895063</v>
      </c>
      <c r="G248" s="181">
        <v>1.8267878785896601</v>
      </c>
    </row>
    <row r="249" spans="1:7" x14ac:dyDescent="0.25">
      <c r="A249" s="176" t="s">
        <v>275</v>
      </c>
      <c r="B249" s="176" t="s">
        <v>299</v>
      </c>
      <c r="C249" s="176" t="s">
        <v>317</v>
      </c>
      <c r="D249" s="177">
        <v>557668</v>
      </c>
      <c r="E249" s="181">
        <v>3.9525965690752001</v>
      </c>
      <c r="F249" s="183">
        <v>32339.426474251701</v>
      </c>
      <c r="G249" s="181">
        <v>2.6350643793834698</v>
      </c>
    </row>
    <row r="250" spans="1:7" x14ac:dyDescent="0.25">
      <c r="A250" s="176" t="s">
        <v>275</v>
      </c>
      <c r="B250" s="176" t="s">
        <v>318</v>
      </c>
      <c r="C250" s="176" t="s">
        <v>319</v>
      </c>
      <c r="D250" s="177">
        <v>557113</v>
      </c>
      <c r="E250" s="181">
        <v>7.8329813570178199</v>
      </c>
      <c r="F250" s="183">
        <v>54047.571363422998</v>
      </c>
      <c r="G250" s="181">
        <v>3.52484161065802</v>
      </c>
    </row>
    <row r="251" spans="1:7" x14ac:dyDescent="0.25">
      <c r="A251" s="176" t="s">
        <v>275</v>
      </c>
      <c r="B251" s="176" t="s">
        <v>318</v>
      </c>
      <c r="C251" s="176" t="s">
        <v>320</v>
      </c>
      <c r="D251" s="177">
        <v>457180</v>
      </c>
      <c r="E251" s="181">
        <v>3.1090846642318999</v>
      </c>
      <c r="F251" s="183">
        <v>39973.945682981597</v>
      </c>
      <c r="G251" s="181">
        <v>2.2207747601656398</v>
      </c>
    </row>
    <row r="252" spans="1:7" x14ac:dyDescent="0.25">
      <c r="A252" s="176" t="s">
        <v>275</v>
      </c>
      <c r="B252" s="176" t="s">
        <v>318</v>
      </c>
      <c r="C252" s="176" t="s">
        <v>321</v>
      </c>
      <c r="D252" s="177">
        <v>557182</v>
      </c>
      <c r="E252" s="181">
        <v>3.3456093216615002</v>
      </c>
      <c r="F252" s="183">
        <v>31695.2462052142</v>
      </c>
      <c r="G252" s="181">
        <v>2.4651858159611</v>
      </c>
    </row>
    <row r="253" spans="1:7" x14ac:dyDescent="0.25">
      <c r="A253" s="176" t="s">
        <v>275</v>
      </c>
      <c r="B253" s="176" t="s">
        <v>318</v>
      </c>
      <c r="C253" s="176" t="s">
        <v>322</v>
      </c>
      <c r="D253" s="177">
        <v>457192</v>
      </c>
      <c r="E253" s="181">
        <v>3.8484388346738601</v>
      </c>
      <c r="F253" s="183">
        <v>79524.140079700694</v>
      </c>
      <c r="G253" s="181">
        <v>3.0787510677390899</v>
      </c>
    </row>
    <row r="254" spans="1:7" x14ac:dyDescent="0.25">
      <c r="A254" s="176" t="s">
        <v>275</v>
      </c>
      <c r="B254" s="176" t="s">
        <v>318</v>
      </c>
      <c r="C254" s="176" t="s">
        <v>323</v>
      </c>
      <c r="D254" s="177">
        <v>557303</v>
      </c>
      <c r="E254" s="181">
        <v>2.4838578169103802</v>
      </c>
      <c r="F254" s="183">
        <v>52891.560571856302</v>
      </c>
      <c r="G254" s="181">
        <v>2.9221856669533901</v>
      </c>
    </row>
    <row r="255" spans="1:7" x14ac:dyDescent="0.25">
      <c r="A255" s="176" t="s">
        <v>275</v>
      </c>
      <c r="B255" s="176" t="s">
        <v>318</v>
      </c>
      <c r="C255" s="176" t="s">
        <v>324</v>
      </c>
      <c r="D255" s="177">
        <v>457306</v>
      </c>
      <c r="E255" s="181">
        <v>7.1901206349862496</v>
      </c>
      <c r="F255" s="183">
        <v>59602.315790017601</v>
      </c>
      <c r="G255" s="181">
        <v>3.7842740184138202</v>
      </c>
    </row>
    <row r="256" spans="1:7" x14ac:dyDescent="0.25">
      <c r="A256" s="176" t="s">
        <v>275</v>
      </c>
      <c r="B256" s="176" t="s">
        <v>318</v>
      </c>
      <c r="C256" s="176" t="s">
        <v>325</v>
      </c>
      <c r="D256" s="177">
        <v>557307</v>
      </c>
      <c r="E256" s="181">
        <v>5.7383430474924699</v>
      </c>
      <c r="F256" s="183">
        <v>39348.638039948397</v>
      </c>
      <c r="G256" s="181">
        <v>2.2953372189969898</v>
      </c>
    </row>
    <row r="257" spans="1:7" x14ac:dyDescent="0.25">
      <c r="A257" s="176" t="s">
        <v>275</v>
      </c>
      <c r="B257" s="176" t="s">
        <v>318</v>
      </c>
      <c r="C257" s="176" t="s">
        <v>326</v>
      </c>
      <c r="D257" s="177">
        <v>557347</v>
      </c>
      <c r="E257" s="181">
        <v>3.8605351710157798</v>
      </c>
      <c r="F257" s="183">
        <v>46150.943180779599</v>
      </c>
      <c r="G257" s="181">
        <v>3.15861968537655</v>
      </c>
    </row>
    <row r="258" spans="1:7" x14ac:dyDescent="0.25">
      <c r="A258" s="176" t="s">
        <v>275</v>
      </c>
      <c r="B258" s="176" t="s">
        <v>318</v>
      </c>
      <c r="C258" s="176" t="s">
        <v>327</v>
      </c>
      <c r="D258" s="177">
        <v>457348</v>
      </c>
      <c r="E258" s="181">
        <v>6.6850700250369197</v>
      </c>
      <c r="F258" s="183">
        <v>61820.980898198599</v>
      </c>
      <c r="G258" s="181">
        <v>2.2920240085840899</v>
      </c>
    </row>
    <row r="259" spans="1:7" x14ac:dyDescent="0.25">
      <c r="A259" s="176" t="s">
        <v>275</v>
      </c>
      <c r="B259" s="176" t="s">
        <v>318</v>
      </c>
      <c r="C259" s="176" t="s">
        <v>328</v>
      </c>
      <c r="D259" s="177">
        <v>457350</v>
      </c>
      <c r="E259" s="181">
        <v>6.5656282737674596</v>
      </c>
      <c r="F259" s="183">
        <v>37682.216972947397</v>
      </c>
      <c r="G259" s="181">
        <v>2.0201933150053701</v>
      </c>
    </row>
    <row r="260" spans="1:7" x14ac:dyDescent="0.25">
      <c r="A260" s="176" t="s">
        <v>275</v>
      </c>
      <c r="B260" s="176" t="s">
        <v>318</v>
      </c>
      <c r="C260" s="176" t="s">
        <v>329</v>
      </c>
      <c r="D260" s="177">
        <v>557352</v>
      </c>
      <c r="E260" s="181">
        <v>3.6255647360053098</v>
      </c>
      <c r="F260" s="183">
        <v>70156.289003807702</v>
      </c>
      <c r="G260" s="181">
        <v>3.75984491141292</v>
      </c>
    </row>
    <row r="261" spans="1:7" x14ac:dyDescent="0.25">
      <c r="A261" s="176" t="s">
        <v>275</v>
      </c>
      <c r="B261" s="176" t="s">
        <v>318</v>
      </c>
      <c r="C261" s="176" t="s">
        <v>330</v>
      </c>
      <c r="D261" s="177">
        <v>457449</v>
      </c>
      <c r="E261" s="181">
        <v>5.0250381171720298</v>
      </c>
      <c r="F261" s="183">
        <v>32160.243949901</v>
      </c>
      <c r="G261" s="181">
        <v>2.8140213456163399</v>
      </c>
    </row>
    <row r="262" spans="1:7" x14ac:dyDescent="0.25">
      <c r="A262" s="176" t="s">
        <v>275</v>
      </c>
      <c r="B262" s="176" t="s">
        <v>318</v>
      </c>
      <c r="C262" s="176" t="s">
        <v>331</v>
      </c>
      <c r="D262" s="177">
        <v>557508</v>
      </c>
      <c r="E262" s="181">
        <v>8.8829163756212193</v>
      </c>
      <c r="F262" s="183">
        <v>44414.581878106103</v>
      </c>
      <c r="G262" s="181">
        <v>3.7799644151579601</v>
      </c>
    </row>
    <row r="263" spans="1:7" x14ac:dyDescent="0.25">
      <c r="A263" s="176" t="s">
        <v>275</v>
      </c>
      <c r="B263" s="176" t="s">
        <v>318</v>
      </c>
      <c r="C263" s="176" t="s">
        <v>332</v>
      </c>
      <c r="D263" s="177">
        <v>557622</v>
      </c>
      <c r="E263" s="181">
        <v>2.74953260796668</v>
      </c>
      <c r="F263" s="183">
        <v>71762.801067930399</v>
      </c>
      <c r="G263" s="181">
        <v>3.5351133531000198</v>
      </c>
    </row>
    <row r="264" spans="1:7" x14ac:dyDescent="0.25">
      <c r="A264" s="176" t="s">
        <v>275</v>
      </c>
      <c r="B264" s="176" t="s">
        <v>318</v>
      </c>
      <c r="C264" s="176" t="s">
        <v>333</v>
      </c>
      <c r="D264" s="177">
        <v>557628</v>
      </c>
      <c r="E264" s="181">
        <v>3.2394012652477699</v>
      </c>
      <c r="F264" s="183">
        <v>44919.6975447691</v>
      </c>
      <c r="G264" s="181">
        <v>2.1596008434985099</v>
      </c>
    </row>
    <row r="265" spans="1:7" x14ac:dyDescent="0.25">
      <c r="A265" s="176" t="s">
        <v>275</v>
      </c>
      <c r="B265" s="176" t="s">
        <v>318</v>
      </c>
      <c r="C265" s="176" t="s">
        <v>334</v>
      </c>
      <c r="D265" s="177">
        <v>457632</v>
      </c>
      <c r="E265" s="181">
        <v>4.2983504683483202</v>
      </c>
      <c r="F265" s="183">
        <v>25079.442199322999</v>
      </c>
      <c r="G265" s="181">
        <v>1.8339628664952801</v>
      </c>
    </row>
    <row r="266" spans="1:7" x14ac:dyDescent="0.25">
      <c r="A266" s="176" t="s">
        <v>275</v>
      </c>
      <c r="B266" s="176" t="s">
        <v>318</v>
      </c>
      <c r="C266" s="176" t="s">
        <v>335</v>
      </c>
      <c r="D266" s="177">
        <v>557633</v>
      </c>
      <c r="E266" s="181">
        <v>6.14205311753192</v>
      </c>
      <c r="F266" s="183">
        <v>64901.027941920598</v>
      </c>
      <c r="G266" s="181">
        <v>5.1183775979432697</v>
      </c>
    </row>
    <row r="267" spans="1:7" x14ac:dyDescent="0.25">
      <c r="A267" s="176" t="s">
        <v>275</v>
      </c>
      <c r="B267" s="176" t="s">
        <v>318</v>
      </c>
      <c r="C267" s="176" t="s">
        <v>336</v>
      </c>
      <c r="D267" s="177">
        <v>457634</v>
      </c>
      <c r="E267" s="181">
        <v>1.20513954608875</v>
      </c>
      <c r="F267" s="183">
        <v>25648.3823896338</v>
      </c>
      <c r="G267" s="181">
        <v>0.60256977304437598</v>
      </c>
    </row>
    <row r="268" spans="1:7" x14ac:dyDescent="0.25">
      <c r="A268" s="176" t="s">
        <v>275</v>
      </c>
      <c r="B268" s="176" t="s">
        <v>318</v>
      </c>
      <c r="C268" s="176" t="s">
        <v>337</v>
      </c>
      <c r="D268" s="177">
        <v>557660</v>
      </c>
      <c r="E268" s="181">
        <v>5.2328499853141004</v>
      </c>
      <c r="F268" s="183">
        <v>63945.426820538298</v>
      </c>
      <c r="G268" s="181">
        <v>5.2328499853141004</v>
      </c>
    </row>
    <row r="269" spans="1:7" x14ac:dyDescent="0.25">
      <c r="A269" s="176" t="s">
        <v>275</v>
      </c>
      <c r="B269" s="176" t="s">
        <v>318</v>
      </c>
      <c r="C269" s="176" t="s">
        <v>338</v>
      </c>
      <c r="D269" s="177">
        <v>457158</v>
      </c>
      <c r="E269" s="181">
        <v>4.8506164684028104</v>
      </c>
      <c r="F269" s="183">
        <v>43918.5440209074</v>
      </c>
      <c r="G269" s="181">
        <v>3.2337443122685401</v>
      </c>
    </row>
    <row r="270" spans="1:7" x14ac:dyDescent="0.25">
      <c r="A270" s="176" t="s">
        <v>339</v>
      </c>
      <c r="B270" s="176" t="s">
        <v>340</v>
      </c>
      <c r="C270" s="176" t="s">
        <v>341</v>
      </c>
      <c r="D270" s="177">
        <v>588201</v>
      </c>
      <c r="E270" s="181">
        <v>7.1280813027161303</v>
      </c>
      <c r="F270" s="183">
        <v>28803.2673048529</v>
      </c>
      <c r="G270" s="181">
        <v>4.0731893158377899</v>
      </c>
    </row>
    <row r="271" spans="1:7" x14ac:dyDescent="0.25">
      <c r="A271" s="176" t="s">
        <v>339</v>
      </c>
      <c r="B271" s="176" t="s">
        <v>340</v>
      </c>
      <c r="C271" s="176" t="s">
        <v>342</v>
      </c>
      <c r="D271" s="177">
        <v>588206</v>
      </c>
      <c r="E271" s="181">
        <v>5.7695437486063001</v>
      </c>
      <c r="F271" s="183">
        <v>46677.470069369701</v>
      </c>
      <c r="G271" s="181">
        <v>1.8611431447117099</v>
      </c>
    </row>
    <row r="272" spans="1:7" x14ac:dyDescent="0.25">
      <c r="A272" s="176" t="s">
        <v>339</v>
      </c>
      <c r="B272" s="176" t="s">
        <v>340</v>
      </c>
      <c r="C272" s="176" t="s">
        <v>343</v>
      </c>
      <c r="D272" s="177">
        <v>588216</v>
      </c>
      <c r="E272" s="181">
        <v>6</v>
      </c>
      <c r="F272" s="183">
        <v>45200</v>
      </c>
      <c r="G272" s="181">
        <v>7</v>
      </c>
    </row>
    <row r="273" spans="1:7" x14ac:dyDescent="0.25">
      <c r="A273" s="176" t="s">
        <v>339</v>
      </c>
      <c r="B273" s="176" t="s">
        <v>340</v>
      </c>
      <c r="C273" s="176" t="s">
        <v>344</v>
      </c>
      <c r="D273" s="177">
        <v>488256</v>
      </c>
      <c r="E273" s="181">
        <v>3.61885777583662</v>
      </c>
      <c r="F273" s="183">
        <v>55120.917911953497</v>
      </c>
      <c r="G273" s="181">
        <v>1.52372958982594</v>
      </c>
    </row>
    <row r="274" spans="1:7" x14ac:dyDescent="0.25">
      <c r="A274" s="176" t="s">
        <v>339</v>
      </c>
      <c r="B274" s="176" t="s">
        <v>340</v>
      </c>
      <c r="C274" s="176" t="s">
        <v>345</v>
      </c>
      <c r="D274" s="177">
        <v>488281</v>
      </c>
      <c r="E274" s="181">
        <v>4.22085866122125</v>
      </c>
      <c r="F274" s="183">
        <v>42475.167159236997</v>
      </c>
      <c r="G274" s="181">
        <v>1.7772036468300001</v>
      </c>
    </row>
    <row r="275" spans="1:7" x14ac:dyDescent="0.25">
      <c r="A275" s="176" t="s">
        <v>339</v>
      </c>
      <c r="B275" s="176" t="s">
        <v>340</v>
      </c>
      <c r="C275" s="176" t="s">
        <v>346</v>
      </c>
      <c r="D275" s="177">
        <v>488286</v>
      </c>
      <c r="E275" s="181">
        <v>5.9359402069646299</v>
      </c>
      <c r="F275" s="183">
        <v>36349.162086003802</v>
      </c>
      <c r="G275" s="181">
        <v>5.4172658199482999</v>
      </c>
    </row>
    <row r="276" spans="1:7" x14ac:dyDescent="0.25">
      <c r="A276" s="176" t="s">
        <v>339</v>
      </c>
      <c r="B276" s="176" t="s">
        <v>340</v>
      </c>
      <c r="C276" s="176" t="s">
        <v>347</v>
      </c>
      <c r="D276" s="177">
        <v>488291</v>
      </c>
      <c r="E276" s="181">
        <v>4.7395243487124699</v>
      </c>
      <c r="F276" s="183">
        <v>37758.2106447427</v>
      </c>
      <c r="G276" s="181">
        <v>4.2129105321888698</v>
      </c>
    </row>
    <row r="277" spans="1:7" x14ac:dyDescent="0.25">
      <c r="A277" s="176" t="s">
        <v>339</v>
      </c>
      <c r="B277" s="176" t="s">
        <v>340</v>
      </c>
      <c r="C277" s="176" t="s">
        <v>348</v>
      </c>
      <c r="D277" s="177">
        <v>488288</v>
      </c>
      <c r="E277" s="181">
        <v>6.9840818648546801</v>
      </c>
      <c r="F277" s="183">
        <v>57133.550313977001</v>
      </c>
      <c r="G277" s="181">
        <v>4.8351335987455499</v>
      </c>
    </row>
    <row r="278" spans="1:7" x14ac:dyDescent="0.25">
      <c r="A278" s="176" t="s">
        <v>339</v>
      </c>
      <c r="B278" s="176" t="s">
        <v>340</v>
      </c>
      <c r="C278" s="176" t="s">
        <v>349</v>
      </c>
      <c r="D278" s="177">
        <v>588336</v>
      </c>
      <c r="E278" s="181">
        <v>8.4871200198439194</v>
      </c>
      <c r="F278" s="183">
        <v>21156.299179900801</v>
      </c>
      <c r="G278" s="181">
        <v>2.4600347883605602</v>
      </c>
    </row>
    <row r="279" spans="1:7" x14ac:dyDescent="0.25">
      <c r="A279" s="176" t="s">
        <v>339</v>
      </c>
      <c r="B279" s="176" t="s">
        <v>340</v>
      </c>
      <c r="C279" s="176" t="s">
        <v>350</v>
      </c>
      <c r="D279" s="177">
        <v>588396</v>
      </c>
      <c r="E279" s="181">
        <v>8.6197149930090102</v>
      </c>
      <c r="F279" s="183">
        <v>43816.884547795802</v>
      </c>
      <c r="G279" s="181">
        <v>2.8732383310029999</v>
      </c>
    </row>
    <row r="280" spans="1:7" x14ac:dyDescent="0.25">
      <c r="A280" s="176" t="s">
        <v>339</v>
      </c>
      <c r="B280" s="176" t="s">
        <v>340</v>
      </c>
      <c r="C280" s="176" t="s">
        <v>351</v>
      </c>
      <c r="D280" s="177">
        <v>488451</v>
      </c>
      <c r="E280" s="181">
        <v>4.1216633405334901</v>
      </c>
      <c r="F280" s="183">
        <v>36530.9529760968</v>
      </c>
      <c r="G280" s="181">
        <v>2.38622614451939</v>
      </c>
    </row>
    <row r="281" spans="1:7" x14ac:dyDescent="0.25">
      <c r="A281" s="176" t="s">
        <v>339</v>
      </c>
      <c r="B281" s="176" t="s">
        <v>340</v>
      </c>
      <c r="C281" s="176" t="s">
        <v>352</v>
      </c>
      <c r="D281" s="177">
        <v>588501</v>
      </c>
      <c r="E281" s="181">
        <v>2.3829321662706802</v>
      </c>
      <c r="F281" s="183">
        <v>32494.529540054798</v>
      </c>
      <c r="G281" s="181">
        <v>2.5995623632043801</v>
      </c>
    </row>
    <row r="282" spans="1:7" x14ac:dyDescent="0.25">
      <c r="A282" s="176" t="s">
        <v>339</v>
      </c>
      <c r="B282" s="176" t="s">
        <v>340</v>
      </c>
      <c r="C282" s="176" t="s">
        <v>353</v>
      </c>
      <c r="D282" s="177">
        <v>488561</v>
      </c>
      <c r="E282" s="181">
        <v>3.8292599959868201</v>
      </c>
      <c r="F282" s="183">
        <v>25496.619720217601</v>
      </c>
      <c r="G282" s="181">
        <v>2.8133338746025598</v>
      </c>
    </row>
    <row r="283" spans="1:7" x14ac:dyDescent="0.25">
      <c r="A283" s="176" t="s">
        <v>339</v>
      </c>
      <c r="B283" s="176" t="s">
        <v>340</v>
      </c>
      <c r="C283" s="176" t="s">
        <v>354</v>
      </c>
      <c r="D283" s="177">
        <v>588631</v>
      </c>
      <c r="E283" s="181">
        <v>3.3700221188443602</v>
      </c>
      <c r="F283" s="183">
        <v>35335.673099059299</v>
      </c>
      <c r="G283" s="181">
        <v>2.9735489283920802</v>
      </c>
    </row>
    <row r="284" spans="1:7" x14ac:dyDescent="0.25">
      <c r="A284" s="176" t="s">
        <v>339</v>
      </c>
      <c r="B284" s="176" t="s">
        <v>340</v>
      </c>
      <c r="C284" s="176" t="s">
        <v>355</v>
      </c>
      <c r="D284" s="177">
        <v>488706</v>
      </c>
      <c r="E284" s="181">
        <v>6.5888888073784999</v>
      </c>
      <c r="F284" s="183">
        <v>30339.534508394001</v>
      </c>
      <c r="G284" s="181">
        <v>2.4516795562338598</v>
      </c>
    </row>
    <row r="285" spans="1:7" x14ac:dyDescent="0.25">
      <c r="A285" s="176" t="s">
        <v>339</v>
      </c>
      <c r="B285" s="176" t="s">
        <v>340</v>
      </c>
      <c r="C285" s="176" t="s">
        <v>356</v>
      </c>
      <c r="D285" s="177">
        <v>588716</v>
      </c>
      <c r="E285" s="181">
        <v>5.3656558207407699</v>
      </c>
      <c r="F285" s="183">
        <v>51548.621992116699</v>
      </c>
      <c r="G285" s="181">
        <v>4.5991335606349502</v>
      </c>
    </row>
    <row r="286" spans="1:7" x14ac:dyDescent="0.25">
      <c r="A286" s="176" t="s">
        <v>339</v>
      </c>
      <c r="B286" s="176" t="s">
        <v>357</v>
      </c>
      <c r="C286" s="176" t="s">
        <v>358</v>
      </c>
      <c r="D286" s="177">
        <v>588186</v>
      </c>
      <c r="E286" s="181">
        <v>7.79008512148632</v>
      </c>
      <c r="F286" s="183">
        <v>51726.165206669197</v>
      </c>
      <c r="G286" s="181">
        <v>3.1160340485945301</v>
      </c>
    </row>
    <row r="287" spans="1:7" x14ac:dyDescent="0.25">
      <c r="A287" s="176" t="s">
        <v>339</v>
      </c>
      <c r="B287" s="176" t="s">
        <v>357</v>
      </c>
      <c r="C287" s="176" t="s">
        <v>359</v>
      </c>
      <c r="D287" s="177">
        <v>488246</v>
      </c>
      <c r="E287" s="181">
        <v>5.4648273240877003</v>
      </c>
      <c r="F287" s="183">
        <v>62674.738373130902</v>
      </c>
      <c r="G287" s="181">
        <v>6.8310341551096299</v>
      </c>
    </row>
    <row r="288" spans="1:7" x14ac:dyDescent="0.25">
      <c r="A288" s="176" t="s">
        <v>339</v>
      </c>
      <c r="B288" s="176" t="s">
        <v>357</v>
      </c>
      <c r="C288" s="176" t="s">
        <v>360</v>
      </c>
      <c r="D288" s="177">
        <v>588316</v>
      </c>
      <c r="E288" s="181">
        <v>3.0122572026425698</v>
      </c>
      <c r="F288" s="183">
        <v>36774.640015594698</v>
      </c>
      <c r="G288" s="181">
        <v>2.51021433553547</v>
      </c>
    </row>
    <row r="289" spans="1:7" x14ac:dyDescent="0.25">
      <c r="A289" s="176" t="s">
        <v>339</v>
      </c>
      <c r="B289" s="176" t="s">
        <v>357</v>
      </c>
      <c r="C289" s="176" t="s">
        <v>361</v>
      </c>
      <c r="D289" s="177">
        <v>488326</v>
      </c>
      <c r="E289" s="181">
        <v>4.2880947247693104</v>
      </c>
      <c r="F289" s="183">
        <v>48365.719570072397</v>
      </c>
      <c r="G289" s="181">
        <v>1.9944626626833999</v>
      </c>
    </row>
    <row r="290" spans="1:7" x14ac:dyDescent="0.25">
      <c r="A290" s="176" t="s">
        <v>339</v>
      </c>
      <c r="B290" s="176" t="s">
        <v>357</v>
      </c>
      <c r="C290" s="176" t="s">
        <v>362</v>
      </c>
      <c r="D290" s="177">
        <v>488346</v>
      </c>
      <c r="E290" s="181">
        <v>9.6133584528775504</v>
      </c>
      <c r="F290" s="183">
        <v>52392.8035681826</v>
      </c>
      <c r="G290" s="181">
        <v>5.3407546960430796</v>
      </c>
    </row>
    <row r="291" spans="1:7" x14ac:dyDescent="0.25">
      <c r="A291" s="176" t="s">
        <v>339</v>
      </c>
      <c r="B291" s="176" t="s">
        <v>357</v>
      </c>
      <c r="C291" s="176" t="s">
        <v>363</v>
      </c>
      <c r="D291" s="177">
        <v>588386</v>
      </c>
      <c r="E291" s="181">
        <v>3.7136128641602402</v>
      </c>
      <c r="F291" s="183">
        <v>53624.569758473903</v>
      </c>
      <c r="G291" s="181">
        <v>3.46603867321623</v>
      </c>
    </row>
    <row r="292" spans="1:7" x14ac:dyDescent="0.25">
      <c r="A292" s="176" t="s">
        <v>339</v>
      </c>
      <c r="B292" s="176" t="s">
        <v>357</v>
      </c>
      <c r="C292" s="176" t="s">
        <v>364</v>
      </c>
      <c r="D292" s="177">
        <v>588461</v>
      </c>
      <c r="E292" s="181">
        <v>3.1098579238398401</v>
      </c>
      <c r="F292" s="183">
        <v>36627.215547446998</v>
      </c>
      <c r="G292" s="181">
        <v>1.7276988465776899</v>
      </c>
    </row>
    <row r="293" spans="1:7" x14ac:dyDescent="0.25">
      <c r="A293" s="176" t="s">
        <v>339</v>
      </c>
      <c r="B293" s="176" t="s">
        <v>357</v>
      </c>
      <c r="C293" s="176" t="s">
        <v>365</v>
      </c>
      <c r="D293" s="177">
        <v>588551</v>
      </c>
      <c r="E293" s="181">
        <v>3.7820073895639199</v>
      </c>
      <c r="F293" s="183">
        <v>55781.907562218199</v>
      </c>
      <c r="G293" s="181">
        <v>3.5118640045950702</v>
      </c>
    </row>
    <row r="294" spans="1:7" x14ac:dyDescent="0.25">
      <c r="A294" s="176" t="s">
        <v>339</v>
      </c>
      <c r="B294" s="176" t="s">
        <v>357</v>
      </c>
      <c r="C294" s="176" t="s">
        <v>366</v>
      </c>
      <c r="D294" s="177">
        <v>488556</v>
      </c>
      <c r="E294" s="181">
        <v>4.6214970240867803</v>
      </c>
      <c r="F294" s="183">
        <v>62731.045230698001</v>
      </c>
      <c r="G294" s="181">
        <v>2.59959207604882</v>
      </c>
    </row>
    <row r="295" spans="1:7" x14ac:dyDescent="0.25">
      <c r="A295" s="176" t="s">
        <v>339</v>
      </c>
      <c r="B295" s="176" t="s">
        <v>357</v>
      </c>
      <c r="C295" s="176" t="s">
        <v>357</v>
      </c>
      <c r="D295" s="177">
        <v>488586</v>
      </c>
      <c r="E295" s="181">
        <v>3.2109766151250998</v>
      </c>
      <c r="F295" s="183">
        <v>28169.022123597399</v>
      </c>
      <c r="G295" s="181">
        <v>2.2379533984205202</v>
      </c>
    </row>
    <row r="296" spans="1:7" x14ac:dyDescent="0.25">
      <c r="A296" s="176" t="s">
        <v>339</v>
      </c>
      <c r="B296" s="176" t="s">
        <v>357</v>
      </c>
      <c r="C296" s="176" t="s">
        <v>367</v>
      </c>
      <c r="D296" s="177">
        <v>588587</v>
      </c>
      <c r="E296" s="181">
        <v>4.6351442550020998</v>
      </c>
      <c r="F296" s="183">
        <v>45223.975028533998</v>
      </c>
      <c r="G296" s="181">
        <v>2.254935042974</v>
      </c>
    </row>
    <row r="297" spans="1:7" x14ac:dyDescent="0.25">
      <c r="A297" s="176" t="s">
        <v>339</v>
      </c>
      <c r="B297" s="176" t="s">
        <v>357</v>
      </c>
      <c r="C297" s="176" t="s">
        <v>368</v>
      </c>
      <c r="D297" s="177">
        <v>488616</v>
      </c>
      <c r="E297" s="181">
        <v>7.14742283799061</v>
      </c>
      <c r="F297" s="183">
        <v>49951.4851791658</v>
      </c>
      <c r="G297" s="181">
        <v>3.7060711011803198</v>
      </c>
    </row>
    <row r="298" spans="1:7" x14ac:dyDescent="0.25">
      <c r="A298" s="176" t="s">
        <v>339</v>
      </c>
      <c r="B298" s="176" t="s">
        <v>357</v>
      </c>
      <c r="C298" s="176" t="s">
        <v>369</v>
      </c>
      <c r="D298" s="177">
        <v>588666</v>
      </c>
      <c r="E298" s="181">
        <v>4.9884779420575702</v>
      </c>
      <c r="F298" s="183">
        <v>43563.130748503303</v>
      </c>
      <c r="G298" s="181">
        <v>2.18245909965019</v>
      </c>
    </row>
    <row r="299" spans="1:7" x14ac:dyDescent="0.25">
      <c r="A299" s="179"/>
      <c r="B299" s="179"/>
      <c r="C299" s="179"/>
      <c r="D299" s="179"/>
    </row>
    <row r="300" spans="1:7" x14ac:dyDescent="0.25">
      <c r="A300"/>
      <c r="B300"/>
      <c r="C300"/>
      <c r="D300"/>
    </row>
    <row r="301" spans="1:7" x14ac:dyDescent="0.25">
      <c r="A301"/>
      <c r="B301"/>
      <c r="C301"/>
      <c r="D301"/>
    </row>
    <row r="302" spans="1:7" x14ac:dyDescent="0.25">
      <c r="A302"/>
      <c r="B302"/>
      <c r="C302"/>
      <c r="D302"/>
    </row>
    <row r="303" spans="1:7" x14ac:dyDescent="0.25">
      <c r="A303"/>
      <c r="B303"/>
      <c r="C303"/>
      <c r="D303"/>
    </row>
    <row r="304" spans="1:7" x14ac:dyDescent="0.25">
      <c r="A304"/>
      <c r="B304"/>
      <c r="C304"/>
      <c r="D304"/>
    </row>
    <row r="305" spans="1:4" x14ac:dyDescent="0.25">
      <c r="A305"/>
      <c r="B305"/>
      <c r="C305"/>
      <c r="D305"/>
    </row>
    <row r="306" spans="1:4" x14ac:dyDescent="0.25">
      <c r="A306"/>
      <c r="B306"/>
      <c r="C306"/>
      <c r="D306"/>
    </row>
    <row r="307" spans="1:4" x14ac:dyDescent="0.25">
      <c r="A307"/>
      <c r="B307"/>
      <c r="C307"/>
      <c r="D307"/>
    </row>
    <row r="308" spans="1:4" x14ac:dyDescent="0.25">
      <c r="A308"/>
      <c r="B308"/>
      <c r="C308"/>
      <c r="D308"/>
    </row>
    <row r="309" spans="1:4" x14ac:dyDescent="0.25">
      <c r="A309"/>
      <c r="B309"/>
      <c r="C309"/>
      <c r="D309"/>
    </row>
    <row r="310" spans="1:4" x14ac:dyDescent="0.25">
      <c r="A310"/>
      <c r="B310"/>
      <c r="C310"/>
      <c r="D310"/>
    </row>
    <row r="311" spans="1:4" x14ac:dyDescent="0.25">
      <c r="A311"/>
      <c r="B311"/>
      <c r="C311"/>
      <c r="D311"/>
    </row>
    <row r="312" spans="1:4" x14ac:dyDescent="0.25">
      <c r="A312"/>
      <c r="B312"/>
      <c r="C312"/>
      <c r="D312"/>
    </row>
    <row r="313" spans="1:4" x14ac:dyDescent="0.25">
      <c r="A313"/>
      <c r="B313"/>
      <c r="C313"/>
      <c r="D313"/>
    </row>
    <row r="314" spans="1:4" x14ac:dyDescent="0.25">
      <c r="A314"/>
      <c r="B314"/>
      <c r="C314"/>
      <c r="D314"/>
    </row>
    <row r="315" spans="1:4" x14ac:dyDescent="0.25">
      <c r="A315"/>
      <c r="B315"/>
      <c r="C315"/>
      <c r="D315"/>
    </row>
    <row r="316" spans="1:4" x14ac:dyDescent="0.25">
      <c r="A316"/>
      <c r="B316"/>
      <c r="C316"/>
      <c r="D316"/>
    </row>
    <row r="317" spans="1:4" x14ac:dyDescent="0.25">
      <c r="A317"/>
      <c r="B317"/>
      <c r="C317"/>
      <c r="D317"/>
    </row>
    <row r="318" spans="1:4" x14ac:dyDescent="0.25">
      <c r="A318"/>
      <c r="B318"/>
      <c r="C318"/>
      <c r="D318"/>
    </row>
    <row r="319" spans="1:4" x14ac:dyDescent="0.25">
      <c r="A319"/>
      <c r="B319"/>
      <c r="C319"/>
      <c r="D319"/>
    </row>
    <row r="320" spans="1:4" x14ac:dyDescent="0.25">
      <c r="A320"/>
      <c r="B320"/>
      <c r="C320"/>
      <c r="D320"/>
    </row>
    <row r="321" spans="1:4" x14ac:dyDescent="0.25">
      <c r="A321"/>
      <c r="B321"/>
      <c r="C321"/>
      <c r="D321"/>
    </row>
    <row r="322" spans="1:4" x14ac:dyDescent="0.25">
      <c r="A322"/>
      <c r="B322"/>
      <c r="C322"/>
      <c r="D322"/>
    </row>
    <row r="323" spans="1:4" x14ac:dyDescent="0.25">
      <c r="A323"/>
      <c r="B323"/>
      <c r="C323"/>
      <c r="D323"/>
    </row>
    <row r="324" spans="1:4" x14ac:dyDescent="0.25">
      <c r="A324"/>
      <c r="B324"/>
      <c r="C324"/>
      <c r="D324"/>
    </row>
    <row r="325" spans="1:4" x14ac:dyDescent="0.25">
      <c r="A325"/>
      <c r="B325"/>
      <c r="C325"/>
      <c r="D325"/>
    </row>
    <row r="326" spans="1:4" x14ac:dyDescent="0.25">
      <c r="A326"/>
      <c r="B326"/>
      <c r="C326"/>
      <c r="D326"/>
    </row>
    <row r="327" spans="1:4" x14ac:dyDescent="0.25">
      <c r="A327"/>
      <c r="B327"/>
      <c r="C327"/>
      <c r="D327"/>
    </row>
    <row r="328" spans="1:4" x14ac:dyDescent="0.25">
      <c r="A328"/>
      <c r="B328"/>
      <c r="C328"/>
      <c r="D328"/>
    </row>
    <row r="329" spans="1:4" x14ac:dyDescent="0.25">
      <c r="A329"/>
      <c r="B329"/>
      <c r="C329"/>
      <c r="D329"/>
    </row>
    <row r="330" spans="1:4" x14ac:dyDescent="0.25">
      <c r="A330"/>
      <c r="B330"/>
      <c r="C330"/>
      <c r="D330"/>
    </row>
    <row r="331" spans="1:4" x14ac:dyDescent="0.25">
      <c r="A331"/>
      <c r="B331"/>
      <c r="C331"/>
      <c r="D331"/>
    </row>
    <row r="332" spans="1:4" x14ac:dyDescent="0.25">
      <c r="A332"/>
      <c r="B332"/>
      <c r="C332"/>
      <c r="D332"/>
    </row>
    <row r="333" spans="1:4" x14ac:dyDescent="0.25">
      <c r="A333"/>
      <c r="B333"/>
      <c r="C333"/>
      <c r="D333"/>
    </row>
    <row r="334" spans="1:4" x14ac:dyDescent="0.25">
      <c r="A334"/>
      <c r="B334"/>
      <c r="C334"/>
      <c r="D334"/>
    </row>
    <row r="335" spans="1:4" x14ac:dyDescent="0.25">
      <c r="A335"/>
      <c r="B335"/>
      <c r="C335"/>
      <c r="D335"/>
    </row>
    <row r="336" spans="1:4" x14ac:dyDescent="0.25">
      <c r="A336"/>
      <c r="B336"/>
      <c r="C336"/>
      <c r="D336"/>
    </row>
    <row r="337" spans="1:4" x14ac:dyDescent="0.25">
      <c r="A337"/>
      <c r="B337"/>
      <c r="C337"/>
      <c r="D337"/>
    </row>
    <row r="338" spans="1:4" x14ac:dyDescent="0.25">
      <c r="A338"/>
      <c r="B338"/>
      <c r="C338"/>
      <c r="D338"/>
    </row>
    <row r="339" spans="1:4" x14ac:dyDescent="0.25">
      <c r="A339"/>
      <c r="B339"/>
      <c r="C339"/>
      <c r="D339"/>
    </row>
    <row r="340" spans="1:4" x14ac:dyDescent="0.25">
      <c r="A340"/>
      <c r="B340"/>
      <c r="C340"/>
      <c r="D340"/>
    </row>
    <row r="341" spans="1:4" x14ac:dyDescent="0.25">
      <c r="A341"/>
      <c r="B341"/>
      <c r="C341"/>
      <c r="D341"/>
    </row>
    <row r="342" spans="1:4" x14ac:dyDescent="0.25">
      <c r="A342"/>
      <c r="B342"/>
      <c r="C342"/>
      <c r="D342"/>
    </row>
    <row r="343" spans="1:4" x14ac:dyDescent="0.25">
      <c r="A343"/>
      <c r="B343"/>
      <c r="C343"/>
      <c r="D343"/>
    </row>
    <row r="344" spans="1:4" x14ac:dyDescent="0.25">
      <c r="A344"/>
      <c r="B344"/>
      <c r="C344"/>
      <c r="D344"/>
    </row>
    <row r="345" spans="1:4" x14ac:dyDescent="0.25">
      <c r="A345"/>
      <c r="B345"/>
      <c r="C345"/>
      <c r="D345"/>
    </row>
    <row r="346" spans="1:4" x14ac:dyDescent="0.25">
      <c r="A346"/>
      <c r="B346"/>
      <c r="C346"/>
      <c r="D346"/>
    </row>
    <row r="347" spans="1:4" x14ac:dyDescent="0.25">
      <c r="A347"/>
      <c r="B347"/>
      <c r="C347"/>
      <c r="D347"/>
    </row>
    <row r="348" spans="1:4" x14ac:dyDescent="0.25">
      <c r="A348"/>
      <c r="B348"/>
      <c r="C348"/>
      <c r="D348"/>
    </row>
    <row r="349" spans="1:4" x14ac:dyDescent="0.25">
      <c r="A349"/>
      <c r="B349"/>
      <c r="C349"/>
      <c r="D349"/>
    </row>
    <row r="350" spans="1:4" x14ac:dyDescent="0.25">
      <c r="A350"/>
      <c r="B350"/>
      <c r="C350"/>
      <c r="D350"/>
    </row>
    <row r="351" spans="1:4" x14ac:dyDescent="0.25">
      <c r="A351"/>
      <c r="B351"/>
      <c r="C351"/>
      <c r="D351"/>
    </row>
    <row r="352" spans="1:4" x14ac:dyDescent="0.25">
      <c r="A352"/>
      <c r="B352"/>
      <c r="C352"/>
      <c r="D352"/>
    </row>
    <row r="353" spans="1:4" x14ac:dyDescent="0.25">
      <c r="A353"/>
      <c r="B353"/>
      <c r="C353"/>
      <c r="D353"/>
    </row>
    <row r="354" spans="1:4" x14ac:dyDescent="0.25">
      <c r="A354"/>
      <c r="B354"/>
      <c r="C354"/>
      <c r="D354"/>
    </row>
    <row r="355" spans="1:4" x14ac:dyDescent="0.25">
      <c r="A355"/>
      <c r="B355"/>
      <c r="C355"/>
      <c r="D355"/>
    </row>
    <row r="356" spans="1:4" x14ac:dyDescent="0.25">
      <c r="A356"/>
      <c r="B356"/>
      <c r="C356"/>
      <c r="D356"/>
    </row>
    <row r="357" spans="1:4" x14ac:dyDescent="0.25">
      <c r="A357"/>
      <c r="B357"/>
      <c r="C357"/>
      <c r="D357"/>
    </row>
    <row r="358" spans="1:4" x14ac:dyDescent="0.25">
      <c r="A358"/>
      <c r="B358"/>
      <c r="C358"/>
      <c r="D358"/>
    </row>
    <row r="359" spans="1:4" x14ac:dyDescent="0.25">
      <c r="A359"/>
      <c r="B359"/>
      <c r="C359"/>
      <c r="D359"/>
    </row>
    <row r="360" spans="1:4" x14ac:dyDescent="0.25">
      <c r="A360"/>
      <c r="B360"/>
      <c r="C360"/>
      <c r="D360"/>
    </row>
    <row r="361" spans="1:4" x14ac:dyDescent="0.25">
      <c r="A361"/>
      <c r="B361"/>
      <c r="C361"/>
      <c r="D361"/>
    </row>
    <row r="362" spans="1:4" x14ac:dyDescent="0.25">
      <c r="A362"/>
      <c r="B362"/>
      <c r="C362"/>
      <c r="D362"/>
    </row>
    <row r="363" spans="1:4" x14ac:dyDescent="0.25">
      <c r="A363"/>
      <c r="B363"/>
      <c r="C363"/>
      <c r="D363"/>
    </row>
    <row r="364" spans="1:4" x14ac:dyDescent="0.25">
      <c r="A364"/>
      <c r="B364"/>
      <c r="C364"/>
      <c r="D364"/>
    </row>
    <row r="365" spans="1:4" x14ac:dyDescent="0.25">
      <c r="A365"/>
      <c r="B365"/>
      <c r="C365"/>
      <c r="D365"/>
    </row>
    <row r="366" spans="1:4" x14ac:dyDescent="0.25">
      <c r="A366"/>
      <c r="B366"/>
      <c r="C366"/>
      <c r="D366"/>
    </row>
    <row r="367" spans="1:4" x14ac:dyDescent="0.25">
      <c r="A367"/>
      <c r="B367"/>
      <c r="C367"/>
      <c r="D367"/>
    </row>
    <row r="368" spans="1:4" x14ac:dyDescent="0.25">
      <c r="A368"/>
      <c r="B368"/>
      <c r="C368"/>
      <c r="D368"/>
    </row>
    <row r="369" spans="1:4" x14ac:dyDescent="0.25">
      <c r="A369"/>
      <c r="B369"/>
      <c r="C369"/>
      <c r="D369"/>
    </row>
    <row r="370" spans="1:4" x14ac:dyDescent="0.25">
      <c r="A370"/>
      <c r="B370"/>
      <c r="C370"/>
      <c r="D370"/>
    </row>
    <row r="371" spans="1:4" x14ac:dyDescent="0.25">
      <c r="A371"/>
      <c r="B371"/>
      <c r="C371"/>
      <c r="D371"/>
    </row>
    <row r="372" spans="1:4" x14ac:dyDescent="0.25">
      <c r="A372"/>
      <c r="B372"/>
      <c r="C372"/>
      <c r="D372"/>
    </row>
    <row r="373" spans="1:4" x14ac:dyDescent="0.25">
      <c r="A373"/>
      <c r="B373"/>
      <c r="C373"/>
      <c r="D373"/>
    </row>
    <row r="374" spans="1:4" x14ac:dyDescent="0.25">
      <c r="A374"/>
      <c r="B374"/>
      <c r="C374"/>
      <c r="D374"/>
    </row>
    <row r="375" spans="1:4" x14ac:dyDescent="0.25">
      <c r="A375"/>
      <c r="B375"/>
      <c r="C375"/>
      <c r="D375"/>
    </row>
    <row r="376" spans="1:4" x14ac:dyDescent="0.25">
      <c r="A376"/>
      <c r="B376"/>
      <c r="C376"/>
      <c r="D376"/>
    </row>
    <row r="377" spans="1:4" x14ac:dyDescent="0.25">
      <c r="A377"/>
      <c r="B377"/>
      <c r="C377"/>
      <c r="D377"/>
    </row>
    <row r="378" spans="1:4" x14ac:dyDescent="0.25">
      <c r="A378"/>
      <c r="B378"/>
      <c r="C378"/>
      <c r="D378"/>
    </row>
    <row r="379" spans="1:4" x14ac:dyDescent="0.25">
      <c r="A379"/>
      <c r="B379"/>
      <c r="C379"/>
      <c r="D379"/>
    </row>
    <row r="380" spans="1:4" x14ac:dyDescent="0.25">
      <c r="A380"/>
      <c r="B380"/>
      <c r="C380"/>
      <c r="D380"/>
    </row>
    <row r="381" spans="1:4" x14ac:dyDescent="0.25">
      <c r="A381"/>
      <c r="B381"/>
      <c r="C381"/>
      <c r="D381"/>
    </row>
    <row r="382" spans="1:4" x14ac:dyDescent="0.25">
      <c r="A382"/>
      <c r="B382"/>
      <c r="C382"/>
      <c r="D382"/>
    </row>
    <row r="383" spans="1:4" x14ac:dyDescent="0.25">
      <c r="A383"/>
      <c r="B383"/>
      <c r="C383"/>
      <c r="D383"/>
    </row>
    <row r="384" spans="1:4" x14ac:dyDescent="0.25">
      <c r="A384"/>
      <c r="B384"/>
      <c r="C384"/>
      <c r="D384"/>
    </row>
    <row r="385" spans="1:4" x14ac:dyDescent="0.25">
      <c r="A385"/>
      <c r="B385"/>
      <c r="C385"/>
      <c r="D385"/>
    </row>
    <row r="386" spans="1:4" x14ac:dyDescent="0.25">
      <c r="A386"/>
      <c r="B386"/>
      <c r="C386"/>
      <c r="D386"/>
    </row>
    <row r="387" spans="1:4" x14ac:dyDescent="0.25">
      <c r="A387"/>
      <c r="B387"/>
      <c r="C387"/>
      <c r="D387"/>
    </row>
    <row r="388" spans="1:4" x14ac:dyDescent="0.25">
      <c r="A388"/>
      <c r="B388"/>
      <c r="C388"/>
      <c r="D388"/>
    </row>
    <row r="389" spans="1:4" x14ac:dyDescent="0.25">
      <c r="A389"/>
      <c r="B389"/>
      <c r="C389"/>
      <c r="D389"/>
    </row>
    <row r="390" spans="1:4" x14ac:dyDescent="0.25">
      <c r="A390"/>
      <c r="B390"/>
      <c r="C390"/>
      <c r="D390"/>
    </row>
    <row r="391" spans="1:4" x14ac:dyDescent="0.25">
      <c r="A391"/>
      <c r="B391"/>
      <c r="C391"/>
      <c r="D391"/>
    </row>
    <row r="392" spans="1:4" x14ac:dyDescent="0.25">
      <c r="A392"/>
      <c r="B392"/>
      <c r="C392"/>
      <c r="D392"/>
    </row>
    <row r="393" spans="1:4" x14ac:dyDescent="0.25">
      <c r="A393"/>
      <c r="B393"/>
      <c r="C393"/>
      <c r="D393"/>
    </row>
    <row r="394" spans="1:4" x14ac:dyDescent="0.25">
      <c r="A394"/>
      <c r="B394"/>
      <c r="C394"/>
      <c r="D394"/>
    </row>
    <row r="395" spans="1:4" x14ac:dyDescent="0.25">
      <c r="A395"/>
      <c r="B395"/>
      <c r="C395"/>
      <c r="D395"/>
    </row>
    <row r="396" spans="1:4" x14ac:dyDescent="0.25">
      <c r="A396"/>
      <c r="B396"/>
      <c r="C396"/>
      <c r="D396"/>
    </row>
    <row r="397" spans="1:4" x14ac:dyDescent="0.25">
      <c r="A397"/>
      <c r="B397"/>
      <c r="C397"/>
      <c r="D397"/>
    </row>
    <row r="398" spans="1:4" x14ac:dyDescent="0.25">
      <c r="A398"/>
      <c r="B398"/>
      <c r="C398"/>
      <c r="D398"/>
    </row>
    <row r="399" spans="1:4" x14ac:dyDescent="0.25">
      <c r="A399"/>
      <c r="B399"/>
      <c r="C399"/>
      <c r="D399"/>
    </row>
    <row r="400" spans="1:4" x14ac:dyDescent="0.25">
      <c r="A400"/>
      <c r="B400"/>
      <c r="C400"/>
      <c r="D400"/>
    </row>
    <row r="401" spans="1:4" x14ac:dyDescent="0.25">
      <c r="A401"/>
      <c r="B401"/>
      <c r="C401"/>
      <c r="D401"/>
    </row>
    <row r="402" spans="1:4" x14ac:dyDescent="0.25">
      <c r="A402"/>
      <c r="B402"/>
      <c r="C402"/>
      <c r="D402"/>
    </row>
    <row r="403" spans="1:4" x14ac:dyDescent="0.25">
      <c r="A403"/>
      <c r="B403"/>
      <c r="C403"/>
      <c r="D403"/>
    </row>
    <row r="404" spans="1:4" x14ac:dyDescent="0.25">
      <c r="A404"/>
      <c r="B404"/>
      <c r="C404"/>
      <c r="D404"/>
    </row>
    <row r="405" spans="1:4" x14ac:dyDescent="0.25">
      <c r="A405"/>
      <c r="B405"/>
      <c r="C405"/>
      <c r="D405"/>
    </row>
    <row r="406" spans="1:4" x14ac:dyDescent="0.25">
      <c r="A406"/>
      <c r="B406"/>
      <c r="C406"/>
      <c r="D406"/>
    </row>
    <row r="407" spans="1:4" x14ac:dyDescent="0.25">
      <c r="A407"/>
      <c r="B407"/>
      <c r="C407"/>
      <c r="D407"/>
    </row>
    <row r="408" spans="1:4" x14ac:dyDescent="0.25">
      <c r="A408"/>
      <c r="B408"/>
      <c r="C408"/>
      <c r="D408"/>
    </row>
    <row r="409" spans="1:4" x14ac:dyDescent="0.25">
      <c r="A409"/>
      <c r="B409"/>
      <c r="C409"/>
      <c r="D409"/>
    </row>
    <row r="410" spans="1:4" x14ac:dyDescent="0.25">
      <c r="A410"/>
      <c r="B410"/>
      <c r="C410"/>
      <c r="D410"/>
    </row>
    <row r="411" spans="1:4" x14ac:dyDescent="0.25">
      <c r="A411"/>
      <c r="B411"/>
      <c r="C411"/>
      <c r="D411"/>
    </row>
    <row r="412" spans="1:4" x14ac:dyDescent="0.25">
      <c r="A412"/>
      <c r="B412"/>
      <c r="C412"/>
      <c r="D412"/>
    </row>
    <row r="413" spans="1:4" x14ac:dyDescent="0.25">
      <c r="A413"/>
      <c r="B413"/>
      <c r="C413"/>
      <c r="D413"/>
    </row>
    <row r="414" spans="1:4" x14ac:dyDescent="0.25">
      <c r="A414"/>
      <c r="B414"/>
      <c r="C414"/>
      <c r="D414"/>
    </row>
    <row r="415" spans="1:4" x14ac:dyDescent="0.25">
      <c r="A415"/>
      <c r="B415"/>
      <c r="C415"/>
      <c r="D415"/>
    </row>
    <row r="416" spans="1:4" x14ac:dyDescent="0.25">
      <c r="A416"/>
      <c r="B416"/>
      <c r="C416"/>
      <c r="D416"/>
    </row>
    <row r="417" spans="1:4" x14ac:dyDescent="0.25">
      <c r="A417"/>
      <c r="B417"/>
      <c r="C417"/>
      <c r="D417"/>
    </row>
    <row r="418" spans="1:4" x14ac:dyDescent="0.25">
      <c r="A418"/>
      <c r="B418"/>
      <c r="C418"/>
      <c r="D418"/>
    </row>
    <row r="419" spans="1:4" x14ac:dyDescent="0.25">
      <c r="A419"/>
      <c r="B419"/>
      <c r="C419"/>
      <c r="D419"/>
    </row>
    <row r="420" spans="1:4" x14ac:dyDescent="0.25">
      <c r="A420"/>
      <c r="B420"/>
      <c r="C420"/>
      <c r="D420"/>
    </row>
    <row r="421" spans="1:4" x14ac:dyDescent="0.25">
      <c r="A421"/>
      <c r="B421"/>
      <c r="C421"/>
      <c r="D421"/>
    </row>
    <row r="422" spans="1:4" x14ac:dyDescent="0.25">
      <c r="A422"/>
      <c r="B422"/>
      <c r="C422"/>
      <c r="D422"/>
    </row>
    <row r="423" spans="1:4" x14ac:dyDescent="0.25">
      <c r="A423"/>
      <c r="B423"/>
      <c r="C423"/>
      <c r="D423"/>
    </row>
    <row r="424" spans="1:4" x14ac:dyDescent="0.25">
      <c r="A424"/>
      <c r="B424"/>
      <c r="C424"/>
      <c r="D424"/>
    </row>
    <row r="425" spans="1:4" x14ac:dyDescent="0.25">
      <c r="A425"/>
      <c r="B425"/>
      <c r="C425"/>
      <c r="D425"/>
    </row>
    <row r="426" spans="1:4" x14ac:dyDescent="0.25">
      <c r="A426"/>
      <c r="B426"/>
      <c r="C426"/>
      <c r="D426"/>
    </row>
    <row r="427" spans="1:4" x14ac:dyDescent="0.25">
      <c r="A427"/>
      <c r="B427"/>
      <c r="C427"/>
      <c r="D427"/>
    </row>
    <row r="428" spans="1:4" x14ac:dyDescent="0.25">
      <c r="A428"/>
      <c r="B428"/>
      <c r="C428"/>
      <c r="D428"/>
    </row>
    <row r="429" spans="1:4" x14ac:dyDescent="0.25">
      <c r="A429"/>
      <c r="B429"/>
      <c r="C429"/>
      <c r="D429"/>
    </row>
    <row r="430" spans="1:4" x14ac:dyDescent="0.25">
      <c r="A430"/>
      <c r="B430"/>
      <c r="C430"/>
      <c r="D430"/>
    </row>
    <row r="431" spans="1:4" x14ac:dyDescent="0.25">
      <c r="A431"/>
      <c r="B431"/>
      <c r="C431"/>
      <c r="D431"/>
    </row>
    <row r="432" spans="1:4" x14ac:dyDescent="0.25">
      <c r="A432"/>
      <c r="B432"/>
      <c r="C432"/>
      <c r="D432"/>
    </row>
    <row r="433" spans="1:4" x14ac:dyDescent="0.25">
      <c r="A433"/>
      <c r="B433"/>
      <c r="C433"/>
      <c r="D433"/>
    </row>
    <row r="434" spans="1:4" x14ac:dyDescent="0.25">
      <c r="A434"/>
      <c r="B434"/>
      <c r="C434"/>
      <c r="D434"/>
    </row>
    <row r="435" spans="1:4" x14ac:dyDescent="0.25">
      <c r="A435"/>
      <c r="B435"/>
      <c r="C435"/>
      <c r="D435"/>
    </row>
    <row r="436" spans="1:4" x14ac:dyDescent="0.25">
      <c r="A436"/>
      <c r="B436"/>
      <c r="C436"/>
      <c r="D436"/>
    </row>
    <row r="437" spans="1:4" x14ac:dyDescent="0.25">
      <c r="A437"/>
      <c r="B437"/>
      <c r="C437"/>
      <c r="D437"/>
    </row>
    <row r="438" spans="1:4" x14ac:dyDescent="0.25">
      <c r="A438"/>
      <c r="B438"/>
      <c r="C438"/>
      <c r="D438"/>
    </row>
    <row r="439" spans="1:4" x14ac:dyDescent="0.25">
      <c r="A439"/>
      <c r="B439"/>
      <c r="C439"/>
      <c r="D439"/>
    </row>
    <row r="440" spans="1:4" x14ac:dyDescent="0.25">
      <c r="A440"/>
      <c r="B440"/>
      <c r="C440"/>
      <c r="D440"/>
    </row>
    <row r="441" spans="1:4" x14ac:dyDescent="0.25">
      <c r="A441"/>
      <c r="B441"/>
      <c r="C441"/>
      <c r="D441"/>
    </row>
    <row r="442" spans="1:4" x14ac:dyDescent="0.25">
      <c r="A442"/>
      <c r="B442"/>
      <c r="C442"/>
      <c r="D442"/>
    </row>
    <row r="443" spans="1:4" x14ac:dyDescent="0.25">
      <c r="A443"/>
      <c r="B443"/>
      <c r="C443"/>
      <c r="D443"/>
    </row>
    <row r="444" spans="1:4" x14ac:dyDescent="0.25">
      <c r="A444"/>
      <c r="B444"/>
      <c r="C444"/>
      <c r="D444"/>
    </row>
    <row r="445" spans="1:4" x14ac:dyDescent="0.25">
      <c r="A445"/>
      <c r="B445"/>
      <c r="C445"/>
      <c r="D445"/>
    </row>
    <row r="446" spans="1:4" x14ac:dyDescent="0.25">
      <c r="A446"/>
      <c r="B446"/>
      <c r="C446"/>
      <c r="D446"/>
    </row>
    <row r="447" spans="1:4" x14ac:dyDescent="0.25">
      <c r="A447"/>
      <c r="B447"/>
      <c r="C447"/>
      <c r="D447"/>
    </row>
    <row r="448" spans="1:4" x14ac:dyDescent="0.25">
      <c r="A448"/>
      <c r="B448"/>
      <c r="C448"/>
      <c r="D448"/>
    </row>
    <row r="449" spans="1:4" x14ac:dyDescent="0.25">
      <c r="A449"/>
      <c r="B449"/>
      <c r="C449"/>
      <c r="D449"/>
    </row>
    <row r="450" spans="1:4" x14ac:dyDescent="0.25">
      <c r="A450"/>
      <c r="B450"/>
      <c r="C450"/>
      <c r="D450"/>
    </row>
    <row r="451" spans="1:4" x14ac:dyDescent="0.25">
      <c r="A451"/>
      <c r="B451"/>
      <c r="C451"/>
      <c r="D451"/>
    </row>
    <row r="452" spans="1:4" x14ac:dyDescent="0.25">
      <c r="A452"/>
      <c r="B452"/>
      <c r="C452"/>
      <c r="D452"/>
    </row>
    <row r="453" spans="1:4" x14ac:dyDescent="0.25">
      <c r="A453"/>
      <c r="B453"/>
      <c r="C453"/>
      <c r="D453"/>
    </row>
    <row r="454" spans="1:4" x14ac:dyDescent="0.25">
      <c r="A454"/>
      <c r="B454"/>
      <c r="C454"/>
      <c r="D454"/>
    </row>
    <row r="455" spans="1:4" x14ac:dyDescent="0.25">
      <c r="A455"/>
      <c r="B455"/>
      <c r="C455"/>
      <c r="D455"/>
    </row>
    <row r="456" spans="1:4" x14ac:dyDescent="0.25">
      <c r="A456"/>
      <c r="B456"/>
      <c r="C456"/>
      <c r="D456"/>
    </row>
    <row r="457" spans="1:4" x14ac:dyDescent="0.25">
      <c r="A457"/>
      <c r="B457"/>
      <c r="C457"/>
      <c r="D457"/>
    </row>
    <row r="458" spans="1:4" x14ac:dyDescent="0.25">
      <c r="A458"/>
      <c r="B458"/>
      <c r="C458"/>
      <c r="D458"/>
    </row>
    <row r="459" spans="1:4" x14ac:dyDescent="0.25">
      <c r="A459"/>
      <c r="B459"/>
      <c r="C459"/>
      <c r="D459"/>
    </row>
    <row r="460" spans="1:4" x14ac:dyDescent="0.25">
      <c r="A460"/>
      <c r="B460"/>
      <c r="C460"/>
      <c r="D460"/>
    </row>
    <row r="461" spans="1:4" x14ac:dyDescent="0.25">
      <c r="A461"/>
      <c r="B461"/>
      <c r="C461"/>
      <c r="D461"/>
    </row>
    <row r="462" spans="1:4" x14ac:dyDescent="0.25">
      <c r="A462"/>
      <c r="B462"/>
      <c r="C462"/>
      <c r="D462"/>
    </row>
    <row r="463" spans="1:4" x14ac:dyDescent="0.25">
      <c r="A463"/>
      <c r="B463"/>
      <c r="C463"/>
      <c r="D463"/>
    </row>
    <row r="464" spans="1:4" x14ac:dyDescent="0.25">
      <c r="A464"/>
      <c r="B464"/>
      <c r="C464"/>
      <c r="D464"/>
    </row>
    <row r="465" spans="1:4" x14ac:dyDescent="0.25">
      <c r="A465"/>
      <c r="B465"/>
      <c r="C465"/>
      <c r="D465"/>
    </row>
    <row r="466" spans="1:4" x14ac:dyDescent="0.25">
      <c r="A466"/>
      <c r="B466"/>
      <c r="C466"/>
      <c r="D466"/>
    </row>
    <row r="467" spans="1:4" x14ac:dyDescent="0.25">
      <c r="A467"/>
      <c r="B467"/>
      <c r="C467"/>
      <c r="D467"/>
    </row>
    <row r="468" spans="1:4" x14ac:dyDescent="0.25">
      <c r="A468"/>
      <c r="B468"/>
      <c r="C468"/>
      <c r="D468"/>
    </row>
    <row r="469" spans="1:4" x14ac:dyDescent="0.25">
      <c r="A469"/>
      <c r="B469"/>
      <c r="C469"/>
      <c r="D469"/>
    </row>
    <row r="470" spans="1:4" x14ac:dyDescent="0.25">
      <c r="A470"/>
      <c r="B470"/>
      <c r="C470"/>
      <c r="D470"/>
    </row>
    <row r="471" spans="1:4" x14ac:dyDescent="0.25">
      <c r="A471"/>
      <c r="B471"/>
      <c r="C471"/>
      <c r="D471"/>
    </row>
    <row r="472" spans="1:4" x14ac:dyDescent="0.25">
      <c r="A472"/>
      <c r="B472"/>
      <c r="C472"/>
      <c r="D472"/>
    </row>
    <row r="473" spans="1:4" x14ac:dyDescent="0.25">
      <c r="A473"/>
      <c r="B473"/>
      <c r="C473"/>
      <c r="D473"/>
    </row>
    <row r="474" spans="1:4" x14ac:dyDescent="0.25">
      <c r="A474"/>
      <c r="B474"/>
      <c r="C474"/>
      <c r="D474"/>
    </row>
    <row r="475" spans="1:4" x14ac:dyDescent="0.25">
      <c r="A475"/>
      <c r="B475"/>
      <c r="C475"/>
      <c r="D475"/>
    </row>
    <row r="476" spans="1:4" x14ac:dyDescent="0.25">
      <c r="A476"/>
      <c r="B476"/>
      <c r="C476"/>
      <c r="D476"/>
    </row>
    <row r="477" spans="1:4" x14ac:dyDescent="0.25">
      <c r="A477"/>
      <c r="B477"/>
      <c r="C477"/>
      <c r="D477"/>
    </row>
    <row r="478" spans="1:4" x14ac:dyDescent="0.25">
      <c r="A478"/>
      <c r="B478"/>
      <c r="C478"/>
      <c r="D478"/>
    </row>
    <row r="479" spans="1:4" x14ac:dyDescent="0.25">
      <c r="A479"/>
      <c r="B479"/>
      <c r="C479"/>
      <c r="D479"/>
    </row>
    <row r="480" spans="1:4" x14ac:dyDescent="0.25">
      <c r="A480"/>
      <c r="B480"/>
      <c r="C480"/>
      <c r="D480"/>
    </row>
    <row r="481" spans="1:4" x14ac:dyDescent="0.25">
      <c r="A481"/>
      <c r="B481"/>
      <c r="C481"/>
      <c r="D481"/>
    </row>
    <row r="482" spans="1:4" x14ac:dyDescent="0.25">
      <c r="A482"/>
      <c r="B482"/>
      <c r="C482"/>
      <c r="D482"/>
    </row>
    <row r="483" spans="1:4" x14ac:dyDescent="0.25">
      <c r="A483"/>
      <c r="B483"/>
      <c r="C483"/>
      <c r="D483"/>
    </row>
    <row r="484" spans="1:4" x14ac:dyDescent="0.25">
      <c r="A484"/>
      <c r="B484"/>
      <c r="C484"/>
      <c r="D484"/>
    </row>
    <row r="485" spans="1:4" x14ac:dyDescent="0.25">
      <c r="A485"/>
      <c r="B485"/>
      <c r="C485"/>
      <c r="D485"/>
    </row>
    <row r="486" spans="1:4" x14ac:dyDescent="0.25">
      <c r="A486"/>
      <c r="B486"/>
      <c r="C486"/>
      <c r="D486"/>
    </row>
    <row r="487" spans="1:4" x14ac:dyDescent="0.25">
      <c r="A487"/>
      <c r="B487"/>
      <c r="C487"/>
      <c r="D487"/>
    </row>
    <row r="488" spans="1:4" x14ac:dyDescent="0.25">
      <c r="A488"/>
      <c r="B488"/>
      <c r="C488"/>
      <c r="D488"/>
    </row>
    <row r="489" spans="1:4" x14ac:dyDescent="0.25">
      <c r="A489"/>
      <c r="B489"/>
      <c r="C489"/>
      <c r="D489"/>
    </row>
    <row r="490" spans="1:4" x14ac:dyDescent="0.25">
      <c r="A490"/>
      <c r="B490"/>
      <c r="C490"/>
      <c r="D490"/>
    </row>
    <row r="491" spans="1:4" x14ac:dyDescent="0.25">
      <c r="A491"/>
      <c r="B491"/>
      <c r="C491"/>
      <c r="D491"/>
    </row>
    <row r="492" spans="1:4" x14ac:dyDescent="0.25">
      <c r="A492"/>
      <c r="B492"/>
      <c r="C492"/>
      <c r="D492"/>
    </row>
    <row r="493" spans="1:4" x14ac:dyDescent="0.25">
      <c r="A493"/>
      <c r="B493"/>
      <c r="C493"/>
      <c r="D493"/>
    </row>
    <row r="494" spans="1:4" x14ac:dyDescent="0.25">
      <c r="A494"/>
      <c r="B494"/>
      <c r="C494"/>
      <c r="D494"/>
    </row>
    <row r="495" spans="1:4" x14ac:dyDescent="0.25">
      <c r="A495"/>
      <c r="B495"/>
      <c r="C495"/>
      <c r="D495"/>
    </row>
    <row r="496" spans="1:4" x14ac:dyDescent="0.25">
      <c r="A496"/>
      <c r="B496"/>
      <c r="C496"/>
      <c r="D496"/>
    </row>
    <row r="497" spans="1:4" x14ac:dyDescent="0.25">
      <c r="A497"/>
      <c r="B497"/>
      <c r="C497"/>
      <c r="D497"/>
    </row>
    <row r="498" spans="1:4" x14ac:dyDescent="0.25">
      <c r="A498"/>
      <c r="B498"/>
      <c r="C498"/>
      <c r="D498"/>
    </row>
    <row r="499" spans="1:4" x14ac:dyDescent="0.25">
      <c r="A499"/>
      <c r="B499"/>
      <c r="C499"/>
      <c r="D499"/>
    </row>
    <row r="500" spans="1:4" x14ac:dyDescent="0.25">
      <c r="A500"/>
      <c r="B500"/>
      <c r="C500"/>
      <c r="D500"/>
    </row>
    <row r="501" spans="1:4" x14ac:dyDescent="0.25">
      <c r="A501"/>
      <c r="B501"/>
      <c r="C501"/>
      <c r="D501"/>
    </row>
    <row r="502" spans="1:4" x14ac:dyDescent="0.25">
      <c r="A502"/>
      <c r="B502"/>
      <c r="C502"/>
      <c r="D502"/>
    </row>
    <row r="503" spans="1:4" x14ac:dyDescent="0.25">
      <c r="A503"/>
      <c r="B503"/>
      <c r="C503"/>
      <c r="D503"/>
    </row>
    <row r="504" spans="1:4" x14ac:dyDescent="0.25">
      <c r="A504"/>
      <c r="B504"/>
      <c r="C504"/>
      <c r="D504"/>
    </row>
    <row r="505" spans="1:4" x14ac:dyDescent="0.25">
      <c r="A505"/>
      <c r="B505"/>
      <c r="C505"/>
      <c r="D505"/>
    </row>
    <row r="506" spans="1:4" x14ac:dyDescent="0.25">
      <c r="A506"/>
      <c r="B506"/>
      <c r="C506"/>
      <c r="D506"/>
    </row>
    <row r="507" spans="1:4" x14ac:dyDescent="0.25">
      <c r="A507"/>
      <c r="B507"/>
      <c r="C507"/>
      <c r="D507"/>
    </row>
    <row r="508" spans="1:4" x14ac:dyDescent="0.25">
      <c r="A508"/>
      <c r="B508"/>
      <c r="C508"/>
      <c r="D508"/>
    </row>
    <row r="509" spans="1:4" x14ac:dyDescent="0.25">
      <c r="A509"/>
      <c r="B509"/>
      <c r="C509"/>
      <c r="D509"/>
    </row>
    <row r="510" spans="1:4" x14ac:dyDescent="0.25">
      <c r="A510"/>
      <c r="B510"/>
      <c r="C510"/>
      <c r="D510"/>
    </row>
    <row r="511" spans="1:4" x14ac:dyDescent="0.25">
      <c r="A511"/>
      <c r="B511"/>
      <c r="C511"/>
      <c r="D511"/>
    </row>
    <row r="512" spans="1:4" x14ac:dyDescent="0.25">
      <c r="A512"/>
      <c r="B512"/>
      <c r="C512"/>
      <c r="D512"/>
    </row>
    <row r="513" spans="1:4" x14ac:dyDescent="0.25">
      <c r="A513"/>
      <c r="B513"/>
      <c r="C513"/>
      <c r="D513"/>
    </row>
    <row r="514" spans="1:4" x14ac:dyDescent="0.25">
      <c r="A514"/>
      <c r="B514"/>
      <c r="C514"/>
      <c r="D514"/>
    </row>
    <row r="515" spans="1:4" x14ac:dyDescent="0.25">
      <c r="A515"/>
      <c r="B515"/>
      <c r="C515"/>
      <c r="D515"/>
    </row>
    <row r="516" spans="1:4" x14ac:dyDescent="0.25">
      <c r="A516"/>
      <c r="B516"/>
      <c r="C516"/>
      <c r="D516"/>
    </row>
    <row r="517" spans="1:4" x14ac:dyDescent="0.25">
      <c r="A517"/>
      <c r="B517"/>
      <c r="C517"/>
      <c r="D517"/>
    </row>
    <row r="518" spans="1:4" x14ac:dyDescent="0.25">
      <c r="A518"/>
      <c r="B518"/>
      <c r="C518"/>
      <c r="D518"/>
    </row>
    <row r="519" spans="1:4" x14ac:dyDescent="0.25">
      <c r="A519"/>
      <c r="B519"/>
      <c r="C519"/>
      <c r="D519"/>
    </row>
    <row r="520" spans="1:4" x14ac:dyDescent="0.25">
      <c r="A520"/>
      <c r="B520"/>
      <c r="C520"/>
      <c r="D520"/>
    </row>
    <row r="521" spans="1:4" x14ac:dyDescent="0.25">
      <c r="A521"/>
      <c r="B521"/>
      <c r="C521"/>
      <c r="D521"/>
    </row>
    <row r="522" spans="1:4" x14ac:dyDescent="0.25">
      <c r="A522"/>
      <c r="B522"/>
      <c r="C522"/>
      <c r="D522"/>
    </row>
    <row r="523" spans="1:4" x14ac:dyDescent="0.25">
      <c r="A523"/>
      <c r="B523"/>
      <c r="C523"/>
      <c r="D523"/>
    </row>
    <row r="524" spans="1:4" x14ac:dyDescent="0.25">
      <c r="A524"/>
      <c r="B524"/>
      <c r="C524"/>
      <c r="D524"/>
    </row>
    <row r="525" spans="1:4" x14ac:dyDescent="0.25">
      <c r="A525"/>
      <c r="B525"/>
      <c r="C525"/>
      <c r="D525"/>
    </row>
    <row r="526" spans="1:4" x14ac:dyDescent="0.25">
      <c r="A526"/>
      <c r="B526"/>
      <c r="C526"/>
      <c r="D526"/>
    </row>
    <row r="527" spans="1:4" x14ac:dyDescent="0.25">
      <c r="A527"/>
      <c r="B527"/>
      <c r="C527"/>
      <c r="D527"/>
    </row>
    <row r="528" spans="1:4" x14ac:dyDescent="0.25">
      <c r="A528"/>
      <c r="B528"/>
      <c r="C528"/>
      <c r="D528"/>
    </row>
    <row r="529" spans="1:4" x14ac:dyDescent="0.25">
      <c r="A529"/>
      <c r="B529"/>
      <c r="C529"/>
      <c r="D529"/>
    </row>
    <row r="530" spans="1:4" x14ac:dyDescent="0.25">
      <c r="A530"/>
      <c r="B530"/>
      <c r="C530"/>
      <c r="D530"/>
    </row>
    <row r="531" spans="1:4" x14ac:dyDescent="0.25">
      <c r="A531"/>
      <c r="B531"/>
      <c r="C531"/>
      <c r="D531"/>
    </row>
    <row r="532" spans="1:4" x14ac:dyDescent="0.25">
      <c r="A532"/>
      <c r="B532"/>
      <c r="C532"/>
      <c r="D532"/>
    </row>
    <row r="533" spans="1:4" x14ac:dyDescent="0.25">
      <c r="A533"/>
      <c r="B533"/>
      <c r="C533"/>
      <c r="D533"/>
    </row>
    <row r="534" spans="1:4" x14ac:dyDescent="0.25">
      <c r="A534"/>
      <c r="B534"/>
      <c r="C534"/>
      <c r="D534"/>
    </row>
    <row r="535" spans="1:4" x14ac:dyDescent="0.25">
      <c r="A535"/>
      <c r="B535"/>
      <c r="C535"/>
      <c r="D535"/>
    </row>
    <row r="536" spans="1:4" x14ac:dyDescent="0.25">
      <c r="A536"/>
      <c r="B536"/>
      <c r="C536"/>
      <c r="D536"/>
    </row>
    <row r="537" spans="1:4" x14ac:dyDescent="0.25">
      <c r="A537"/>
      <c r="B537"/>
      <c r="C537"/>
      <c r="D537"/>
    </row>
    <row r="538" spans="1:4" x14ac:dyDescent="0.25">
      <c r="A538"/>
      <c r="B538"/>
      <c r="C538"/>
      <c r="D538"/>
    </row>
    <row r="539" spans="1:4" x14ac:dyDescent="0.25">
      <c r="A539"/>
      <c r="B539"/>
      <c r="C539"/>
      <c r="D539"/>
    </row>
    <row r="540" spans="1:4" x14ac:dyDescent="0.25">
      <c r="A540"/>
      <c r="B540"/>
      <c r="C540"/>
      <c r="D540"/>
    </row>
    <row r="541" spans="1:4" x14ac:dyDescent="0.25">
      <c r="A541"/>
      <c r="B541"/>
      <c r="C541"/>
      <c r="D541"/>
    </row>
    <row r="542" spans="1:4" x14ac:dyDescent="0.25">
      <c r="A542"/>
      <c r="B542"/>
      <c r="C542"/>
      <c r="D542"/>
    </row>
    <row r="543" spans="1:4" x14ac:dyDescent="0.25">
      <c r="A543"/>
      <c r="B543"/>
      <c r="C543"/>
      <c r="D543"/>
    </row>
    <row r="544" spans="1:4" x14ac:dyDescent="0.25">
      <c r="A544"/>
      <c r="B544"/>
      <c r="C544"/>
      <c r="D544"/>
    </row>
    <row r="545" spans="1:4" x14ac:dyDescent="0.25">
      <c r="A545"/>
      <c r="B545"/>
      <c r="C545"/>
      <c r="D545"/>
    </row>
    <row r="546" spans="1:4" x14ac:dyDescent="0.25">
      <c r="A546"/>
      <c r="B546"/>
      <c r="C546"/>
      <c r="D546"/>
    </row>
    <row r="547" spans="1:4" x14ac:dyDescent="0.25">
      <c r="A547"/>
      <c r="B547"/>
      <c r="C547"/>
      <c r="D547"/>
    </row>
    <row r="548" spans="1:4" x14ac:dyDescent="0.25">
      <c r="A548"/>
      <c r="B548"/>
      <c r="C548"/>
      <c r="D548"/>
    </row>
    <row r="549" spans="1:4" x14ac:dyDescent="0.25">
      <c r="A549"/>
      <c r="B549"/>
      <c r="C549"/>
      <c r="D549"/>
    </row>
    <row r="550" spans="1:4" x14ac:dyDescent="0.25">
      <c r="A550"/>
      <c r="B550"/>
      <c r="C550"/>
      <c r="D550"/>
    </row>
    <row r="551" spans="1:4" x14ac:dyDescent="0.25">
      <c r="A551"/>
      <c r="B551"/>
      <c r="C551"/>
      <c r="D551"/>
    </row>
    <row r="552" spans="1:4" x14ac:dyDescent="0.25">
      <c r="A552"/>
      <c r="B552"/>
      <c r="C552"/>
      <c r="D552"/>
    </row>
    <row r="553" spans="1:4" x14ac:dyDescent="0.25">
      <c r="A553"/>
      <c r="B553"/>
      <c r="C553"/>
      <c r="D553"/>
    </row>
    <row r="554" spans="1:4" x14ac:dyDescent="0.25">
      <c r="A554"/>
      <c r="B554"/>
      <c r="C554"/>
      <c r="D554"/>
    </row>
    <row r="555" spans="1:4" x14ac:dyDescent="0.25">
      <c r="A555"/>
      <c r="B555"/>
      <c r="C555"/>
      <c r="D555"/>
    </row>
    <row r="556" spans="1:4" x14ac:dyDescent="0.25">
      <c r="A556"/>
      <c r="B556"/>
      <c r="C556"/>
      <c r="D556"/>
    </row>
    <row r="557" spans="1:4" x14ac:dyDescent="0.25">
      <c r="A557"/>
      <c r="B557"/>
      <c r="C557"/>
      <c r="D557"/>
    </row>
    <row r="558" spans="1:4" x14ac:dyDescent="0.25">
      <c r="A558"/>
      <c r="B558"/>
      <c r="C558"/>
      <c r="D558"/>
    </row>
    <row r="559" spans="1:4" x14ac:dyDescent="0.25">
      <c r="A559"/>
      <c r="B559"/>
      <c r="C559"/>
      <c r="D559"/>
    </row>
    <row r="560" spans="1:4" x14ac:dyDescent="0.25">
      <c r="A560"/>
      <c r="B560"/>
      <c r="C560"/>
      <c r="D560"/>
    </row>
    <row r="561" spans="1:4" x14ac:dyDescent="0.25">
      <c r="A561"/>
      <c r="B561"/>
      <c r="C561"/>
      <c r="D561"/>
    </row>
    <row r="562" spans="1:4" x14ac:dyDescent="0.25">
      <c r="A562"/>
      <c r="B562"/>
      <c r="C562"/>
      <c r="D562"/>
    </row>
    <row r="563" spans="1:4" x14ac:dyDescent="0.25">
      <c r="A563"/>
      <c r="B563"/>
      <c r="C563"/>
      <c r="D563"/>
    </row>
    <row r="564" spans="1:4" x14ac:dyDescent="0.25">
      <c r="A564"/>
      <c r="B564"/>
      <c r="C564"/>
      <c r="D564"/>
    </row>
    <row r="565" spans="1:4" x14ac:dyDescent="0.25">
      <c r="A565"/>
      <c r="B565"/>
      <c r="C565"/>
      <c r="D565"/>
    </row>
    <row r="566" spans="1:4" x14ac:dyDescent="0.25">
      <c r="A566"/>
      <c r="B566"/>
      <c r="C566"/>
      <c r="D566"/>
    </row>
    <row r="567" spans="1:4" x14ac:dyDescent="0.25">
      <c r="A567"/>
      <c r="B567"/>
      <c r="C567"/>
      <c r="D567"/>
    </row>
    <row r="568" spans="1:4" x14ac:dyDescent="0.25">
      <c r="A568"/>
      <c r="B568"/>
      <c r="C568"/>
      <c r="D568"/>
    </row>
    <row r="569" spans="1:4" x14ac:dyDescent="0.25">
      <c r="A569"/>
      <c r="B569"/>
      <c r="C569"/>
      <c r="D569"/>
    </row>
    <row r="570" spans="1:4" x14ac:dyDescent="0.25">
      <c r="A570"/>
      <c r="B570"/>
      <c r="C570"/>
      <c r="D570"/>
    </row>
    <row r="571" spans="1:4" x14ac:dyDescent="0.25">
      <c r="A571"/>
      <c r="B571"/>
      <c r="C571"/>
      <c r="D571"/>
    </row>
    <row r="572" spans="1:4" x14ac:dyDescent="0.25">
      <c r="A572"/>
      <c r="B572"/>
      <c r="C572"/>
      <c r="D572"/>
    </row>
    <row r="573" spans="1:4" x14ac:dyDescent="0.25">
      <c r="A573"/>
      <c r="B573"/>
      <c r="C573"/>
      <c r="D573"/>
    </row>
    <row r="574" spans="1:4" x14ac:dyDescent="0.25">
      <c r="A574"/>
      <c r="B574"/>
      <c r="C574"/>
      <c r="D574"/>
    </row>
    <row r="575" spans="1:4" x14ac:dyDescent="0.25">
      <c r="A575"/>
      <c r="B575"/>
      <c r="C575"/>
      <c r="D575"/>
    </row>
    <row r="576" spans="1:4" x14ac:dyDescent="0.25">
      <c r="A576"/>
      <c r="B576"/>
      <c r="C576"/>
      <c r="D576"/>
    </row>
    <row r="577" spans="1:4" x14ac:dyDescent="0.25">
      <c r="A577"/>
      <c r="B577"/>
      <c r="C577"/>
      <c r="D577"/>
    </row>
    <row r="578" spans="1:4" x14ac:dyDescent="0.25">
      <c r="A578"/>
      <c r="B578"/>
      <c r="C578"/>
      <c r="D578"/>
    </row>
    <row r="579" spans="1:4" x14ac:dyDescent="0.25">
      <c r="A579"/>
      <c r="B579"/>
      <c r="C579"/>
      <c r="D579"/>
    </row>
    <row r="580" spans="1:4" x14ac:dyDescent="0.25">
      <c r="A580"/>
      <c r="B580"/>
      <c r="C580"/>
      <c r="D580"/>
    </row>
    <row r="581" spans="1:4" x14ac:dyDescent="0.25">
      <c r="A581"/>
      <c r="B581"/>
      <c r="C581"/>
      <c r="D581"/>
    </row>
    <row r="582" spans="1:4" x14ac:dyDescent="0.25">
      <c r="A582"/>
      <c r="B582"/>
      <c r="C582"/>
      <c r="D582"/>
    </row>
    <row r="583" spans="1:4" x14ac:dyDescent="0.25">
      <c r="A583"/>
      <c r="B583"/>
      <c r="C583"/>
      <c r="D583"/>
    </row>
    <row r="584" spans="1:4" x14ac:dyDescent="0.25">
      <c r="A584"/>
      <c r="B584"/>
      <c r="C584"/>
      <c r="D584"/>
    </row>
    <row r="585" spans="1:4" x14ac:dyDescent="0.25">
      <c r="A585"/>
      <c r="B585"/>
      <c r="C585"/>
      <c r="D585"/>
    </row>
    <row r="586" spans="1:4" x14ac:dyDescent="0.25">
      <c r="A586"/>
      <c r="B586"/>
      <c r="C586"/>
      <c r="D586"/>
    </row>
    <row r="587" spans="1:4" x14ac:dyDescent="0.25">
      <c r="A587"/>
      <c r="B587"/>
      <c r="C587"/>
      <c r="D587"/>
    </row>
    <row r="588" spans="1:4" x14ac:dyDescent="0.25">
      <c r="A588"/>
      <c r="B588"/>
      <c r="C588"/>
      <c r="D588"/>
    </row>
    <row r="589" spans="1:4" x14ac:dyDescent="0.25">
      <c r="A589"/>
      <c r="B589"/>
      <c r="C589"/>
      <c r="D589"/>
    </row>
    <row r="590" spans="1:4" x14ac:dyDescent="0.25">
      <c r="A590"/>
      <c r="B590"/>
      <c r="C590"/>
      <c r="D590"/>
    </row>
    <row r="591" spans="1:4" x14ac:dyDescent="0.25">
      <c r="A591"/>
      <c r="B591"/>
      <c r="C591"/>
      <c r="D591"/>
    </row>
    <row r="592" spans="1:4" x14ac:dyDescent="0.25">
      <c r="A592"/>
      <c r="B592"/>
      <c r="C592"/>
      <c r="D592"/>
    </row>
    <row r="593" spans="1:4" x14ac:dyDescent="0.25">
      <c r="A593"/>
      <c r="B593"/>
      <c r="C593"/>
      <c r="D593"/>
    </row>
    <row r="594" spans="1:4" x14ac:dyDescent="0.25">
      <c r="A594"/>
      <c r="B594"/>
      <c r="C594"/>
      <c r="D594"/>
    </row>
    <row r="595" spans="1:4" x14ac:dyDescent="0.25">
      <c r="A595"/>
      <c r="B595"/>
      <c r="C595"/>
      <c r="D595"/>
    </row>
    <row r="596" spans="1:4" x14ac:dyDescent="0.25">
      <c r="A596"/>
      <c r="B596"/>
      <c r="C596"/>
      <c r="D596"/>
    </row>
    <row r="597" spans="1:4" x14ac:dyDescent="0.25">
      <c r="A597"/>
      <c r="B597"/>
      <c r="C597"/>
      <c r="D597"/>
    </row>
    <row r="598" spans="1:4" x14ac:dyDescent="0.25">
      <c r="A598"/>
      <c r="B598"/>
      <c r="C598"/>
      <c r="D598"/>
    </row>
    <row r="599" spans="1:4" x14ac:dyDescent="0.25">
      <c r="A599"/>
      <c r="B599"/>
      <c r="C599"/>
      <c r="D599"/>
    </row>
    <row r="600" spans="1:4" x14ac:dyDescent="0.25">
      <c r="A600"/>
      <c r="B600"/>
      <c r="C600"/>
      <c r="D600"/>
    </row>
    <row r="601" spans="1:4" x14ac:dyDescent="0.25">
      <c r="A601"/>
      <c r="B601"/>
      <c r="C601"/>
      <c r="D601"/>
    </row>
    <row r="602" spans="1:4" x14ac:dyDescent="0.25">
      <c r="A602"/>
      <c r="B602"/>
      <c r="C602"/>
      <c r="D602"/>
    </row>
    <row r="603" spans="1:4" x14ac:dyDescent="0.25">
      <c r="A603"/>
      <c r="B603"/>
      <c r="C603"/>
      <c r="D603"/>
    </row>
    <row r="604" spans="1:4" x14ac:dyDescent="0.25">
      <c r="A604"/>
      <c r="B604"/>
      <c r="C604"/>
      <c r="D604"/>
    </row>
    <row r="605" spans="1:4" x14ac:dyDescent="0.25">
      <c r="A605"/>
      <c r="B605"/>
      <c r="C605"/>
      <c r="D605"/>
    </row>
    <row r="606" spans="1:4" x14ac:dyDescent="0.25">
      <c r="A606"/>
      <c r="B606"/>
      <c r="C606"/>
      <c r="D606"/>
    </row>
    <row r="607" spans="1:4" x14ac:dyDescent="0.25">
      <c r="A607"/>
      <c r="B607"/>
      <c r="C607"/>
      <c r="D607"/>
    </row>
    <row r="608" spans="1:4" x14ac:dyDescent="0.25">
      <c r="A608"/>
      <c r="B608"/>
      <c r="C608"/>
      <c r="D608"/>
    </row>
    <row r="609" spans="1:4" x14ac:dyDescent="0.25">
      <c r="A609"/>
      <c r="B609"/>
      <c r="C609"/>
      <c r="D609"/>
    </row>
    <row r="610" spans="1:4" x14ac:dyDescent="0.25">
      <c r="A610"/>
      <c r="B610"/>
      <c r="C610"/>
      <c r="D610"/>
    </row>
    <row r="611" spans="1:4" x14ac:dyDescent="0.25">
      <c r="A611"/>
      <c r="B611"/>
      <c r="C611"/>
      <c r="D611"/>
    </row>
    <row r="612" spans="1:4" x14ac:dyDescent="0.25">
      <c r="A612"/>
      <c r="B612"/>
      <c r="C612"/>
      <c r="D612"/>
    </row>
    <row r="613" spans="1:4" x14ac:dyDescent="0.25">
      <c r="A613"/>
      <c r="B613"/>
      <c r="C613"/>
      <c r="D613"/>
    </row>
    <row r="614" spans="1:4" x14ac:dyDescent="0.25">
      <c r="A614"/>
      <c r="B614"/>
      <c r="C614"/>
      <c r="D614"/>
    </row>
    <row r="615" spans="1:4" x14ac:dyDescent="0.25">
      <c r="A615"/>
      <c r="B615"/>
      <c r="C615"/>
      <c r="D615"/>
    </row>
    <row r="616" spans="1:4" x14ac:dyDescent="0.25">
      <c r="A616"/>
      <c r="B616"/>
      <c r="C616"/>
      <c r="D616"/>
    </row>
    <row r="617" spans="1:4" x14ac:dyDescent="0.25">
      <c r="A617"/>
      <c r="B617"/>
      <c r="C617"/>
      <c r="D617"/>
    </row>
    <row r="618" spans="1:4" x14ac:dyDescent="0.25">
      <c r="A618"/>
      <c r="B618"/>
      <c r="C618"/>
      <c r="D618"/>
    </row>
    <row r="619" spans="1:4" x14ac:dyDescent="0.25">
      <c r="A619"/>
      <c r="B619"/>
      <c r="C619"/>
      <c r="D619"/>
    </row>
    <row r="620" spans="1:4" x14ac:dyDescent="0.25">
      <c r="A620"/>
      <c r="B620"/>
      <c r="C620"/>
      <c r="D620"/>
    </row>
    <row r="621" spans="1:4" x14ac:dyDescent="0.25">
      <c r="A621"/>
      <c r="B621"/>
      <c r="C621"/>
      <c r="D621"/>
    </row>
    <row r="622" spans="1:4" x14ac:dyDescent="0.25">
      <c r="A622"/>
      <c r="B622"/>
      <c r="C622"/>
      <c r="D622"/>
    </row>
    <row r="623" spans="1:4" x14ac:dyDescent="0.25">
      <c r="A623"/>
      <c r="B623"/>
      <c r="C623"/>
      <c r="D623"/>
    </row>
    <row r="624" spans="1:4" x14ac:dyDescent="0.25">
      <c r="A624"/>
      <c r="B624"/>
      <c r="C624"/>
      <c r="D624"/>
    </row>
    <row r="625" spans="1:4" x14ac:dyDescent="0.25">
      <c r="A625"/>
      <c r="B625"/>
      <c r="C625"/>
      <c r="D625"/>
    </row>
    <row r="626" spans="1:4" x14ac:dyDescent="0.25">
      <c r="A626"/>
      <c r="B626"/>
      <c r="C626"/>
      <c r="D626"/>
    </row>
    <row r="627" spans="1:4" x14ac:dyDescent="0.25">
      <c r="A627"/>
      <c r="B627"/>
      <c r="C627"/>
      <c r="D627"/>
    </row>
    <row r="628" spans="1:4" x14ac:dyDescent="0.25">
      <c r="A628"/>
      <c r="B628"/>
      <c r="C628"/>
      <c r="D628"/>
    </row>
    <row r="629" spans="1:4" x14ac:dyDescent="0.25">
      <c r="A629"/>
      <c r="B629"/>
      <c r="C629"/>
      <c r="D629"/>
    </row>
    <row r="630" spans="1:4" x14ac:dyDescent="0.25">
      <c r="A630"/>
      <c r="B630"/>
      <c r="C630"/>
      <c r="D630"/>
    </row>
    <row r="631" spans="1:4" x14ac:dyDescent="0.25">
      <c r="A631"/>
      <c r="B631"/>
      <c r="C631"/>
      <c r="D631"/>
    </row>
    <row r="632" spans="1:4" x14ac:dyDescent="0.25">
      <c r="A632"/>
      <c r="B632"/>
      <c r="C632"/>
      <c r="D632"/>
    </row>
    <row r="633" spans="1:4" x14ac:dyDescent="0.25">
      <c r="A633"/>
      <c r="B633"/>
      <c r="C633"/>
      <c r="D633"/>
    </row>
    <row r="634" spans="1:4" x14ac:dyDescent="0.25">
      <c r="A634"/>
      <c r="B634"/>
      <c r="C634"/>
      <c r="D634"/>
    </row>
    <row r="635" spans="1:4" x14ac:dyDescent="0.25">
      <c r="A635"/>
      <c r="B635"/>
      <c r="C635"/>
      <c r="D635"/>
    </row>
    <row r="636" spans="1:4" x14ac:dyDescent="0.25">
      <c r="A636"/>
      <c r="B636"/>
      <c r="C636"/>
      <c r="D636"/>
    </row>
    <row r="637" spans="1:4" x14ac:dyDescent="0.25">
      <c r="A637"/>
      <c r="B637"/>
      <c r="C637"/>
      <c r="D637"/>
    </row>
    <row r="638" spans="1:4" x14ac:dyDescent="0.25">
      <c r="A638"/>
      <c r="B638"/>
      <c r="C638"/>
      <c r="D638"/>
    </row>
    <row r="639" spans="1:4" x14ac:dyDescent="0.25">
      <c r="A639"/>
      <c r="B639"/>
      <c r="C639"/>
      <c r="D639"/>
    </row>
    <row r="640" spans="1:4" x14ac:dyDescent="0.25">
      <c r="A640"/>
      <c r="B640"/>
      <c r="C640"/>
      <c r="D640"/>
    </row>
    <row r="641" spans="1:4" x14ac:dyDescent="0.25">
      <c r="A641"/>
      <c r="B641"/>
      <c r="C641"/>
      <c r="D641"/>
    </row>
    <row r="642" spans="1:4" x14ac:dyDescent="0.25">
      <c r="A642"/>
      <c r="B642"/>
      <c r="C642"/>
      <c r="D642"/>
    </row>
    <row r="643" spans="1:4" x14ac:dyDescent="0.25">
      <c r="A643"/>
      <c r="B643"/>
      <c r="C643"/>
      <c r="D643"/>
    </row>
    <row r="644" spans="1:4" x14ac:dyDescent="0.25">
      <c r="A644"/>
      <c r="B644"/>
      <c r="C644"/>
      <c r="D644"/>
    </row>
    <row r="645" spans="1:4" x14ac:dyDescent="0.25">
      <c r="A645"/>
      <c r="B645"/>
      <c r="C645"/>
      <c r="D645"/>
    </row>
    <row r="646" spans="1:4" x14ac:dyDescent="0.25">
      <c r="A646"/>
      <c r="B646"/>
      <c r="C646"/>
      <c r="D646"/>
    </row>
    <row r="647" spans="1:4" x14ac:dyDescent="0.25">
      <c r="A647"/>
      <c r="B647"/>
      <c r="C647"/>
      <c r="D647"/>
    </row>
    <row r="648" spans="1:4" x14ac:dyDescent="0.25">
      <c r="A648"/>
      <c r="B648"/>
      <c r="C648"/>
      <c r="D648"/>
    </row>
    <row r="649" spans="1:4" x14ac:dyDescent="0.25">
      <c r="A649"/>
      <c r="B649"/>
      <c r="C649"/>
      <c r="D649"/>
    </row>
    <row r="650" spans="1:4" x14ac:dyDescent="0.25">
      <c r="A650"/>
      <c r="B650"/>
      <c r="C650"/>
      <c r="D650"/>
    </row>
    <row r="651" spans="1:4" x14ac:dyDescent="0.25">
      <c r="A651"/>
      <c r="B651"/>
      <c r="C651"/>
      <c r="D651"/>
    </row>
    <row r="652" spans="1:4" x14ac:dyDescent="0.25">
      <c r="A652"/>
      <c r="B652"/>
      <c r="C652"/>
      <c r="D652"/>
    </row>
    <row r="653" spans="1:4" x14ac:dyDescent="0.25">
      <c r="A653"/>
      <c r="B653"/>
      <c r="C653"/>
      <c r="D653"/>
    </row>
    <row r="654" spans="1:4" x14ac:dyDescent="0.25">
      <c r="A654"/>
      <c r="B654"/>
      <c r="C654"/>
      <c r="D654"/>
    </row>
    <row r="655" spans="1:4" x14ac:dyDescent="0.25">
      <c r="A655"/>
      <c r="B655"/>
      <c r="C655"/>
      <c r="D655"/>
    </row>
    <row r="656" spans="1:4" x14ac:dyDescent="0.25">
      <c r="A656"/>
      <c r="B656"/>
      <c r="C656"/>
      <c r="D656"/>
    </row>
    <row r="657" spans="1:4" x14ac:dyDescent="0.25">
      <c r="A657"/>
      <c r="B657"/>
      <c r="C657"/>
      <c r="D657"/>
    </row>
    <row r="658" spans="1:4" x14ac:dyDescent="0.25">
      <c r="A658"/>
      <c r="B658"/>
      <c r="C658"/>
      <c r="D658"/>
    </row>
    <row r="659" spans="1:4" x14ac:dyDescent="0.25">
      <c r="A659"/>
      <c r="B659"/>
      <c r="C659"/>
      <c r="D659"/>
    </row>
    <row r="660" spans="1:4" x14ac:dyDescent="0.25">
      <c r="A660"/>
      <c r="B660"/>
      <c r="C660"/>
      <c r="D660"/>
    </row>
    <row r="661" spans="1:4" x14ac:dyDescent="0.25">
      <c r="A661"/>
      <c r="B661"/>
      <c r="C661"/>
      <c r="D661"/>
    </row>
    <row r="662" spans="1:4" x14ac:dyDescent="0.25">
      <c r="A662"/>
      <c r="B662"/>
      <c r="C662"/>
      <c r="D662"/>
    </row>
    <row r="663" spans="1:4" x14ac:dyDescent="0.25">
      <c r="A663"/>
      <c r="B663"/>
      <c r="C663"/>
      <c r="D663"/>
    </row>
    <row r="664" spans="1:4" x14ac:dyDescent="0.25">
      <c r="A664"/>
      <c r="B664"/>
      <c r="C664"/>
      <c r="D664"/>
    </row>
    <row r="665" spans="1:4" x14ac:dyDescent="0.25">
      <c r="A665"/>
      <c r="B665"/>
      <c r="C665"/>
      <c r="D665"/>
    </row>
    <row r="666" spans="1:4" x14ac:dyDescent="0.25">
      <c r="A666"/>
      <c r="B666"/>
      <c r="C666"/>
      <c r="D666"/>
    </row>
    <row r="667" spans="1:4" x14ac:dyDescent="0.25">
      <c r="A667"/>
      <c r="B667"/>
      <c r="C667"/>
      <c r="D667"/>
    </row>
    <row r="668" spans="1:4" x14ac:dyDescent="0.25">
      <c r="A668"/>
      <c r="B668"/>
      <c r="C668"/>
      <c r="D668"/>
    </row>
    <row r="669" spans="1:4" x14ac:dyDescent="0.25">
      <c r="A669"/>
      <c r="B669"/>
      <c r="C669"/>
      <c r="D669"/>
    </row>
    <row r="670" spans="1:4" x14ac:dyDescent="0.25">
      <c r="A670"/>
      <c r="B670"/>
      <c r="C670"/>
      <c r="D670"/>
    </row>
    <row r="671" spans="1:4" x14ac:dyDescent="0.25">
      <c r="A671"/>
      <c r="B671"/>
      <c r="C671"/>
      <c r="D671"/>
    </row>
    <row r="672" spans="1:4" x14ac:dyDescent="0.25">
      <c r="A672"/>
      <c r="B672"/>
      <c r="C672"/>
      <c r="D672"/>
    </row>
    <row r="673" spans="1:4" x14ac:dyDescent="0.25">
      <c r="A673"/>
      <c r="B673"/>
      <c r="C673"/>
      <c r="D673"/>
    </row>
    <row r="674" spans="1:4" x14ac:dyDescent="0.25">
      <c r="A674"/>
      <c r="B674"/>
      <c r="C674"/>
      <c r="D674"/>
    </row>
    <row r="675" spans="1:4" x14ac:dyDescent="0.25">
      <c r="A675"/>
      <c r="B675"/>
      <c r="C675"/>
      <c r="D675"/>
    </row>
    <row r="676" spans="1:4" x14ac:dyDescent="0.25">
      <c r="A676"/>
      <c r="B676"/>
      <c r="C676"/>
      <c r="D676"/>
    </row>
    <row r="677" spans="1:4" x14ac:dyDescent="0.25">
      <c r="A677"/>
      <c r="B677"/>
      <c r="C677"/>
      <c r="D677"/>
    </row>
    <row r="678" spans="1:4" x14ac:dyDescent="0.25">
      <c r="A678"/>
      <c r="B678"/>
      <c r="C678"/>
      <c r="D678"/>
    </row>
    <row r="679" spans="1:4" x14ac:dyDescent="0.25">
      <c r="A679"/>
      <c r="B679"/>
      <c r="C679"/>
      <c r="D679"/>
    </row>
    <row r="680" spans="1:4" x14ac:dyDescent="0.25">
      <c r="A680"/>
      <c r="B680"/>
      <c r="C680"/>
      <c r="D680"/>
    </row>
    <row r="681" spans="1:4" x14ac:dyDescent="0.25">
      <c r="A681"/>
      <c r="B681"/>
      <c r="C681"/>
      <c r="D681"/>
    </row>
    <row r="682" spans="1:4" x14ac:dyDescent="0.25">
      <c r="A682"/>
      <c r="B682"/>
      <c r="C682"/>
      <c r="D682"/>
    </row>
    <row r="683" spans="1:4" x14ac:dyDescent="0.25">
      <c r="A683"/>
      <c r="B683"/>
      <c r="C683"/>
      <c r="D683"/>
    </row>
    <row r="684" spans="1:4" x14ac:dyDescent="0.25">
      <c r="A684"/>
      <c r="B684"/>
      <c r="C684"/>
      <c r="D684"/>
    </row>
    <row r="685" spans="1:4" x14ac:dyDescent="0.25">
      <c r="A685"/>
      <c r="B685"/>
      <c r="C685"/>
      <c r="D685"/>
    </row>
    <row r="686" spans="1:4" x14ac:dyDescent="0.25">
      <c r="A686"/>
      <c r="B686"/>
      <c r="C686"/>
      <c r="D686"/>
    </row>
    <row r="687" spans="1:4" x14ac:dyDescent="0.25">
      <c r="A687"/>
      <c r="B687"/>
      <c r="C687"/>
      <c r="D687"/>
    </row>
    <row r="688" spans="1:4" x14ac:dyDescent="0.25">
      <c r="A688"/>
      <c r="B688"/>
      <c r="C688"/>
      <c r="D688"/>
    </row>
    <row r="689" spans="1:4" x14ac:dyDescent="0.25">
      <c r="A689"/>
      <c r="B689"/>
      <c r="C689"/>
      <c r="D689"/>
    </row>
    <row r="690" spans="1:4" x14ac:dyDescent="0.25">
      <c r="A690"/>
      <c r="B690"/>
      <c r="C690"/>
      <c r="D690"/>
    </row>
    <row r="691" spans="1:4" x14ac:dyDescent="0.25">
      <c r="A691"/>
      <c r="B691"/>
      <c r="C691"/>
      <c r="D691"/>
    </row>
    <row r="692" spans="1:4" x14ac:dyDescent="0.25">
      <c r="A692"/>
      <c r="B692"/>
      <c r="C692"/>
      <c r="D692"/>
    </row>
    <row r="693" spans="1:4" x14ac:dyDescent="0.25">
      <c r="A693"/>
      <c r="B693"/>
      <c r="C693"/>
      <c r="D693"/>
    </row>
    <row r="694" spans="1:4" x14ac:dyDescent="0.25">
      <c r="A694"/>
      <c r="B694"/>
      <c r="C694"/>
      <c r="D694"/>
    </row>
    <row r="695" spans="1:4" x14ac:dyDescent="0.25">
      <c r="A695"/>
      <c r="B695"/>
      <c r="C695"/>
      <c r="D695"/>
    </row>
    <row r="696" spans="1:4" x14ac:dyDescent="0.25">
      <c r="A696"/>
      <c r="B696"/>
      <c r="C696"/>
      <c r="D696"/>
    </row>
    <row r="697" spans="1:4" x14ac:dyDescent="0.25">
      <c r="A697"/>
      <c r="B697"/>
      <c r="C697"/>
      <c r="D697"/>
    </row>
    <row r="698" spans="1:4" x14ac:dyDescent="0.25">
      <c r="A698"/>
      <c r="B698"/>
      <c r="C698"/>
      <c r="D698"/>
    </row>
    <row r="699" spans="1:4" x14ac:dyDescent="0.25">
      <c r="A699"/>
      <c r="B699"/>
      <c r="C699"/>
      <c r="D699"/>
    </row>
    <row r="700" spans="1:4" x14ac:dyDescent="0.25">
      <c r="A700"/>
      <c r="B700"/>
      <c r="C700"/>
      <c r="D700"/>
    </row>
    <row r="701" spans="1:4" x14ac:dyDescent="0.25">
      <c r="A701"/>
      <c r="B701"/>
      <c r="C701"/>
      <c r="D701"/>
    </row>
    <row r="702" spans="1:4" x14ac:dyDescent="0.25">
      <c r="A702"/>
      <c r="B702"/>
      <c r="C702"/>
      <c r="D702"/>
    </row>
    <row r="703" spans="1:4" x14ac:dyDescent="0.25">
      <c r="A703"/>
      <c r="B703"/>
      <c r="C703"/>
      <c r="D703"/>
    </row>
    <row r="704" spans="1:4" x14ac:dyDescent="0.25">
      <c r="A704"/>
      <c r="B704"/>
      <c r="C704"/>
      <c r="D704"/>
    </row>
    <row r="705" spans="1:4" x14ac:dyDescent="0.25">
      <c r="A705"/>
      <c r="B705"/>
      <c r="C705"/>
      <c r="D705"/>
    </row>
    <row r="706" spans="1:4" x14ac:dyDescent="0.25">
      <c r="A706"/>
      <c r="B706"/>
      <c r="C706"/>
      <c r="D706"/>
    </row>
    <row r="707" spans="1:4" x14ac:dyDescent="0.25">
      <c r="A707"/>
      <c r="B707"/>
      <c r="C707"/>
      <c r="D707"/>
    </row>
    <row r="708" spans="1:4" x14ac:dyDescent="0.25">
      <c r="A708"/>
      <c r="B708"/>
      <c r="C708"/>
      <c r="D708"/>
    </row>
    <row r="709" spans="1:4" x14ac:dyDescent="0.25">
      <c r="A709"/>
      <c r="B709"/>
      <c r="C709"/>
      <c r="D709"/>
    </row>
    <row r="710" spans="1:4" x14ac:dyDescent="0.25">
      <c r="A710"/>
      <c r="B710"/>
      <c r="C710"/>
      <c r="D710"/>
    </row>
    <row r="711" spans="1:4" x14ac:dyDescent="0.25">
      <c r="A711"/>
      <c r="B711"/>
      <c r="C711"/>
      <c r="D711"/>
    </row>
    <row r="712" spans="1:4" x14ac:dyDescent="0.25">
      <c r="A712"/>
      <c r="B712"/>
      <c r="C712"/>
      <c r="D712"/>
    </row>
    <row r="713" spans="1:4" x14ac:dyDescent="0.25">
      <c r="A713"/>
      <c r="B713"/>
      <c r="C713"/>
      <c r="D713"/>
    </row>
    <row r="714" spans="1:4" x14ac:dyDescent="0.25">
      <c r="A714"/>
      <c r="B714"/>
      <c r="C714"/>
      <c r="D714"/>
    </row>
    <row r="715" spans="1:4" x14ac:dyDescent="0.25">
      <c r="A715"/>
      <c r="B715"/>
      <c r="C715"/>
      <c r="D715"/>
    </row>
    <row r="716" spans="1:4" x14ac:dyDescent="0.25">
      <c r="A716"/>
      <c r="B716"/>
      <c r="C716"/>
      <c r="D716"/>
    </row>
    <row r="717" spans="1:4" x14ac:dyDescent="0.25">
      <c r="A717"/>
      <c r="B717"/>
      <c r="C717"/>
      <c r="D717"/>
    </row>
    <row r="718" spans="1:4" x14ac:dyDescent="0.25">
      <c r="A718"/>
      <c r="B718"/>
      <c r="C718"/>
      <c r="D718"/>
    </row>
    <row r="719" spans="1:4" x14ac:dyDescent="0.25">
      <c r="A719"/>
      <c r="B719"/>
      <c r="C719"/>
      <c r="D719"/>
    </row>
    <row r="720" spans="1:4" x14ac:dyDescent="0.25">
      <c r="A720"/>
      <c r="B720"/>
      <c r="C720"/>
      <c r="D720"/>
    </row>
    <row r="721" spans="1:4" x14ac:dyDescent="0.25">
      <c r="A721"/>
      <c r="B721"/>
      <c r="C721"/>
      <c r="D721"/>
    </row>
    <row r="722" spans="1:4" x14ac:dyDescent="0.25">
      <c r="A722"/>
      <c r="B722"/>
      <c r="C722"/>
      <c r="D722"/>
    </row>
    <row r="723" spans="1:4" x14ac:dyDescent="0.25">
      <c r="A723"/>
      <c r="B723"/>
      <c r="C723"/>
      <c r="D723"/>
    </row>
    <row r="724" spans="1:4" x14ac:dyDescent="0.25">
      <c r="A724"/>
      <c r="B724"/>
      <c r="C724"/>
      <c r="D724"/>
    </row>
    <row r="725" spans="1:4" x14ac:dyDescent="0.25">
      <c r="A725"/>
      <c r="B725"/>
      <c r="C725"/>
      <c r="D725"/>
    </row>
    <row r="726" spans="1:4" x14ac:dyDescent="0.25">
      <c r="A726"/>
      <c r="B726"/>
      <c r="C726"/>
      <c r="D726"/>
    </row>
    <row r="727" spans="1:4" x14ac:dyDescent="0.25">
      <c r="A727"/>
      <c r="B727"/>
      <c r="C727"/>
      <c r="D727"/>
    </row>
    <row r="728" spans="1:4" x14ac:dyDescent="0.25">
      <c r="A728"/>
      <c r="B728"/>
      <c r="C728"/>
      <c r="D728"/>
    </row>
    <row r="729" spans="1:4" x14ac:dyDescent="0.25">
      <c r="A729"/>
      <c r="B729"/>
      <c r="C729"/>
      <c r="D729"/>
    </row>
    <row r="730" spans="1:4" x14ac:dyDescent="0.25">
      <c r="A730"/>
      <c r="B730"/>
      <c r="C730"/>
      <c r="D730"/>
    </row>
    <row r="731" spans="1:4" x14ac:dyDescent="0.25">
      <c r="A731"/>
      <c r="B731"/>
      <c r="C731"/>
      <c r="D731"/>
    </row>
    <row r="732" spans="1:4" x14ac:dyDescent="0.25">
      <c r="A732"/>
      <c r="B732"/>
      <c r="C732"/>
      <c r="D732"/>
    </row>
    <row r="733" spans="1:4" x14ac:dyDescent="0.25">
      <c r="A733"/>
      <c r="B733"/>
      <c r="C733"/>
      <c r="D733"/>
    </row>
    <row r="734" spans="1:4" x14ac:dyDescent="0.25">
      <c r="A734"/>
      <c r="B734"/>
      <c r="C734"/>
      <c r="D734"/>
    </row>
    <row r="735" spans="1:4" x14ac:dyDescent="0.25">
      <c r="A735"/>
      <c r="B735"/>
      <c r="C735"/>
      <c r="D735"/>
    </row>
    <row r="736" spans="1:4" x14ac:dyDescent="0.25">
      <c r="A736"/>
      <c r="B736"/>
      <c r="C736"/>
      <c r="D736"/>
    </row>
    <row r="737" spans="1:4" x14ac:dyDescent="0.25">
      <c r="A737"/>
      <c r="B737"/>
      <c r="C737"/>
      <c r="D737"/>
    </row>
    <row r="738" spans="1:4" x14ac:dyDescent="0.25">
      <c r="A738"/>
      <c r="B738"/>
      <c r="C738"/>
      <c r="D738"/>
    </row>
    <row r="739" spans="1:4" x14ac:dyDescent="0.25">
      <c r="A739"/>
      <c r="B739"/>
      <c r="C739"/>
      <c r="D739"/>
    </row>
    <row r="740" spans="1:4" x14ac:dyDescent="0.25">
      <c r="A740"/>
      <c r="B740"/>
      <c r="C740"/>
      <c r="D740"/>
    </row>
    <row r="741" spans="1:4" x14ac:dyDescent="0.25">
      <c r="A741"/>
      <c r="B741"/>
      <c r="C741"/>
      <c r="D741"/>
    </row>
    <row r="742" spans="1:4" x14ac:dyDescent="0.25">
      <c r="A742"/>
      <c r="B742"/>
      <c r="C742"/>
      <c r="D742"/>
    </row>
    <row r="743" spans="1:4" x14ac:dyDescent="0.25">
      <c r="A743"/>
      <c r="B743"/>
      <c r="C743"/>
      <c r="D743"/>
    </row>
    <row r="744" spans="1:4" x14ac:dyDescent="0.25">
      <c r="A744"/>
      <c r="B744"/>
      <c r="C744"/>
      <c r="D744"/>
    </row>
    <row r="745" spans="1:4" x14ac:dyDescent="0.25">
      <c r="A745"/>
      <c r="B745"/>
      <c r="C745"/>
      <c r="D745"/>
    </row>
    <row r="746" spans="1:4" x14ac:dyDescent="0.25">
      <c r="A746"/>
      <c r="B746"/>
      <c r="C746"/>
      <c r="D746"/>
    </row>
    <row r="747" spans="1:4" x14ac:dyDescent="0.25">
      <c r="A747"/>
      <c r="B747"/>
      <c r="C747"/>
      <c r="D747"/>
    </row>
    <row r="748" spans="1:4" x14ac:dyDescent="0.25">
      <c r="A748"/>
      <c r="B748"/>
      <c r="C748"/>
      <c r="D748"/>
    </row>
    <row r="749" spans="1:4" x14ac:dyDescent="0.25">
      <c r="A749"/>
      <c r="B749"/>
      <c r="C749"/>
      <c r="D749"/>
    </row>
    <row r="750" spans="1:4" x14ac:dyDescent="0.25">
      <c r="A750"/>
      <c r="B750"/>
      <c r="C750"/>
      <c r="D750"/>
    </row>
    <row r="751" spans="1:4" x14ac:dyDescent="0.25">
      <c r="A751"/>
      <c r="B751"/>
      <c r="C751"/>
      <c r="D751"/>
    </row>
    <row r="752" spans="1:4" x14ac:dyDescent="0.25">
      <c r="A752"/>
      <c r="B752"/>
      <c r="C752"/>
      <c r="D752"/>
    </row>
    <row r="753" spans="1:4" x14ac:dyDescent="0.25">
      <c r="A753"/>
      <c r="B753"/>
      <c r="C753"/>
      <c r="D753"/>
    </row>
    <row r="754" spans="1:4" x14ac:dyDescent="0.25">
      <c r="A754"/>
      <c r="B754"/>
      <c r="C754"/>
      <c r="D754"/>
    </row>
    <row r="755" spans="1:4" x14ac:dyDescent="0.25">
      <c r="A755"/>
      <c r="B755"/>
      <c r="C755"/>
      <c r="D755"/>
    </row>
    <row r="756" spans="1:4" x14ac:dyDescent="0.25">
      <c r="A756"/>
      <c r="B756"/>
      <c r="C756"/>
      <c r="D756"/>
    </row>
    <row r="757" spans="1:4" x14ac:dyDescent="0.25">
      <c r="A757"/>
      <c r="B757"/>
      <c r="C757"/>
      <c r="D757"/>
    </row>
    <row r="758" spans="1:4" x14ac:dyDescent="0.25">
      <c r="A758"/>
      <c r="B758"/>
      <c r="C758"/>
      <c r="D758"/>
    </row>
    <row r="759" spans="1:4" x14ac:dyDescent="0.25">
      <c r="A759"/>
      <c r="B759"/>
      <c r="C759"/>
      <c r="D759"/>
    </row>
    <row r="760" spans="1:4" x14ac:dyDescent="0.25">
      <c r="A760"/>
      <c r="B760"/>
      <c r="C760"/>
      <c r="D760"/>
    </row>
    <row r="761" spans="1:4" x14ac:dyDescent="0.25">
      <c r="A761"/>
      <c r="B761"/>
      <c r="C761"/>
      <c r="D761"/>
    </row>
    <row r="762" spans="1:4" x14ac:dyDescent="0.25">
      <c r="A762"/>
      <c r="B762"/>
      <c r="C762"/>
      <c r="D762"/>
    </row>
    <row r="763" spans="1:4" x14ac:dyDescent="0.25">
      <c r="A763"/>
      <c r="B763"/>
      <c r="C763"/>
      <c r="D763"/>
    </row>
    <row r="764" spans="1:4" x14ac:dyDescent="0.25">
      <c r="A764"/>
      <c r="B764"/>
      <c r="C764"/>
      <c r="D764"/>
    </row>
    <row r="765" spans="1:4" x14ac:dyDescent="0.25">
      <c r="A765"/>
      <c r="B765"/>
      <c r="C765"/>
      <c r="D765"/>
    </row>
    <row r="766" spans="1:4" x14ac:dyDescent="0.25">
      <c r="A766"/>
      <c r="B766"/>
      <c r="C766"/>
      <c r="D766"/>
    </row>
    <row r="767" spans="1:4" x14ac:dyDescent="0.25">
      <c r="A767"/>
      <c r="B767"/>
      <c r="C767"/>
      <c r="D767"/>
    </row>
    <row r="768" spans="1:4" x14ac:dyDescent="0.25">
      <c r="A768"/>
      <c r="B768"/>
      <c r="C768"/>
      <c r="D768"/>
    </row>
    <row r="769" spans="1:4" x14ac:dyDescent="0.25">
      <c r="A769"/>
      <c r="B769"/>
      <c r="C769"/>
      <c r="D769"/>
    </row>
    <row r="770" spans="1:4" x14ac:dyDescent="0.25">
      <c r="A770"/>
      <c r="B770"/>
      <c r="C770"/>
      <c r="D770"/>
    </row>
    <row r="771" spans="1:4" x14ac:dyDescent="0.25">
      <c r="A771"/>
      <c r="B771"/>
      <c r="C771"/>
      <c r="D771"/>
    </row>
    <row r="772" spans="1:4" x14ac:dyDescent="0.25">
      <c r="A772"/>
      <c r="B772"/>
      <c r="C772"/>
      <c r="D772"/>
    </row>
    <row r="773" spans="1:4" x14ac:dyDescent="0.25">
      <c r="A773"/>
      <c r="B773"/>
      <c r="C773"/>
      <c r="D773"/>
    </row>
    <row r="774" spans="1:4" x14ac:dyDescent="0.25">
      <c r="A774"/>
      <c r="B774"/>
      <c r="C774"/>
      <c r="D774"/>
    </row>
    <row r="775" spans="1:4" x14ac:dyDescent="0.25">
      <c r="A775"/>
      <c r="B775"/>
      <c r="C775"/>
      <c r="D775"/>
    </row>
    <row r="776" spans="1:4" x14ac:dyDescent="0.25">
      <c r="A776"/>
      <c r="B776"/>
      <c r="C776"/>
      <c r="D776"/>
    </row>
    <row r="777" spans="1:4" x14ac:dyDescent="0.25">
      <c r="A777"/>
      <c r="B777"/>
      <c r="C777"/>
      <c r="D777"/>
    </row>
    <row r="778" spans="1:4" x14ac:dyDescent="0.25">
      <c r="A778"/>
      <c r="B778"/>
      <c r="C778"/>
      <c r="D778"/>
    </row>
    <row r="779" spans="1:4" x14ac:dyDescent="0.25">
      <c r="A779"/>
      <c r="B779"/>
      <c r="C779"/>
      <c r="D779"/>
    </row>
    <row r="780" spans="1:4" x14ac:dyDescent="0.25">
      <c r="A780"/>
      <c r="B780"/>
      <c r="C780"/>
      <c r="D780"/>
    </row>
    <row r="781" spans="1:4" x14ac:dyDescent="0.25">
      <c r="A781"/>
      <c r="B781"/>
      <c r="C781"/>
      <c r="D781"/>
    </row>
    <row r="782" spans="1:4" x14ac:dyDescent="0.25">
      <c r="A782"/>
      <c r="B782"/>
      <c r="C782"/>
      <c r="D782"/>
    </row>
    <row r="783" spans="1:4" x14ac:dyDescent="0.25">
      <c r="A783"/>
      <c r="B783"/>
      <c r="C783"/>
      <c r="D783"/>
    </row>
    <row r="784" spans="1:4" x14ac:dyDescent="0.25">
      <c r="A784"/>
      <c r="B784"/>
      <c r="C784"/>
      <c r="D784"/>
    </row>
    <row r="785" spans="1:4" x14ac:dyDescent="0.25">
      <c r="A785"/>
      <c r="B785"/>
      <c r="C785"/>
      <c r="D785"/>
    </row>
    <row r="786" spans="1:4" x14ac:dyDescent="0.25">
      <c r="A786"/>
      <c r="B786"/>
      <c r="C786"/>
      <c r="D786"/>
    </row>
    <row r="787" spans="1:4" x14ac:dyDescent="0.25">
      <c r="A787"/>
      <c r="B787"/>
      <c r="C787"/>
      <c r="D787"/>
    </row>
    <row r="788" spans="1:4" x14ac:dyDescent="0.25">
      <c r="A788"/>
      <c r="B788"/>
      <c r="C788"/>
      <c r="D788"/>
    </row>
    <row r="789" spans="1:4" x14ac:dyDescent="0.25">
      <c r="A789"/>
      <c r="B789"/>
      <c r="C789"/>
      <c r="D789"/>
    </row>
    <row r="790" spans="1:4" x14ac:dyDescent="0.25">
      <c r="A790"/>
      <c r="B790"/>
      <c r="C790"/>
      <c r="D790"/>
    </row>
    <row r="791" spans="1:4" x14ac:dyDescent="0.25">
      <c r="A791"/>
      <c r="B791"/>
      <c r="C791"/>
      <c r="D791"/>
    </row>
    <row r="792" spans="1:4" x14ac:dyDescent="0.25">
      <c r="A792"/>
      <c r="B792"/>
      <c r="C792"/>
      <c r="D792"/>
    </row>
    <row r="793" spans="1:4" x14ac:dyDescent="0.25">
      <c r="A793"/>
      <c r="B793"/>
      <c r="C793"/>
      <c r="D793"/>
    </row>
    <row r="794" spans="1:4" x14ac:dyDescent="0.25">
      <c r="A794"/>
      <c r="B794"/>
      <c r="C794"/>
      <c r="D794"/>
    </row>
    <row r="795" spans="1:4" x14ac:dyDescent="0.25">
      <c r="A795"/>
      <c r="B795"/>
      <c r="C795"/>
      <c r="D795"/>
    </row>
    <row r="796" spans="1:4" x14ac:dyDescent="0.25">
      <c r="A796"/>
      <c r="B796"/>
      <c r="C796"/>
      <c r="D796"/>
    </row>
    <row r="797" spans="1:4" x14ac:dyDescent="0.25">
      <c r="A797"/>
      <c r="B797"/>
      <c r="C797"/>
      <c r="D797"/>
    </row>
    <row r="798" spans="1:4" x14ac:dyDescent="0.25">
      <c r="A798"/>
      <c r="B798"/>
      <c r="C798"/>
      <c r="D798"/>
    </row>
    <row r="799" spans="1:4" x14ac:dyDescent="0.25">
      <c r="A799"/>
      <c r="B799"/>
      <c r="C799"/>
      <c r="D799"/>
    </row>
    <row r="800" spans="1:4" x14ac:dyDescent="0.25">
      <c r="A800"/>
      <c r="B800"/>
      <c r="C800"/>
      <c r="D800"/>
    </row>
    <row r="801" spans="1:4" x14ac:dyDescent="0.25">
      <c r="A801"/>
      <c r="B801"/>
      <c r="C801"/>
      <c r="D801"/>
    </row>
    <row r="802" spans="1:4" x14ac:dyDescent="0.25">
      <c r="A802"/>
      <c r="B802"/>
      <c r="C802"/>
      <c r="D802"/>
    </row>
    <row r="803" spans="1:4" x14ac:dyDescent="0.25">
      <c r="A803"/>
      <c r="B803"/>
      <c r="C803"/>
      <c r="D803"/>
    </row>
    <row r="804" spans="1:4" x14ac:dyDescent="0.25">
      <c r="A804"/>
      <c r="B804"/>
      <c r="C804"/>
      <c r="D804"/>
    </row>
    <row r="805" spans="1:4" x14ac:dyDescent="0.25">
      <c r="A805"/>
      <c r="B805"/>
      <c r="C805"/>
      <c r="D805"/>
    </row>
    <row r="806" spans="1:4" x14ac:dyDescent="0.25">
      <c r="A806"/>
      <c r="B806"/>
      <c r="C806"/>
      <c r="D806"/>
    </row>
    <row r="807" spans="1:4" x14ac:dyDescent="0.25">
      <c r="A807"/>
      <c r="B807"/>
      <c r="C807"/>
      <c r="D807"/>
    </row>
    <row r="808" spans="1:4" x14ac:dyDescent="0.25">
      <c r="A808"/>
      <c r="B808"/>
      <c r="C808"/>
      <c r="D808"/>
    </row>
    <row r="809" spans="1:4" x14ac:dyDescent="0.25">
      <c r="A809"/>
      <c r="B809"/>
      <c r="C809"/>
      <c r="D809"/>
    </row>
    <row r="810" spans="1:4" x14ac:dyDescent="0.25">
      <c r="A810"/>
      <c r="B810"/>
      <c r="C810"/>
      <c r="D810"/>
    </row>
    <row r="811" spans="1:4" x14ac:dyDescent="0.25">
      <c r="A811"/>
      <c r="B811"/>
      <c r="C811"/>
      <c r="D811"/>
    </row>
    <row r="812" spans="1:4" x14ac:dyDescent="0.25">
      <c r="A812"/>
      <c r="B812"/>
      <c r="C812"/>
      <c r="D812"/>
    </row>
    <row r="813" spans="1:4" x14ac:dyDescent="0.25">
      <c r="A813"/>
      <c r="B813"/>
      <c r="C813"/>
      <c r="D813"/>
    </row>
    <row r="814" spans="1:4" x14ac:dyDescent="0.25">
      <c r="A814"/>
      <c r="B814"/>
      <c r="C814"/>
      <c r="D814"/>
    </row>
    <row r="815" spans="1:4" x14ac:dyDescent="0.25">
      <c r="A815"/>
      <c r="B815"/>
      <c r="C815"/>
      <c r="D815"/>
    </row>
    <row r="816" spans="1:4" x14ac:dyDescent="0.25">
      <c r="A816"/>
      <c r="B816"/>
      <c r="C816"/>
      <c r="D816"/>
    </row>
    <row r="817" spans="1:4" x14ac:dyDescent="0.25">
      <c r="A817"/>
      <c r="B817"/>
      <c r="C817"/>
      <c r="D817"/>
    </row>
    <row r="818" spans="1:4" x14ac:dyDescent="0.25">
      <c r="A818"/>
      <c r="B818"/>
      <c r="C818"/>
      <c r="D818"/>
    </row>
    <row r="819" spans="1:4" x14ac:dyDescent="0.25">
      <c r="A819"/>
      <c r="B819"/>
      <c r="C819"/>
      <c r="D819"/>
    </row>
    <row r="820" spans="1:4" x14ac:dyDescent="0.25">
      <c r="A820"/>
      <c r="B820"/>
      <c r="C820"/>
      <c r="D820"/>
    </row>
    <row r="821" spans="1:4" x14ac:dyDescent="0.25">
      <c r="A821"/>
      <c r="B821"/>
      <c r="C821"/>
      <c r="D821"/>
    </row>
    <row r="822" spans="1:4" x14ac:dyDescent="0.25">
      <c r="A822"/>
      <c r="B822"/>
      <c r="C822"/>
      <c r="D822"/>
    </row>
    <row r="823" spans="1:4" x14ac:dyDescent="0.25">
      <c r="A823"/>
      <c r="B823"/>
      <c r="C823"/>
      <c r="D823"/>
    </row>
    <row r="824" spans="1:4" x14ac:dyDescent="0.25">
      <c r="A824"/>
      <c r="B824"/>
      <c r="C824"/>
      <c r="D824"/>
    </row>
    <row r="825" spans="1:4" x14ac:dyDescent="0.25">
      <c r="A825"/>
      <c r="B825"/>
      <c r="C825"/>
      <c r="D825"/>
    </row>
    <row r="826" spans="1:4" x14ac:dyDescent="0.25">
      <c r="A826"/>
      <c r="B826"/>
      <c r="C826"/>
      <c r="D826"/>
    </row>
    <row r="827" spans="1:4" x14ac:dyDescent="0.25">
      <c r="A827"/>
      <c r="B827"/>
      <c r="C827"/>
      <c r="D827"/>
    </row>
    <row r="828" spans="1:4" x14ac:dyDescent="0.25">
      <c r="A828"/>
      <c r="B828"/>
      <c r="C828"/>
      <c r="D828"/>
    </row>
    <row r="829" spans="1:4" x14ac:dyDescent="0.25">
      <c r="A829"/>
      <c r="B829"/>
      <c r="C829"/>
      <c r="D829"/>
    </row>
    <row r="830" spans="1:4" x14ac:dyDescent="0.25">
      <c r="A830"/>
      <c r="B830"/>
      <c r="C830"/>
      <c r="D830"/>
    </row>
    <row r="831" spans="1:4" x14ac:dyDescent="0.25">
      <c r="A831"/>
      <c r="B831"/>
      <c r="C831"/>
      <c r="D831"/>
    </row>
    <row r="832" spans="1:4" x14ac:dyDescent="0.25">
      <c r="A832"/>
      <c r="B832"/>
      <c r="C832"/>
      <c r="D832"/>
    </row>
    <row r="833" spans="1:4" x14ac:dyDescent="0.25">
      <c r="A833"/>
      <c r="B833"/>
      <c r="C833"/>
      <c r="D833"/>
    </row>
    <row r="834" spans="1:4" x14ac:dyDescent="0.25">
      <c r="A834"/>
      <c r="B834"/>
      <c r="C834"/>
      <c r="D834"/>
    </row>
    <row r="835" spans="1:4" x14ac:dyDescent="0.25">
      <c r="A835"/>
      <c r="B835"/>
      <c r="C835"/>
      <c r="D835"/>
    </row>
    <row r="836" spans="1:4" x14ac:dyDescent="0.25">
      <c r="A836"/>
      <c r="B836"/>
      <c r="C836"/>
      <c r="D836"/>
    </row>
    <row r="837" spans="1:4" x14ac:dyDescent="0.25">
      <c r="A837"/>
      <c r="B837"/>
      <c r="C837"/>
      <c r="D837"/>
    </row>
    <row r="838" spans="1:4" x14ac:dyDescent="0.25">
      <c r="A838"/>
      <c r="B838"/>
      <c r="C838"/>
      <c r="D838"/>
    </row>
    <row r="839" spans="1:4" x14ac:dyDescent="0.25">
      <c r="A839"/>
      <c r="B839"/>
      <c r="C839"/>
      <c r="D839"/>
    </row>
    <row r="840" spans="1:4" x14ac:dyDescent="0.25">
      <c r="A840"/>
      <c r="B840"/>
      <c r="C840"/>
      <c r="D840"/>
    </row>
    <row r="841" spans="1:4" x14ac:dyDescent="0.25">
      <c r="A841"/>
      <c r="B841"/>
      <c r="C841"/>
      <c r="D841"/>
    </row>
    <row r="842" spans="1:4" x14ac:dyDescent="0.25">
      <c r="A842"/>
      <c r="B842"/>
      <c r="C842"/>
      <c r="D842"/>
    </row>
    <row r="843" spans="1:4" x14ac:dyDescent="0.25">
      <c r="A843"/>
      <c r="B843"/>
      <c r="C843"/>
      <c r="D843"/>
    </row>
    <row r="844" spans="1:4" x14ac:dyDescent="0.25">
      <c r="A844"/>
      <c r="B844"/>
      <c r="C844"/>
      <c r="D844"/>
    </row>
    <row r="845" spans="1:4" x14ac:dyDescent="0.25">
      <c r="A845"/>
      <c r="B845"/>
      <c r="C845"/>
      <c r="D845"/>
    </row>
    <row r="846" spans="1:4" x14ac:dyDescent="0.25">
      <c r="A846"/>
      <c r="B846"/>
      <c r="C846"/>
      <c r="D846"/>
    </row>
    <row r="847" spans="1:4" x14ac:dyDescent="0.25">
      <c r="A847"/>
      <c r="B847"/>
      <c r="C847"/>
      <c r="D847"/>
    </row>
    <row r="848" spans="1:4" x14ac:dyDescent="0.25">
      <c r="A848"/>
      <c r="B848"/>
      <c r="C848"/>
      <c r="D848"/>
    </row>
    <row r="849" spans="1:4" x14ac:dyDescent="0.25">
      <c r="A849"/>
      <c r="B849"/>
      <c r="C849"/>
      <c r="D849"/>
    </row>
    <row r="850" spans="1:4" x14ac:dyDescent="0.25">
      <c r="A850"/>
      <c r="B850"/>
      <c r="C850"/>
      <c r="D850"/>
    </row>
    <row r="851" spans="1:4" x14ac:dyDescent="0.25">
      <c r="A851"/>
      <c r="B851"/>
      <c r="C851"/>
      <c r="D851"/>
    </row>
    <row r="852" spans="1:4" x14ac:dyDescent="0.25">
      <c r="A852"/>
      <c r="B852"/>
      <c r="C852"/>
      <c r="D852"/>
    </row>
    <row r="853" spans="1:4" x14ac:dyDescent="0.25">
      <c r="A853"/>
      <c r="B853"/>
      <c r="C853"/>
      <c r="D853"/>
    </row>
    <row r="854" spans="1:4" x14ac:dyDescent="0.25">
      <c r="A854"/>
      <c r="B854"/>
      <c r="C854"/>
      <c r="D854"/>
    </row>
    <row r="855" spans="1:4" x14ac:dyDescent="0.25">
      <c r="A855"/>
      <c r="B855"/>
      <c r="C855"/>
      <c r="D855"/>
    </row>
    <row r="856" spans="1:4" x14ac:dyDescent="0.25">
      <c r="A856"/>
      <c r="B856"/>
      <c r="C856"/>
      <c r="D856"/>
    </row>
    <row r="857" spans="1:4" x14ac:dyDescent="0.25">
      <c r="A857"/>
      <c r="B857"/>
      <c r="C857"/>
      <c r="D857"/>
    </row>
    <row r="858" spans="1:4" x14ac:dyDescent="0.25">
      <c r="A858"/>
      <c r="B858"/>
      <c r="C858"/>
      <c r="D858"/>
    </row>
    <row r="859" spans="1:4" x14ac:dyDescent="0.25">
      <c r="A859"/>
      <c r="B859"/>
      <c r="C859"/>
      <c r="D859"/>
    </row>
    <row r="860" spans="1:4" x14ac:dyDescent="0.25">
      <c r="A860"/>
      <c r="B860"/>
      <c r="C860"/>
      <c r="D860"/>
    </row>
    <row r="861" spans="1:4" x14ac:dyDescent="0.25">
      <c r="A861"/>
      <c r="B861"/>
      <c r="C861"/>
      <c r="D861"/>
    </row>
    <row r="862" spans="1:4" x14ac:dyDescent="0.25">
      <c r="A862"/>
      <c r="B862"/>
      <c r="C862"/>
      <c r="D862"/>
    </row>
    <row r="863" spans="1:4" x14ac:dyDescent="0.25">
      <c r="A863"/>
      <c r="B863"/>
      <c r="C863"/>
      <c r="D863"/>
    </row>
    <row r="864" spans="1:4" x14ac:dyDescent="0.25">
      <c r="A864"/>
      <c r="B864"/>
      <c r="C864"/>
      <c r="D864"/>
    </row>
    <row r="865" spans="1:4" x14ac:dyDescent="0.25">
      <c r="A865"/>
      <c r="B865"/>
      <c r="C865"/>
      <c r="D865"/>
    </row>
    <row r="866" spans="1:4" x14ac:dyDescent="0.25">
      <c r="A866"/>
      <c r="B866"/>
      <c r="C866"/>
      <c r="D866"/>
    </row>
    <row r="867" spans="1:4" x14ac:dyDescent="0.25">
      <c r="A867"/>
      <c r="B867"/>
      <c r="C867"/>
      <c r="D867"/>
    </row>
    <row r="868" spans="1:4" x14ac:dyDescent="0.25">
      <c r="A868"/>
      <c r="B868"/>
      <c r="C868"/>
      <c r="D868"/>
    </row>
    <row r="869" spans="1:4" x14ac:dyDescent="0.25">
      <c r="A869"/>
      <c r="B869"/>
      <c r="C869"/>
      <c r="D869"/>
    </row>
    <row r="870" spans="1:4" x14ac:dyDescent="0.25">
      <c r="A870"/>
      <c r="B870"/>
      <c r="C870"/>
      <c r="D870"/>
    </row>
    <row r="871" spans="1:4" x14ac:dyDescent="0.25">
      <c r="A871"/>
      <c r="B871"/>
      <c r="C871"/>
      <c r="D871"/>
    </row>
    <row r="872" spans="1:4" x14ac:dyDescent="0.25">
      <c r="A872"/>
      <c r="B872"/>
      <c r="C872"/>
      <c r="D872"/>
    </row>
    <row r="873" spans="1:4" x14ac:dyDescent="0.25">
      <c r="A873"/>
      <c r="B873"/>
      <c r="C873"/>
      <c r="D873"/>
    </row>
    <row r="874" spans="1:4" x14ac:dyDescent="0.25">
      <c r="A874"/>
      <c r="B874"/>
      <c r="C874"/>
      <c r="D874"/>
    </row>
    <row r="875" spans="1:4" x14ac:dyDescent="0.25">
      <c r="A875"/>
      <c r="B875"/>
      <c r="C875"/>
      <c r="D875"/>
    </row>
    <row r="876" spans="1:4" x14ac:dyDescent="0.25">
      <c r="A876"/>
      <c r="B876"/>
      <c r="C876"/>
      <c r="D876"/>
    </row>
    <row r="877" spans="1:4" x14ac:dyDescent="0.25">
      <c r="A877"/>
      <c r="B877"/>
      <c r="C877"/>
      <c r="D877"/>
    </row>
    <row r="878" spans="1:4" x14ac:dyDescent="0.25">
      <c r="A878"/>
      <c r="B878"/>
      <c r="C878"/>
      <c r="D878"/>
    </row>
    <row r="879" spans="1:4" x14ac:dyDescent="0.25">
      <c r="A879"/>
      <c r="B879"/>
      <c r="C879"/>
      <c r="D879"/>
    </row>
    <row r="880" spans="1:4" x14ac:dyDescent="0.25">
      <c r="A880"/>
      <c r="B880"/>
      <c r="C880"/>
      <c r="D880"/>
    </row>
    <row r="881" spans="1:4" x14ac:dyDescent="0.25">
      <c r="A881"/>
      <c r="B881"/>
      <c r="C881"/>
      <c r="D881"/>
    </row>
    <row r="882" spans="1:4" x14ac:dyDescent="0.25">
      <c r="A882"/>
      <c r="B882"/>
      <c r="C882"/>
      <c r="D882"/>
    </row>
    <row r="883" spans="1:4" x14ac:dyDescent="0.25">
      <c r="A883"/>
      <c r="B883"/>
      <c r="C883"/>
      <c r="D883"/>
    </row>
    <row r="884" spans="1:4" x14ac:dyDescent="0.25">
      <c r="A884"/>
      <c r="B884"/>
      <c r="C884"/>
      <c r="D884"/>
    </row>
    <row r="885" spans="1:4" x14ac:dyDescent="0.25">
      <c r="A885"/>
      <c r="B885"/>
      <c r="C885"/>
      <c r="D885"/>
    </row>
    <row r="886" spans="1:4" x14ac:dyDescent="0.25">
      <c r="A886"/>
      <c r="B886"/>
      <c r="C886"/>
      <c r="D886"/>
    </row>
    <row r="887" spans="1:4" x14ac:dyDescent="0.25">
      <c r="A887"/>
      <c r="B887"/>
      <c r="C887"/>
      <c r="D887"/>
    </row>
    <row r="888" spans="1:4" x14ac:dyDescent="0.25">
      <c r="A888"/>
      <c r="B888"/>
      <c r="C888"/>
      <c r="D888"/>
    </row>
    <row r="889" spans="1:4" x14ac:dyDescent="0.25">
      <c r="A889"/>
      <c r="B889"/>
      <c r="C889"/>
      <c r="D889"/>
    </row>
    <row r="890" spans="1:4" x14ac:dyDescent="0.25">
      <c r="A890"/>
      <c r="B890"/>
      <c r="C890"/>
      <c r="D890"/>
    </row>
    <row r="891" spans="1:4" x14ac:dyDescent="0.25">
      <c r="A891"/>
      <c r="B891"/>
      <c r="C891"/>
      <c r="D891"/>
    </row>
    <row r="892" spans="1:4" x14ac:dyDescent="0.25">
      <c r="A892"/>
      <c r="B892"/>
      <c r="C892"/>
      <c r="D892"/>
    </row>
    <row r="893" spans="1:4" x14ac:dyDescent="0.25">
      <c r="A893"/>
      <c r="B893"/>
      <c r="C893"/>
      <c r="D893"/>
    </row>
    <row r="894" spans="1:4" x14ac:dyDescent="0.25">
      <c r="A894"/>
      <c r="B894"/>
      <c r="C894"/>
      <c r="D894"/>
    </row>
    <row r="895" spans="1:4" x14ac:dyDescent="0.25">
      <c r="A895"/>
      <c r="B895"/>
      <c r="C895"/>
      <c r="D895"/>
    </row>
    <row r="896" spans="1:4" x14ac:dyDescent="0.25">
      <c r="A896"/>
      <c r="B896"/>
      <c r="C896"/>
      <c r="D896"/>
    </row>
    <row r="897" spans="1:4" x14ac:dyDescent="0.25">
      <c r="A897"/>
      <c r="B897"/>
      <c r="C897"/>
      <c r="D897"/>
    </row>
    <row r="898" spans="1:4" x14ac:dyDescent="0.25">
      <c r="A898"/>
      <c r="B898"/>
      <c r="C898"/>
      <c r="D898"/>
    </row>
    <row r="899" spans="1:4" x14ac:dyDescent="0.25">
      <c r="A899"/>
      <c r="B899"/>
      <c r="C899"/>
      <c r="D899"/>
    </row>
    <row r="900" spans="1:4" x14ac:dyDescent="0.25">
      <c r="A900"/>
      <c r="B900"/>
      <c r="C900"/>
      <c r="D900"/>
    </row>
    <row r="901" spans="1:4" x14ac:dyDescent="0.25">
      <c r="A901"/>
      <c r="B901"/>
      <c r="C901"/>
      <c r="D901"/>
    </row>
    <row r="902" spans="1:4" x14ac:dyDescent="0.25">
      <c r="A902"/>
      <c r="B902"/>
      <c r="C902"/>
      <c r="D902"/>
    </row>
    <row r="903" spans="1:4" x14ac:dyDescent="0.25">
      <c r="A903"/>
      <c r="B903"/>
      <c r="C903"/>
      <c r="D903"/>
    </row>
    <row r="904" spans="1:4" x14ac:dyDescent="0.25">
      <c r="A904"/>
      <c r="B904"/>
      <c r="C904"/>
      <c r="D904"/>
    </row>
    <row r="905" spans="1:4" x14ac:dyDescent="0.25">
      <c r="A905"/>
      <c r="B905"/>
      <c r="C905"/>
      <c r="D905"/>
    </row>
    <row r="906" spans="1:4" x14ac:dyDescent="0.25">
      <c r="A906"/>
      <c r="B906"/>
      <c r="C906"/>
      <c r="D906"/>
    </row>
    <row r="907" spans="1:4" x14ac:dyDescent="0.25">
      <c r="A907"/>
      <c r="B907"/>
      <c r="C907"/>
      <c r="D907"/>
    </row>
    <row r="908" spans="1:4" x14ac:dyDescent="0.25">
      <c r="A908"/>
      <c r="B908"/>
      <c r="C908"/>
      <c r="D908"/>
    </row>
    <row r="909" spans="1:4" x14ac:dyDescent="0.25">
      <c r="A909"/>
      <c r="B909"/>
      <c r="C909"/>
      <c r="D909"/>
    </row>
    <row r="910" spans="1:4" x14ac:dyDescent="0.25">
      <c r="A910"/>
      <c r="B910"/>
      <c r="C910"/>
      <c r="D910"/>
    </row>
    <row r="911" spans="1:4" x14ac:dyDescent="0.25">
      <c r="A911"/>
      <c r="B911"/>
      <c r="C911"/>
      <c r="D911"/>
    </row>
    <row r="912" spans="1:4" x14ac:dyDescent="0.25">
      <c r="A912"/>
      <c r="B912"/>
      <c r="C912"/>
      <c r="D912"/>
    </row>
    <row r="913" spans="1:4" x14ac:dyDescent="0.25">
      <c r="A913"/>
      <c r="B913"/>
      <c r="C913"/>
      <c r="D913"/>
    </row>
    <row r="914" spans="1:4" x14ac:dyDescent="0.25">
      <c r="A914"/>
      <c r="B914"/>
      <c r="C914"/>
      <c r="D914"/>
    </row>
    <row r="915" spans="1:4" x14ac:dyDescent="0.25">
      <c r="A915"/>
      <c r="B915"/>
      <c r="C915"/>
      <c r="D915"/>
    </row>
    <row r="916" spans="1:4" x14ac:dyDescent="0.25">
      <c r="A916"/>
      <c r="B916"/>
      <c r="C916"/>
      <c r="D916"/>
    </row>
    <row r="917" spans="1:4" x14ac:dyDescent="0.25">
      <c r="A917"/>
      <c r="B917"/>
      <c r="C917"/>
      <c r="D917"/>
    </row>
    <row r="918" spans="1:4" x14ac:dyDescent="0.25">
      <c r="A918"/>
      <c r="B918"/>
      <c r="C918"/>
      <c r="D918"/>
    </row>
    <row r="919" spans="1:4" x14ac:dyDescent="0.25">
      <c r="A919"/>
      <c r="B919"/>
      <c r="C919"/>
      <c r="D919"/>
    </row>
    <row r="920" spans="1:4" x14ac:dyDescent="0.25">
      <c r="A920"/>
      <c r="B920"/>
      <c r="C920"/>
      <c r="D920"/>
    </row>
    <row r="921" spans="1:4" x14ac:dyDescent="0.25">
      <c r="A921"/>
      <c r="B921"/>
      <c r="C921"/>
      <c r="D921"/>
    </row>
    <row r="922" spans="1:4" x14ac:dyDescent="0.25">
      <c r="A922"/>
      <c r="B922"/>
      <c r="C922"/>
      <c r="D922"/>
    </row>
    <row r="923" spans="1:4" x14ac:dyDescent="0.25">
      <c r="A923"/>
      <c r="B923"/>
      <c r="C923"/>
      <c r="D923"/>
    </row>
    <row r="924" spans="1:4" x14ac:dyDescent="0.25">
      <c r="A924"/>
      <c r="B924"/>
      <c r="C924"/>
      <c r="D924"/>
    </row>
    <row r="925" spans="1:4" x14ac:dyDescent="0.25">
      <c r="A925"/>
      <c r="B925"/>
      <c r="C925"/>
      <c r="D925"/>
    </row>
    <row r="926" spans="1:4" x14ac:dyDescent="0.25">
      <c r="A926"/>
      <c r="B926"/>
      <c r="C926"/>
      <c r="D926"/>
    </row>
    <row r="927" spans="1:4" x14ac:dyDescent="0.25">
      <c r="A927"/>
      <c r="B927"/>
      <c r="C927"/>
      <c r="D927"/>
    </row>
    <row r="928" spans="1:4" x14ac:dyDescent="0.25">
      <c r="A928"/>
      <c r="B928"/>
      <c r="C928"/>
      <c r="D928"/>
    </row>
    <row r="929" spans="1:4" x14ac:dyDescent="0.25">
      <c r="A929"/>
      <c r="B929"/>
      <c r="C929"/>
      <c r="D929"/>
    </row>
    <row r="930" spans="1:4" x14ac:dyDescent="0.25">
      <c r="A930"/>
      <c r="B930"/>
      <c r="C930"/>
      <c r="D930"/>
    </row>
    <row r="931" spans="1:4" x14ac:dyDescent="0.25">
      <c r="A931"/>
      <c r="B931"/>
      <c r="C931"/>
      <c r="D931"/>
    </row>
    <row r="932" spans="1:4" x14ac:dyDescent="0.25">
      <c r="A932"/>
      <c r="B932"/>
      <c r="C932"/>
      <c r="D932"/>
    </row>
    <row r="933" spans="1:4" x14ac:dyDescent="0.25">
      <c r="A933"/>
      <c r="B933"/>
      <c r="C933"/>
      <c r="D933"/>
    </row>
    <row r="934" spans="1:4" x14ac:dyDescent="0.25">
      <c r="A934"/>
      <c r="B934"/>
      <c r="C934"/>
      <c r="D934"/>
    </row>
    <row r="935" spans="1:4" x14ac:dyDescent="0.25">
      <c r="A935"/>
      <c r="B935"/>
      <c r="C935"/>
      <c r="D935"/>
    </row>
    <row r="936" spans="1:4" x14ac:dyDescent="0.25">
      <c r="A936"/>
      <c r="B936"/>
      <c r="C936"/>
      <c r="D936"/>
    </row>
    <row r="937" spans="1:4" x14ac:dyDescent="0.25">
      <c r="A937"/>
      <c r="B937"/>
      <c r="C937"/>
      <c r="D937"/>
    </row>
    <row r="938" spans="1:4" x14ac:dyDescent="0.25">
      <c r="A938"/>
      <c r="B938"/>
      <c r="C938"/>
      <c r="D938"/>
    </row>
    <row r="939" spans="1:4" x14ac:dyDescent="0.25">
      <c r="A939"/>
      <c r="B939"/>
      <c r="C939"/>
      <c r="D939"/>
    </row>
    <row r="940" spans="1:4" x14ac:dyDescent="0.25">
      <c r="A940"/>
      <c r="B940"/>
      <c r="C940"/>
      <c r="D940"/>
    </row>
    <row r="941" spans="1:4" x14ac:dyDescent="0.25">
      <c r="A941"/>
      <c r="B941"/>
      <c r="C941"/>
      <c r="D941"/>
    </row>
    <row r="942" spans="1:4" x14ac:dyDescent="0.25">
      <c r="A942"/>
      <c r="B942"/>
      <c r="C942"/>
      <c r="D942"/>
    </row>
    <row r="943" spans="1:4" x14ac:dyDescent="0.25">
      <c r="A943"/>
      <c r="B943"/>
      <c r="C943"/>
      <c r="D943"/>
    </row>
    <row r="944" spans="1:4" x14ac:dyDescent="0.25">
      <c r="A944"/>
      <c r="B944"/>
      <c r="C944"/>
      <c r="D944"/>
    </row>
    <row r="945" spans="1:4" x14ac:dyDescent="0.25">
      <c r="A945"/>
      <c r="B945"/>
      <c r="C945"/>
      <c r="D945"/>
    </row>
    <row r="946" spans="1:4" x14ac:dyDescent="0.25">
      <c r="A946"/>
      <c r="B946"/>
      <c r="C946"/>
      <c r="D946"/>
    </row>
    <row r="947" spans="1:4" x14ac:dyDescent="0.25">
      <c r="A947"/>
      <c r="B947"/>
      <c r="C947"/>
      <c r="D947"/>
    </row>
    <row r="948" spans="1:4" x14ac:dyDescent="0.25">
      <c r="A948"/>
      <c r="B948"/>
      <c r="C948"/>
      <c r="D948"/>
    </row>
    <row r="949" spans="1:4" x14ac:dyDescent="0.25">
      <c r="A949"/>
      <c r="B949"/>
      <c r="C949"/>
      <c r="D949"/>
    </row>
    <row r="950" spans="1:4" x14ac:dyDescent="0.25">
      <c r="A950"/>
      <c r="B950"/>
      <c r="C950"/>
      <c r="D950"/>
    </row>
    <row r="951" spans="1:4" x14ac:dyDescent="0.25">
      <c r="A951"/>
      <c r="B951"/>
      <c r="C951"/>
      <c r="D951"/>
    </row>
    <row r="952" spans="1:4" x14ac:dyDescent="0.25">
      <c r="A952"/>
      <c r="B952"/>
      <c r="C952"/>
      <c r="D952"/>
    </row>
    <row r="953" spans="1:4" x14ac:dyDescent="0.25">
      <c r="A953"/>
      <c r="B953"/>
      <c r="C953"/>
      <c r="D953"/>
    </row>
    <row r="954" spans="1:4" x14ac:dyDescent="0.25">
      <c r="A954"/>
      <c r="B954"/>
      <c r="C954"/>
      <c r="D954"/>
    </row>
    <row r="955" spans="1:4" x14ac:dyDescent="0.25">
      <c r="A955"/>
      <c r="B955"/>
      <c r="C955"/>
      <c r="D955"/>
    </row>
    <row r="956" spans="1:4" x14ac:dyDescent="0.25">
      <c r="A956"/>
      <c r="B956"/>
      <c r="C956"/>
      <c r="D956"/>
    </row>
    <row r="957" spans="1:4" x14ac:dyDescent="0.25">
      <c r="A957"/>
      <c r="B957"/>
      <c r="C957"/>
      <c r="D957"/>
    </row>
    <row r="958" spans="1:4" x14ac:dyDescent="0.25">
      <c r="A958"/>
      <c r="B958"/>
      <c r="C958"/>
      <c r="D958"/>
    </row>
    <row r="959" spans="1:4" x14ac:dyDescent="0.25">
      <c r="A959"/>
      <c r="B959"/>
      <c r="C959"/>
      <c r="D959"/>
    </row>
    <row r="960" spans="1:4" x14ac:dyDescent="0.25">
      <c r="A960"/>
      <c r="B960"/>
      <c r="C960"/>
      <c r="D960"/>
    </row>
    <row r="961" spans="1:4" x14ac:dyDescent="0.25">
      <c r="A961"/>
      <c r="B961"/>
      <c r="C961"/>
      <c r="D961"/>
    </row>
    <row r="962" spans="1:4" x14ac:dyDescent="0.25">
      <c r="A962"/>
      <c r="B962"/>
      <c r="C962"/>
      <c r="D962"/>
    </row>
    <row r="963" spans="1:4" x14ac:dyDescent="0.25">
      <c r="A963"/>
      <c r="B963"/>
      <c r="C963"/>
      <c r="D963"/>
    </row>
    <row r="964" spans="1:4" x14ac:dyDescent="0.25">
      <c r="A964"/>
      <c r="B964"/>
      <c r="C964"/>
      <c r="D964"/>
    </row>
    <row r="965" spans="1:4" x14ac:dyDescent="0.25">
      <c r="A965"/>
      <c r="B965"/>
      <c r="C965"/>
      <c r="D965"/>
    </row>
    <row r="966" spans="1:4" x14ac:dyDescent="0.25">
      <c r="A966"/>
      <c r="B966"/>
      <c r="C966"/>
      <c r="D966"/>
    </row>
    <row r="967" spans="1:4" x14ac:dyDescent="0.25">
      <c r="A967"/>
      <c r="B967"/>
      <c r="C967"/>
      <c r="D967"/>
    </row>
    <row r="968" spans="1:4" x14ac:dyDescent="0.25">
      <c r="A968"/>
      <c r="B968"/>
      <c r="C968"/>
      <c r="D968"/>
    </row>
    <row r="969" spans="1:4" x14ac:dyDescent="0.25">
      <c r="A969"/>
      <c r="B969"/>
      <c r="C969"/>
      <c r="D969"/>
    </row>
    <row r="970" spans="1:4" x14ac:dyDescent="0.25">
      <c r="A970"/>
      <c r="B970"/>
      <c r="C970"/>
      <c r="D970"/>
    </row>
    <row r="971" spans="1:4" x14ac:dyDescent="0.25">
      <c r="A971"/>
      <c r="B971"/>
      <c r="C971"/>
      <c r="D971"/>
    </row>
    <row r="972" spans="1:4" x14ac:dyDescent="0.25">
      <c r="A972"/>
      <c r="B972"/>
      <c r="C972"/>
      <c r="D972"/>
    </row>
    <row r="973" spans="1:4" x14ac:dyDescent="0.25">
      <c r="A973"/>
      <c r="B973"/>
      <c r="C973"/>
      <c r="D973"/>
    </row>
    <row r="974" spans="1:4" x14ac:dyDescent="0.25">
      <c r="A974"/>
      <c r="B974"/>
      <c r="C974"/>
      <c r="D974"/>
    </row>
    <row r="975" spans="1:4" x14ac:dyDescent="0.25">
      <c r="A975"/>
      <c r="B975"/>
      <c r="C975"/>
      <c r="D975"/>
    </row>
    <row r="976" spans="1:4" x14ac:dyDescent="0.25">
      <c r="A976"/>
      <c r="B976"/>
      <c r="C976"/>
      <c r="D976"/>
    </row>
    <row r="977" spans="1:4" x14ac:dyDescent="0.25">
      <c r="A977"/>
      <c r="B977"/>
      <c r="C977"/>
      <c r="D977"/>
    </row>
    <row r="978" spans="1:4" x14ac:dyDescent="0.25">
      <c r="A978"/>
      <c r="B978"/>
      <c r="C978"/>
      <c r="D978"/>
    </row>
    <row r="979" spans="1:4" x14ac:dyDescent="0.25">
      <c r="A979"/>
      <c r="B979"/>
      <c r="C979"/>
      <c r="D979"/>
    </row>
    <row r="980" spans="1:4" x14ac:dyDescent="0.25">
      <c r="A980"/>
      <c r="B980"/>
      <c r="C980"/>
      <c r="D980"/>
    </row>
    <row r="981" spans="1:4" x14ac:dyDescent="0.25">
      <c r="A981"/>
      <c r="B981"/>
      <c r="C981"/>
      <c r="D981"/>
    </row>
    <row r="982" spans="1:4" x14ac:dyDescent="0.25">
      <c r="A982"/>
      <c r="B982"/>
      <c r="C982"/>
      <c r="D982"/>
    </row>
    <row r="983" spans="1:4" x14ac:dyDescent="0.25">
      <c r="A983"/>
      <c r="B983"/>
      <c r="C983"/>
      <c r="D983"/>
    </row>
    <row r="984" spans="1:4" x14ac:dyDescent="0.25">
      <c r="A984"/>
      <c r="B984"/>
      <c r="C984"/>
      <c r="D984"/>
    </row>
    <row r="985" spans="1:4" x14ac:dyDescent="0.25">
      <c r="A985"/>
      <c r="B985"/>
      <c r="C985"/>
      <c r="D985"/>
    </row>
    <row r="986" spans="1:4" x14ac:dyDescent="0.25">
      <c r="A986"/>
      <c r="B986"/>
      <c r="C986"/>
      <c r="D986"/>
    </row>
    <row r="987" spans="1:4" x14ac:dyDescent="0.25">
      <c r="A987"/>
      <c r="B987"/>
      <c r="C987"/>
      <c r="D987"/>
    </row>
    <row r="988" spans="1:4" x14ac:dyDescent="0.25">
      <c r="A988"/>
      <c r="B988"/>
      <c r="C988"/>
      <c r="D988"/>
    </row>
    <row r="989" spans="1:4" x14ac:dyDescent="0.25">
      <c r="A989"/>
      <c r="B989"/>
      <c r="C989"/>
      <c r="D989"/>
    </row>
    <row r="990" spans="1:4" x14ac:dyDescent="0.25">
      <c r="A990"/>
      <c r="B990"/>
      <c r="C990"/>
      <c r="D990"/>
    </row>
    <row r="991" spans="1:4" x14ac:dyDescent="0.25">
      <c r="A991"/>
      <c r="B991"/>
      <c r="C991"/>
      <c r="D991"/>
    </row>
    <row r="992" spans="1:4" x14ac:dyDescent="0.25">
      <c r="A992"/>
      <c r="B992"/>
      <c r="C992"/>
      <c r="D992"/>
    </row>
    <row r="993" spans="1:4" x14ac:dyDescent="0.25">
      <c r="A993"/>
      <c r="B993"/>
      <c r="C993"/>
      <c r="D993"/>
    </row>
    <row r="994" spans="1:4" x14ac:dyDescent="0.25">
      <c r="A994"/>
      <c r="B994"/>
      <c r="C994"/>
      <c r="D994"/>
    </row>
    <row r="995" spans="1:4" x14ac:dyDescent="0.25">
      <c r="A995"/>
      <c r="B995"/>
      <c r="C995"/>
      <c r="D995"/>
    </row>
    <row r="996" spans="1:4" x14ac:dyDescent="0.25">
      <c r="A996"/>
      <c r="B996"/>
      <c r="C996"/>
      <c r="D996"/>
    </row>
    <row r="997" spans="1:4" x14ac:dyDescent="0.25">
      <c r="A997"/>
      <c r="B997"/>
      <c r="C997"/>
      <c r="D997"/>
    </row>
    <row r="998" spans="1:4" x14ac:dyDescent="0.25">
      <c r="A998"/>
      <c r="B998"/>
      <c r="C998"/>
      <c r="D998"/>
    </row>
    <row r="999" spans="1:4" x14ac:dyDescent="0.25">
      <c r="A999"/>
      <c r="B999"/>
      <c r="C999"/>
      <c r="D999"/>
    </row>
    <row r="1000" spans="1:4" x14ac:dyDescent="0.25">
      <c r="A1000"/>
      <c r="B1000"/>
      <c r="C1000"/>
      <c r="D1000"/>
    </row>
    <row r="1001" spans="1:4" x14ac:dyDescent="0.25">
      <c r="A1001"/>
      <c r="B1001"/>
      <c r="C1001"/>
      <c r="D1001"/>
    </row>
    <row r="1002" spans="1:4" x14ac:dyDescent="0.25">
      <c r="A1002"/>
      <c r="B1002"/>
      <c r="C1002"/>
      <c r="D1002"/>
    </row>
    <row r="1003" spans="1:4" x14ac:dyDescent="0.25">
      <c r="A1003"/>
      <c r="B1003"/>
      <c r="C1003"/>
      <c r="D1003"/>
    </row>
    <row r="1004" spans="1:4" x14ac:dyDescent="0.25">
      <c r="A1004"/>
      <c r="B1004"/>
      <c r="C1004"/>
      <c r="D1004"/>
    </row>
    <row r="1005" spans="1:4" x14ac:dyDescent="0.25">
      <c r="A1005"/>
      <c r="B1005"/>
      <c r="C1005"/>
      <c r="D1005"/>
    </row>
    <row r="1006" spans="1:4" x14ac:dyDescent="0.25">
      <c r="A1006"/>
      <c r="B1006"/>
      <c r="C1006"/>
      <c r="D1006"/>
    </row>
    <row r="1007" spans="1:4" x14ac:dyDescent="0.25">
      <c r="A1007"/>
      <c r="B1007"/>
      <c r="C1007"/>
      <c r="D1007"/>
    </row>
    <row r="1008" spans="1:4" x14ac:dyDescent="0.25">
      <c r="A1008"/>
      <c r="B1008"/>
      <c r="C1008"/>
      <c r="D1008"/>
    </row>
    <row r="1009" spans="1:4" x14ac:dyDescent="0.25">
      <c r="A1009"/>
      <c r="B1009"/>
      <c r="C1009"/>
      <c r="D1009"/>
    </row>
    <row r="1010" spans="1:4" x14ac:dyDescent="0.25">
      <c r="A1010"/>
      <c r="B1010"/>
      <c r="C1010"/>
      <c r="D1010"/>
    </row>
    <row r="1011" spans="1:4" x14ac:dyDescent="0.25">
      <c r="A1011"/>
      <c r="B1011"/>
      <c r="C1011"/>
      <c r="D1011"/>
    </row>
    <row r="1012" spans="1:4" x14ac:dyDescent="0.25">
      <c r="A1012"/>
      <c r="B1012"/>
      <c r="C1012"/>
      <c r="D1012"/>
    </row>
    <row r="1013" spans="1:4" x14ac:dyDescent="0.25">
      <c r="A1013"/>
      <c r="B1013"/>
      <c r="C1013"/>
      <c r="D1013"/>
    </row>
    <row r="1014" spans="1:4" x14ac:dyDescent="0.25">
      <c r="A1014"/>
      <c r="B1014"/>
      <c r="C1014"/>
      <c r="D1014"/>
    </row>
    <row r="1015" spans="1:4" x14ac:dyDescent="0.25">
      <c r="A1015"/>
      <c r="B1015"/>
      <c r="C1015"/>
      <c r="D1015"/>
    </row>
    <row r="1016" spans="1:4" x14ac:dyDescent="0.25">
      <c r="A1016"/>
      <c r="B1016"/>
      <c r="C1016"/>
      <c r="D1016"/>
    </row>
    <row r="1017" spans="1:4" x14ac:dyDescent="0.25">
      <c r="A1017"/>
      <c r="B1017"/>
      <c r="C1017"/>
      <c r="D1017"/>
    </row>
    <row r="1018" spans="1:4" x14ac:dyDescent="0.25">
      <c r="A1018"/>
      <c r="B1018"/>
      <c r="C1018"/>
      <c r="D1018"/>
    </row>
    <row r="1019" spans="1:4" x14ac:dyDescent="0.25">
      <c r="A1019"/>
      <c r="B1019"/>
      <c r="C1019"/>
      <c r="D1019"/>
    </row>
    <row r="1020" spans="1:4" x14ac:dyDescent="0.25">
      <c r="A1020"/>
      <c r="B1020"/>
      <c r="C1020"/>
      <c r="D1020"/>
    </row>
    <row r="1021" spans="1:4" x14ac:dyDescent="0.25">
      <c r="A1021"/>
      <c r="B1021"/>
      <c r="C1021"/>
      <c r="D1021"/>
    </row>
    <row r="1022" spans="1:4" x14ac:dyDescent="0.25">
      <c r="A1022"/>
      <c r="B1022"/>
      <c r="C1022"/>
      <c r="D1022"/>
    </row>
    <row r="1023" spans="1:4" x14ac:dyDescent="0.25">
      <c r="A1023"/>
      <c r="B1023"/>
      <c r="C1023"/>
      <c r="D1023"/>
    </row>
    <row r="1024" spans="1:4" x14ac:dyDescent="0.25">
      <c r="A1024"/>
      <c r="B1024"/>
      <c r="C1024"/>
      <c r="D1024"/>
    </row>
    <row r="1025" spans="1:4" x14ac:dyDescent="0.25">
      <c r="A1025"/>
      <c r="B1025"/>
      <c r="C1025"/>
      <c r="D1025"/>
    </row>
    <row r="1026" spans="1:4" x14ac:dyDescent="0.25">
      <c r="A1026"/>
      <c r="B1026"/>
      <c r="C1026"/>
      <c r="D1026"/>
    </row>
    <row r="1027" spans="1:4" x14ac:dyDescent="0.25">
      <c r="A1027"/>
      <c r="B1027"/>
      <c r="C1027"/>
      <c r="D1027"/>
    </row>
    <row r="1028" spans="1:4" x14ac:dyDescent="0.25">
      <c r="A1028"/>
      <c r="B1028"/>
      <c r="C1028"/>
      <c r="D1028"/>
    </row>
    <row r="1029" spans="1:4" x14ac:dyDescent="0.25">
      <c r="A1029"/>
      <c r="B1029"/>
      <c r="C1029"/>
      <c r="D1029"/>
    </row>
    <row r="1030" spans="1:4" x14ac:dyDescent="0.25">
      <c r="A1030"/>
      <c r="B1030"/>
      <c r="C1030"/>
      <c r="D1030"/>
    </row>
    <row r="1031" spans="1:4" x14ac:dyDescent="0.25">
      <c r="A1031"/>
      <c r="B1031"/>
      <c r="C1031"/>
      <c r="D1031"/>
    </row>
    <row r="1032" spans="1:4" x14ac:dyDescent="0.25">
      <c r="A1032"/>
      <c r="B1032"/>
      <c r="C1032"/>
      <c r="D1032"/>
    </row>
    <row r="1033" spans="1:4" x14ac:dyDescent="0.25">
      <c r="A1033"/>
      <c r="B1033"/>
      <c r="C1033"/>
      <c r="D1033"/>
    </row>
    <row r="1034" spans="1:4" x14ac:dyDescent="0.25">
      <c r="A1034"/>
      <c r="B1034"/>
      <c r="C1034"/>
      <c r="D1034"/>
    </row>
    <row r="1035" spans="1:4" x14ac:dyDescent="0.25">
      <c r="A1035"/>
      <c r="B1035"/>
      <c r="C1035"/>
      <c r="D1035"/>
    </row>
    <row r="1036" spans="1:4" x14ac:dyDescent="0.25">
      <c r="A1036"/>
      <c r="B1036"/>
      <c r="C1036"/>
      <c r="D1036"/>
    </row>
    <row r="1037" spans="1:4" x14ac:dyDescent="0.25">
      <c r="A1037"/>
      <c r="B1037"/>
      <c r="C1037"/>
      <c r="D1037"/>
    </row>
    <row r="1038" spans="1:4" x14ac:dyDescent="0.25">
      <c r="A1038"/>
      <c r="B1038"/>
      <c r="C1038"/>
      <c r="D1038"/>
    </row>
    <row r="1039" spans="1:4" x14ac:dyDescent="0.25">
      <c r="A1039"/>
      <c r="B1039"/>
      <c r="C1039"/>
      <c r="D1039"/>
    </row>
    <row r="1040" spans="1:4" x14ac:dyDescent="0.25">
      <c r="A1040"/>
      <c r="B1040"/>
      <c r="C1040"/>
      <c r="D1040"/>
    </row>
    <row r="1041" spans="1:4" x14ac:dyDescent="0.25">
      <c r="A1041"/>
      <c r="B1041"/>
      <c r="C1041"/>
      <c r="D1041"/>
    </row>
    <row r="1042" spans="1:4" x14ac:dyDescent="0.25">
      <c r="A1042"/>
      <c r="B1042"/>
      <c r="C1042"/>
      <c r="D1042"/>
    </row>
    <row r="1043" spans="1:4" x14ac:dyDescent="0.25">
      <c r="A1043"/>
      <c r="B1043"/>
      <c r="C1043"/>
      <c r="D1043"/>
    </row>
    <row r="1044" spans="1:4" x14ac:dyDescent="0.25">
      <c r="A1044"/>
      <c r="B1044"/>
      <c r="C1044"/>
      <c r="D1044"/>
    </row>
    <row r="1045" spans="1:4" x14ac:dyDescent="0.25">
      <c r="A1045"/>
      <c r="B1045"/>
      <c r="C1045"/>
      <c r="D1045"/>
    </row>
    <row r="1046" spans="1:4" x14ac:dyDescent="0.25">
      <c r="A1046"/>
      <c r="B1046"/>
      <c r="C1046"/>
      <c r="D1046"/>
    </row>
    <row r="1047" spans="1:4" x14ac:dyDescent="0.25">
      <c r="A1047"/>
      <c r="B1047"/>
      <c r="C1047"/>
      <c r="D1047"/>
    </row>
    <row r="1048" spans="1:4" x14ac:dyDescent="0.25">
      <c r="A1048"/>
      <c r="B1048"/>
      <c r="C1048"/>
      <c r="D1048"/>
    </row>
    <row r="1049" spans="1:4" x14ac:dyDescent="0.25">
      <c r="A1049"/>
      <c r="B1049"/>
      <c r="C1049"/>
      <c r="D1049"/>
    </row>
    <row r="1050" spans="1:4" x14ac:dyDescent="0.25">
      <c r="A1050"/>
      <c r="B1050"/>
      <c r="C1050"/>
      <c r="D1050"/>
    </row>
    <row r="1051" spans="1:4" x14ac:dyDescent="0.25">
      <c r="A1051"/>
      <c r="B1051"/>
      <c r="C1051"/>
      <c r="D1051"/>
    </row>
    <row r="1052" spans="1:4" x14ac:dyDescent="0.25">
      <c r="A1052"/>
      <c r="B1052"/>
      <c r="C1052"/>
      <c r="D1052"/>
    </row>
    <row r="1053" spans="1:4" x14ac:dyDescent="0.25">
      <c r="A1053"/>
      <c r="B1053"/>
      <c r="C1053"/>
      <c r="D1053"/>
    </row>
    <row r="1054" spans="1:4" x14ac:dyDescent="0.25">
      <c r="A1054"/>
      <c r="B1054"/>
      <c r="C1054"/>
      <c r="D1054"/>
    </row>
    <row r="1055" spans="1:4" x14ac:dyDescent="0.25">
      <c r="A1055"/>
      <c r="B1055"/>
      <c r="C1055"/>
      <c r="D1055"/>
    </row>
    <row r="1056" spans="1:4" x14ac:dyDescent="0.25">
      <c r="A1056"/>
      <c r="B1056"/>
      <c r="C1056"/>
      <c r="D1056"/>
    </row>
    <row r="1057" spans="1:4" x14ac:dyDescent="0.25">
      <c r="A1057"/>
      <c r="B1057"/>
      <c r="C1057"/>
      <c r="D1057"/>
    </row>
    <row r="1058" spans="1:4" x14ac:dyDescent="0.25">
      <c r="A1058"/>
      <c r="B1058"/>
      <c r="C1058"/>
      <c r="D1058"/>
    </row>
    <row r="1059" spans="1:4" x14ac:dyDescent="0.25">
      <c r="A1059"/>
      <c r="B1059"/>
      <c r="C1059"/>
      <c r="D1059"/>
    </row>
    <row r="1060" spans="1:4" x14ac:dyDescent="0.25">
      <c r="A1060"/>
      <c r="B1060"/>
      <c r="C1060"/>
      <c r="D1060"/>
    </row>
    <row r="1061" spans="1:4" x14ac:dyDescent="0.25">
      <c r="A1061"/>
      <c r="B1061"/>
      <c r="C1061"/>
      <c r="D1061"/>
    </row>
    <row r="1062" spans="1:4" x14ac:dyDescent="0.25">
      <c r="A1062"/>
      <c r="B1062"/>
      <c r="C1062"/>
      <c r="D1062"/>
    </row>
    <row r="1063" spans="1:4" x14ac:dyDescent="0.25">
      <c r="A1063"/>
      <c r="B1063"/>
      <c r="C1063"/>
      <c r="D1063"/>
    </row>
    <row r="1064" spans="1:4" x14ac:dyDescent="0.25">
      <c r="A1064"/>
      <c r="B1064"/>
      <c r="C1064"/>
      <c r="D1064"/>
    </row>
    <row r="1065" spans="1:4" x14ac:dyDescent="0.25">
      <c r="A1065"/>
      <c r="B1065"/>
      <c r="C1065"/>
      <c r="D1065"/>
    </row>
    <row r="1066" spans="1:4" x14ac:dyDescent="0.25">
      <c r="A1066"/>
      <c r="B1066"/>
      <c r="C1066"/>
      <c r="D1066"/>
    </row>
    <row r="1067" spans="1:4" x14ac:dyDescent="0.25">
      <c r="A1067"/>
      <c r="B1067"/>
      <c r="C1067"/>
      <c r="D1067"/>
    </row>
    <row r="1068" spans="1:4" x14ac:dyDescent="0.25">
      <c r="A1068"/>
      <c r="B1068"/>
      <c r="C1068"/>
      <c r="D1068"/>
    </row>
    <row r="1069" spans="1:4" x14ac:dyDescent="0.25">
      <c r="A1069"/>
      <c r="B1069"/>
      <c r="C1069"/>
      <c r="D1069"/>
    </row>
    <row r="1070" spans="1:4" x14ac:dyDescent="0.25">
      <c r="A1070"/>
      <c r="B1070"/>
      <c r="C1070"/>
      <c r="D1070"/>
    </row>
    <row r="1071" spans="1:4" x14ac:dyDescent="0.25">
      <c r="A1071"/>
      <c r="B1071"/>
      <c r="C1071"/>
      <c r="D1071"/>
    </row>
    <row r="1072" spans="1:4" x14ac:dyDescent="0.25">
      <c r="A1072"/>
      <c r="B1072"/>
      <c r="C1072"/>
      <c r="D1072"/>
    </row>
    <row r="1073" spans="1:4" x14ac:dyDescent="0.25">
      <c r="A1073"/>
      <c r="B1073"/>
      <c r="C1073"/>
      <c r="D1073"/>
    </row>
    <row r="1074" spans="1:4" x14ac:dyDescent="0.25">
      <c r="A1074"/>
      <c r="B1074"/>
      <c r="C1074"/>
      <c r="D1074"/>
    </row>
    <row r="1075" spans="1:4" x14ac:dyDescent="0.25">
      <c r="A1075"/>
      <c r="B1075"/>
      <c r="C1075"/>
      <c r="D1075"/>
    </row>
    <row r="1076" spans="1:4" x14ac:dyDescent="0.25">
      <c r="A1076"/>
      <c r="B1076"/>
      <c r="C1076"/>
      <c r="D1076"/>
    </row>
    <row r="1077" spans="1:4" x14ac:dyDescent="0.25">
      <c r="A1077"/>
      <c r="B1077"/>
      <c r="C1077"/>
      <c r="D1077"/>
    </row>
    <row r="1078" spans="1:4" x14ac:dyDescent="0.25">
      <c r="A1078"/>
      <c r="B1078"/>
      <c r="C1078"/>
      <c r="D1078"/>
    </row>
    <row r="1079" spans="1:4" x14ac:dyDescent="0.25">
      <c r="A1079"/>
      <c r="B1079"/>
      <c r="C1079"/>
      <c r="D1079"/>
    </row>
    <row r="1080" spans="1:4" x14ac:dyDescent="0.25">
      <c r="A1080"/>
      <c r="B1080"/>
      <c r="C1080"/>
      <c r="D1080"/>
    </row>
    <row r="1081" spans="1:4" x14ac:dyDescent="0.25">
      <c r="A1081"/>
      <c r="B1081"/>
      <c r="C1081"/>
      <c r="D1081"/>
    </row>
    <row r="1082" spans="1:4" x14ac:dyDescent="0.25">
      <c r="A1082"/>
      <c r="B1082"/>
      <c r="C1082"/>
      <c r="D1082"/>
    </row>
    <row r="1083" spans="1:4" x14ac:dyDescent="0.25">
      <c r="A1083"/>
      <c r="B1083"/>
      <c r="C1083"/>
      <c r="D1083"/>
    </row>
    <row r="1084" spans="1:4" x14ac:dyDescent="0.25">
      <c r="A1084"/>
      <c r="B1084"/>
      <c r="C1084"/>
      <c r="D1084"/>
    </row>
    <row r="1085" spans="1:4" x14ac:dyDescent="0.25">
      <c r="A1085"/>
      <c r="B1085"/>
      <c r="C1085"/>
      <c r="D1085"/>
    </row>
    <row r="1086" spans="1:4" x14ac:dyDescent="0.25">
      <c r="A1086"/>
      <c r="B1086"/>
      <c r="C1086"/>
      <c r="D1086"/>
    </row>
    <row r="1087" spans="1:4" x14ac:dyDescent="0.25">
      <c r="A1087"/>
      <c r="B1087"/>
      <c r="C1087"/>
      <c r="D1087"/>
    </row>
    <row r="1088" spans="1:4" x14ac:dyDescent="0.25">
      <c r="A1088"/>
      <c r="B1088"/>
      <c r="C1088"/>
      <c r="D1088"/>
    </row>
    <row r="1089" spans="1:4" x14ac:dyDescent="0.25">
      <c r="A1089"/>
      <c r="B1089"/>
      <c r="C1089"/>
      <c r="D1089"/>
    </row>
    <row r="1090" spans="1:4" x14ac:dyDescent="0.25">
      <c r="A1090"/>
      <c r="B1090"/>
      <c r="C1090"/>
      <c r="D1090"/>
    </row>
    <row r="1091" spans="1:4" x14ac:dyDescent="0.25">
      <c r="A1091"/>
      <c r="B1091"/>
      <c r="C1091"/>
      <c r="D1091"/>
    </row>
    <row r="1092" spans="1:4" x14ac:dyDescent="0.25">
      <c r="A1092"/>
      <c r="B1092"/>
      <c r="C1092"/>
      <c r="D1092"/>
    </row>
    <row r="1093" spans="1:4" x14ac:dyDescent="0.25">
      <c r="A1093"/>
      <c r="B1093"/>
      <c r="C1093"/>
      <c r="D1093"/>
    </row>
    <row r="1094" spans="1:4" x14ac:dyDescent="0.25">
      <c r="A1094"/>
      <c r="B1094"/>
      <c r="C1094"/>
      <c r="D1094"/>
    </row>
    <row r="1095" spans="1:4" x14ac:dyDescent="0.25">
      <c r="A1095"/>
      <c r="B1095"/>
      <c r="C1095"/>
      <c r="D1095"/>
    </row>
    <row r="1096" spans="1:4" x14ac:dyDescent="0.25">
      <c r="A1096"/>
      <c r="B1096"/>
      <c r="C1096"/>
      <c r="D1096"/>
    </row>
    <row r="1097" spans="1:4" x14ac:dyDescent="0.25">
      <c r="A1097"/>
      <c r="B1097"/>
      <c r="C1097"/>
      <c r="D1097"/>
    </row>
    <row r="1098" spans="1:4" x14ac:dyDescent="0.25">
      <c r="A1098"/>
      <c r="B1098"/>
      <c r="C1098"/>
      <c r="D1098"/>
    </row>
    <row r="1099" spans="1:4" x14ac:dyDescent="0.25">
      <c r="A1099"/>
      <c r="B1099"/>
      <c r="C1099"/>
      <c r="D1099"/>
    </row>
    <row r="1100" spans="1:4" x14ac:dyDescent="0.25">
      <c r="A1100"/>
      <c r="B1100"/>
      <c r="C1100"/>
      <c r="D1100"/>
    </row>
    <row r="1101" spans="1:4" x14ac:dyDescent="0.25">
      <c r="A1101"/>
      <c r="B1101"/>
      <c r="C1101"/>
      <c r="D1101"/>
    </row>
    <row r="1102" spans="1:4" x14ac:dyDescent="0.25">
      <c r="A1102"/>
      <c r="B1102"/>
      <c r="C1102"/>
      <c r="D1102"/>
    </row>
    <row r="1103" spans="1:4" x14ac:dyDescent="0.25">
      <c r="A1103"/>
      <c r="B1103"/>
      <c r="C1103"/>
      <c r="D1103"/>
    </row>
    <row r="1104" spans="1:4" x14ac:dyDescent="0.25">
      <c r="A1104"/>
      <c r="B1104"/>
      <c r="C1104"/>
      <c r="D1104"/>
    </row>
    <row r="1105" spans="1:4" x14ac:dyDescent="0.25">
      <c r="A1105"/>
      <c r="B1105"/>
      <c r="C1105"/>
      <c r="D1105"/>
    </row>
    <row r="1106" spans="1:4" x14ac:dyDescent="0.25">
      <c r="A1106"/>
      <c r="B1106"/>
      <c r="C1106"/>
      <c r="D1106"/>
    </row>
    <row r="1107" spans="1:4" x14ac:dyDescent="0.25">
      <c r="A1107"/>
      <c r="B1107"/>
      <c r="C1107"/>
      <c r="D1107"/>
    </row>
    <row r="1108" spans="1:4" x14ac:dyDescent="0.25">
      <c r="A1108"/>
      <c r="B1108"/>
      <c r="C1108"/>
      <c r="D1108"/>
    </row>
    <row r="1109" spans="1:4" x14ac:dyDescent="0.25">
      <c r="A1109"/>
      <c r="B1109"/>
      <c r="C1109"/>
      <c r="D1109"/>
    </row>
    <row r="1110" spans="1:4" x14ac:dyDescent="0.25">
      <c r="A1110"/>
      <c r="B1110"/>
      <c r="C1110"/>
      <c r="D1110"/>
    </row>
    <row r="1111" spans="1:4" x14ac:dyDescent="0.25">
      <c r="A1111"/>
      <c r="B1111"/>
      <c r="C1111"/>
      <c r="D1111"/>
    </row>
    <row r="1112" spans="1:4" x14ac:dyDescent="0.25">
      <c r="A1112"/>
      <c r="B1112"/>
      <c r="C1112"/>
      <c r="D1112"/>
    </row>
    <row r="1113" spans="1:4" x14ac:dyDescent="0.25">
      <c r="A1113"/>
      <c r="B1113"/>
      <c r="C1113"/>
      <c r="D1113"/>
    </row>
    <row r="1114" spans="1:4" x14ac:dyDescent="0.25">
      <c r="A1114"/>
      <c r="B1114"/>
      <c r="C1114"/>
      <c r="D1114"/>
    </row>
    <row r="1115" spans="1:4" x14ac:dyDescent="0.25">
      <c r="A1115"/>
      <c r="B1115"/>
      <c r="C1115"/>
      <c r="D1115"/>
    </row>
    <row r="1116" spans="1:4" x14ac:dyDescent="0.25">
      <c r="A1116"/>
      <c r="B1116"/>
      <c r="C1116"/>
      <c r="D1116"/>
    </row>
    <row r="1117" spans="1:4" x14ac:dyDescent="0.25">
      <c r="A1117"/>
      <c r="B1117"/>
      <c r="C1117"/>
      <c r="D1117"/>
    </row>
    <row r="1118" spans="1:4" x14ac:dyDescent="0.25">
      <c r="A1118"/>
      <c r="B1118"/>
      <c r="C1118"/>
      <c r="D1118"/>
    </row>
    <row r="1119" spans="1:4" x14ac:dyDescent="0.25">
      <c r="A1119"/>
      <c r="B1119"/>
      <c r="C1119"/>
      <c r="D1119"/>
    </row>
    <row r="1120" spans="1:4" x14ac:dyDescent="0.25">
      <c r="A1120"/>
      <c r="B1120"/>
      <c r="C1120"/>
      <c r="D1120"/>
    </row>
    <row r="1121" spans="1:4" x14ac:dyDescent="0.25">
      <c r="A1121"/>
      <c r="B1121"/>
      <c r="C1121"/>
      <c r="D1121"/>
    </row>
    <row r="1122" spans="1:4" x14ac:dyDescent="0.25">
      <c r="A1122"/>
      <c r="B1122"/>
      <c r="C1122"/>
      <c r="D1122"/>
    </row>
    <row r="1123" spans="1:4" x14ac:dyDescent="0.25">
      <c r="A1123"/>
      <c r="B1123"/>
      <c r="C1123"/>
      <c r="D1123"/>
    </row>
    <row r="1124" spans="1:4" x14ac:dyDescent="0.25">
      <c r="A1124"/>
      <c r="B1124"/>
      <c r="C1124"/>
      <c r="D1124"/>
    </row>
    <row r="1125" spans="1:4" x14ac:dyDescent="0.25">
      <c r="A1125"/>
      <c r="B1125"/>
      <c r="C1125"/>
      <c r="D1125"/>
    </row>
    <row r="1126" spans="1:4" x14ac:dyDescent="0.25">
      <c r="A1126"/>
      <c r="B1126"/>
      <c r="C1126"/>
      <c r="D1126"/>
    </row>
    <row r="1127" spans="1:4" x14ac:dyDescent="0.25">
      <c r="A1127"/>
      <c r="B1127"/>
      <c r="C1127"/>
      <c r="D1127"/>
    </row>
    <row r="1128" spans="1:4" x14ac:dyDescent="0.25">
      <c r="A1128"/>
      <c r="B1128"/>
      <c r="C1128"/>
      <c r="D1128"/>
    </row>
    <row r="1129" spans="1:4" x14ac:dyDescent="0.25">
      <c r="A1129"/>
      <c r="B1129"/>
      <c r="C1129"/>
      <c r="D1129"/>
    </row>
    <row r="1130" spans="1:4" x14ac:dyDescent="0.25">
      <c r="A1130"/>
      <c r="B1130"/>
      <c r="C1130"/>
      <c r="D1130"/>
    </row>
    <row r="1131" spans="1:4" x14ac:dyDescent="0.25">
      <c r="A1131"/>
      <c r="B1131"/>
      <c r="C1131"/>
      <c r="D1131"/>
    </row>
    <row r="1132" spans="1:4" x14ac:dyDescent="0.25">
      <c r="A1132"/>
      <c r="B1132"/>
      <c r="C1132"/>
      <c r="D1132"/>
    </row>
    <row r="1133" spans="1:4" x14ac:dyDescent="0.25">
      <c r="A1133"/>
      <c r="B1133"/>
      <c r="C1133"/>
      <c r="D1133"/>
    </row>
    <row r="1134" spans="1:4" x14ac:dyDescent="0.25">
      <c r="A1134"/>
      <c r="B1134"/>
      <c r="C1134"/>
      <c r="D1134"/>
    </row>
    <row r="1135" spans="1:4" x14ac:dyDescent="0.25">
      <c r="A1135"/>
      <c r="B1135"/>
      <c r="C1135"/>
      <c r="D1135"/>
    </row>
    <row r="1136" spans="1:4" x14ac:dyDescent="0.25">
      <c r="A1136"/>
      <c r="B1136"/>
      <c r="C1136"/>
      <c r="D1136"/>
    </row>
    <row r="1137" spans="1:4" x14ac:dyDescent="0.25">
      <c r="A1137"/>
      <c r="B1137"/>
      <c r="C1137"/>
      <c r="D1137"/>
    </row>
    <row r="1138" spans="1:4" x14ac:dyDescent="0.25">
      <c r="A1138"/>
      <c r="B1138"/>
      <c r="C1138"/>
      <c r="D1138"/>
    </row>
    <row r="1139" spans="1:4" x14ac:dyDescent="0.25">
      <c r="A1139"/>
      <c r="B1139"/>
      <c r="C1139"/>
      <c r="D1139"/>
    </row>
    <row r="1140" spans="1:4" x14ac:dyDescent="0.25">
      <c r="A1140"/>
      <c r="B1140"/>
      <c r="C1140"/>
      <c r="D1140"/>
    </row>
    <row r="1141" spans="1:4" x14ac:dyDescent="0.25">
      <c r="A1141"/>
      <c r="B1141"/>
      <c r="C1141"/>
      <c r="D1141"/>
    </row>
    <row r="1142" spans="1:4" x14ac:dyDescent="0.25">
      <c r="A1142"/>
      <c r="B1142"/>
      <c r="C1142"/>
      <c r="D1142"/>
    </row>
    <row r="1143" spans="1:4" x14ac:dyDescent="0.25">
      <c r="A1143"/>
      <c r="B1143"/>
      <c r="C1143"/>
      <c r="D1143"/>
    </row>
    <row r="1144" spans="1:4" x14ac:dyDescent="0.25">
      <c r="A1144"/>
      <c r="B1144"/>
      <c r="C1144"/>
      <c r="D1144"/>
    </row>
    <row r="1145" spans="1:4" x14ac:dyDescent="0.25">
      <c r="A1145"/>
      <c r="B1145"/>
      <c r="C1145"/>
      <c r="D1145"/>
    </row>
    <row r="1146" spans="1:4" x14ac:dyDescent="0.25">
      <c r="A1146"/>
      <c r="B1146"/>
      <c r="C1146"/>
      <c r="D1146"/>
    </row>
    <row r="1147" spans="1:4" x14ac:dyDescent="0.25">
      <c r="A1147"/>
      <c r="B1147"/>
      <c r="C1147"/>
      <c r="D1147"/>
    </row>
    <row r="1148" spans="1:4" x14ac:dyDescent="0.25">
      <c r="A1148"/>
      <c r="B1148"/>
      <c r="C1148"/>
      <c r="D1148"/>
    </row>
    <row r="1149" spans="1:4" x14ac:dyDescent="0.25">
      <c r="A1149"/>
      <c r="B1149"/>
      <c r="C1149"/>
      <c r="D1149"/>
    </row>
    <row r="1150" spans="1:4" x14ac:dyDescent="0.25">
      <c r="A1150"/>
      <c r="B1150"/>
      <c r="C1150"/>
      <c r="D1150"/>
    </row>
    <row r="1151" spans="1:4" x14ac:dyDescent="0.25">
      <c r="A1151"/>
      <c r="B1151"/>
      <c r="C1151"/>
      <c r="D1151"/>
    </row>
    <row r="1152" spans="1:4" x14ac:dyDescent="0.25">
      <c r="A1152"/>
      <c r="B1152"/>
      <c r="C1152"/>
      <c r="D1152"/>
    </row>
    <row r="1153" spans="1:4" x14ac:dyDescent="0.25">
      <c r="A1153"/>
      <c r="B1153"/>
      <c r="C1153"/>
      <c r="D1153"/>
    </row>
    <row r="1154" spans="1:4" x14ac:dyDescent="0.25">
      <c r="A1154"/>
      <c r="B1154"/>
      <c r="C1154"/>
      <c r="D1154"/>
    </row>
    <row r="1155" spans="1:4" x14ac:dyDescent="0.25">
      <c r="A1155"/>
      <c r="B1155"/>
      <c r="C1155"/>
      <c r="D1155"/>
    </row>
    <row r="1156" spans="1:4" x14ac:dyDescent="0.25">
      <c r="A1156"/>
      <c r="B1156"/>
      <c r="C1156"/>
      <c r="D1156"/>
    </row>
    <row r="1157" spans="1:4" x14ac:dyDescent="0.25">
      <c r="A1157"/>
      <c r="B1157"/>
      <c r="C1157"/>
      <c r="D1157"/>
    </row>
    <row r="1158" spans="1:4" x14ac:dyDescent="0.25">
      <c r="A1158"/>
      <c r="B1158"/>
      <c r="C1158"/>
      <c r="D1158"/>
    </row>
    <row r="1159" spans="1:4" x14ac:dyDescent="0.25">
      <c r="A1159"/>
      <c r="B1159"/>
      <c r="C1159"/>
      <c r="D1159"/>
    </row>
    <row r="1160" spans="1:4" x14ac:dyDescent="0.25">
      <c r="A1160"/>
      <c r="B1160"/>
      <c r="C1160"/>
      <c r="D1160"/>
    </row>
    <row r="1161" spans="1:4" x14ac:dyDescent="0.25">
      <c r="A1161"/>
      <c r="B1161"/>
      <c r="C1161"/>
      <c r="D1161"/>
    </row>
    <row r="1162" spans="1:4" x14ac:dyDescent="0.25">
      <c r="A1162"/>
      <c r="B1162"/>
      <c r="C1162"/>
      <c r="D1162"/>
    </row>
    <row r="1163" spans="1:4" x14ac:dyDescent="0.25">
      <c r="A1163"/>
      <c r="B1163"/>
      <c r="C1163"/>
      <c r="D1163"/>
    </row>
    <row r="1164" spans="1:4" x14ac:dyDescent="0.25">
      <c r="A1164"/>
      <c r="B1164"/>
      <c r="C1164"/>
      <c r="D1164"/>
    </row>
    <row r="1165" spans="1:4" x14ac:dyDescent="0.25">
      <c r="A1165"/>
      <c r="B1165"/>
      <c r="C1165"/>
      <c r="D1165"/>
    </row>
    <row r="1166" spans="1:4" x14ac:dyDescent="0.25">
      <c r="A1166"/>
      <c r="B1166"/>
      <c r="C1166"/>
      <c r="D1166"/>
    </row>
    <row r="1167" spans="1:4" x14ac:dyDescent="0.25">
      <c r="A1167"/>
      <c r="B1167"/>
      <c r="C1167"/>
      <c r="D1167"/>
    </row>
    <row r="1168" spans="1:4" x14ac:dyDescent="0.25">
      <c r="A1168"/>
      <c r="B1168"/>
      <c r="C1168"/>
      <c r="D1168"/>
    </row>
    <row r="1169" spans="1:4" x14ac:dyDescent="0.25">
      <c r="A1169"/>
      <c r="B1169"/>
      <c r="C1169"/>
      <c r="D1169"/>
    </row>
    <row r="1170" spans="1:4" x14ac:dyDescent="0.25">
      <c r="A1170"/>
      <c r="B1170"/>
      <c r="C1170"/>
      <c r="D1170"/>
    </row>
    <row r="1171" spans="1:4" x14ac:dyDescent="0.25">
      <c r="A1171"/>
      <c r="B1171"/>
      <c r="C1171"/>
      <c r="D1171"/>
    </row>
    <row r="1172" spans="1:4" x14ac:dyDescent="0.25">
      <c r="A1172"/>
      <c r="B1172"/>
      <c r="C1172"/>
      <c r="D1172"/>
    </row>
    <row r="1173" spans="1:4" x14ac:dyDescent="0.25">
      <c r="A1173"/>
      <c r="B1173"/>
      <c r="C1173"/>
      <c r="D1173"/>
    </row>
    <row r="1174" spans="1:4" x14ac:dyDescent="0.25">
      <c r="A1174"/>
      <c r="B1174"/>
      <c r="C1174"/>
      <c r="D1174"/>
    </row>
    <row r="1175" spans="1:4" x14ac:dyDescent="0.25">
      <c r="A1175"/>
      <c r="B1175"/>
      <c r="C1175"/>
      <c r="D1175"/>
    </row>
    <row r="1176" spans="1:4" x14ac:dyDescent="0.25">
      <c r="A1176"/>
      <c r="B1176"/>
      <c r="C1176"/>
      <c r="D1176"/>
    </row>
    <row r="1177" spans="1:4" x14ac:dyDescent="0.25">
      <c r="A1177"/>
      <c r="B1177"/>
      <c r="C1177"/>
      <c r="D1177"/>
    </row>
    <row r="1178" spans="1:4" x14ac:dyDescent="0.25">
      <c r="A1178"/>
      <c r="B1178"/>
      <c r="C1178"/>
      <c r="D1178"/>
    </row>
    <row r="1179" spans="1:4" x14ac:dyDescent="0.25">
      <c r="A1179"/>
      <c r="B1179"/>
      <c r="C1179"/>
      <c r="D1179"/>
    </row>
    <row r="1180" spans="1:4" x14ac:dyDescent="0.25">
      <c r="A1180"/>
      <c r="B1180"/>
      <c r="C1180"/>
      <c r="D1180"/>
    </row>
    <row r="1181" spans="1:4" x14ac:dyDescent="0.25">
      <c r="A1181"/>
      <c r="B1181"/>
      <c r="C1181"/>
      <c r="D1181"/>
    </row>
    <row r="1182" spans="1:4" x14ac:dyDescent="0.25">
      <c r="A1182"/>
      <c r="B1182"/>
      <c r="C1182"/>
      <c r="D1182"/>
    </row>
    <row r="1183" spans="1:4" x14ac:dyDescent="0.25">
      <c r="A1183"/>
      <c r="B1183"/>
      <c r="C1183"/>
      <c r="D1183"/>
    </row>
    <row r="1184" spans="1:4" x14ac:dyDescent="0.25">
      <c r="A1184"/>
      <c r="B1184"/>
      <c r="C1184"/>
      <c r="D1184"/>
    </row>
    <row r="1185" spans="1:4" x14ac:dyDescent="0.25">
      <c r="A1185"/>
      <c r="B1185"/>
      <c r="C1185"/>
      <c r="D1185"/>
    </row>
    <row r="1186" spans="1:4" x14ac:dyDescent="0.25">
      <c r="A1186"/>
      <c r="B1186"/>
      <c r="C1186"/>
      <c r="D1186"/>
    </row>
    <row r="1187" spans="1:4" x14ac:dyDescent="0.25">
      <c r="A1187"/>
      <c r="B1187"/>
      <c r="C1187"/>
      <c r="D1187"/>
    </row>
    <row r="1188" spans="1:4" x14ac:dyDescent="0.25">
      <c r="A1188"/>
      <c r="B1188"/>
      <c r="C1188"/>
      <c r="D1188"/>
    </row>
    <row r="1189" spans="1:4" x14ac:dyDescent="0.25">
      <c r="A1189"/>
      <c r="B1189"/>
      <c r="C1189"/>
      <c r="D1189"/>
    </row>
    <row r="1190" spans="1:4" x14ac:dyDescent="0.25">
      <c r="A1190"/>
      <c r="B1190"/>
      <c r="C1190"/>
      <c r="D1190"/>
    </row>
    <row r="1191" spans="1:4" x14ac:dyDescent="0.25">
      <c r="A1191"/>
      <c r="B1191"/>
      <c r="C1191"/>
      <c r="D1191"/>
    </row>
    <row r="1192" spans="1:4" x14ac:dyDescent="0.25">
      <c r="A1192"/>
      <c r="B1192"/>
      <c r="C1192"/>
      <c r="D1192"/>
    </row>
    <row r="1193" spans="1:4" x14ac:dyDescent="0.25">
      <c r="A1193"/>
      <c r="B1193"/>
      <c r="C1193"/>
      <c r="D1193"/>
    </row>
    <row r="1194" spans="1:4" x14ac:dyDescent="0.25">
      <c r="A1194"/>
      <c r="B1194"/>
      <c r="C1194"/>
      <c r="D1194"/>
    </row>
    <row r="1195" spans="1:4" x14ac:dyDescent="0.25">
      <c r="A1195"/>
      <c r="B1195"/>
      <c r="C1195"/>
      <c r="D1195"/>
    </row>
    <row r="1196" spans="1:4" x14ac:dyDescent="0.25">
      <c r="A1196"/>
      <c r="B1196"/>
      <c r="C1196"/>
      <c r="D1196"/>
    </row>
    <row r="1197" spans="1:4" x14ac:dyDescent="0.25">
      <c r="A1197"/>
      <c r="B1197"/>
      <c r="C1197"/>
      <c r="D1197"/>
    </row>
    <row r="1198" spans="1:4" x14ac:dyDescent="0.25">
      <c r="A1198"/>
      <c r="B1198"/>
      <c r="C1198"/>
      <c r="D1198"/>
    </row>
    <row r="1199" spans="1:4" x14ac:dyDescent="0.25">
      <c r="A1199"/>
      <c r="B1199"/>
      <c r="C1199"/>
      <c r="D1199"/>
    </row>
    <row r="1200" spans="1:4" x14ac:dyDescent="0.25">
      <c r="A1200"/>
      <c r="B1200"/>
      <c r="C1200"/>
      <c r="D1200"/>
    </row>
    <row r="1201" spans="1:4" x14ac:dyDescent="0.25">
      <c r="A1201"/>
      <c r="B1201"/>
      <c r="C1201"/>
      <c r="D1201"/>
    </row>
    <row r="1202" spans="1:4" x14ac:dyDescent="0.25">
      <c r="A1202"/>
      <c r="B1202"/>
      <c r="C1202"/>
      <c r="D1202"/>
    </row>
    <row r="1203" spans="1:4" x14ac:dyDescent="0.25">
      <c r="A1203"/>
      <c r="B1203"/>
      <c r="C1203"/>
      <c r="D1203"/>
    </row>
    <row r="1204" spans="1:4" x14ac:dyDescent="0.25">
      <c r="A1204"/>
      <c r="B1204"/>
      <c r="C1204"/>
      <c r="D1204"/>
    </row>
    <row r="1205" spans="1:4" x14ac:dyDescent="0.25">
      <c r="A1205"/>
      <c r="B1205"/>
      <c r="C1205"/>
      <c r="D1205"/>
    </row>
    <row r="1206" spans="1:4" x14ac:dyDescent="0.25">
      <c r="A1206"/>
      <c r="B1206"/>
      <c r="C1206"/>
      <c r="D1206"/>
    </row>
    <row r="1207" spans="1:4" x14ac:dyDescent="0.25">
      <c r="A1207"/>
      <c r="B1207"/>
      <c r="C1207"/>
      <c r="D1207"/>
    </row>
    <row r="1208" spans="1:4" x14ac:dyDescent="0.25">
      <c r="A1208"/>
      <c r="B1208"/>
      <c r="C1208"/>
      <c r="D1208"/>
    </row>
    <row r="1209" spans="1:4" x14ac:dyDescent="0.25">
      <c r="A1209"/>
      <c r="B1209"/>
      <c r="C1209"/>
      <c r="D1209"/>
    </row>
    <row r="1210" spans="1:4" x14ac:dyDescent="0.25">
      <c r="A1210"/>
      <c r="B1210"/>
      <c r="C1210"/>
      <c r="D1210"/>
    </row>
    <row r="1211" spans="1:4" x14ac:dyDescent="0.25">
      <c r="A1211"/>
      <c r="B1211"/>
      <c r="C1211"/>
      <c r="D1211"/>
    </row>
    <row r="1212" spans="1:4" x14ac:dyDescent="0.25">
      <c r="A1212"/>
      <c r="B1212"/>
      <c r="C1212"/>
      <c r="D1212"/>
    </row>
    <row r="1213" spans="1:4" x14ac:dyDescent="0.25">
      <c r="A1213"/>
      <c r="B1213"/>
      <c r="C1213"/>
      <c r="D1213"/>
    </row>
    <row r="1214" spans="1:4" x14ac:dyDescent="0.25">
      <c r="A1214"/>
      <c r="B1214"/>
      <c r="C1214"/>
      <c r="D1214"/>
    </row>
    <row r="1215" spans="1:4" x14ac:dyDescent="0.25">
      <c r="A1215"/>
      <c r="B1215"/>
      <c r="C1215"/>
      <c r="D1215"/>
    </row>
    <row r="1216" spans="1:4" x14ac:dyDescent="0.25">
      <c r="A1216"/>
      <c r="B1216"/>
      <c r="C1216"/>
      <c r="D1216"/>
    </row>
    <row r="1217" spans="1:4" x14ac:dyDescent="0.25">
      <c r="A1217"/>
      <c r="B1217"/>
      <c r="C1217"/>
      <c r="D1217"/>
    </row>
    <row r="1218" spans="1:4" x14ac:dyDescent="0.25">
      <c r="A1218"/>
      <c r="B1218"/>
      <c r="C1218"/>
      <c r="D1218"/>
    </row>
    <row r="1219" spans="1:4" x14ac:dyDescent="0.25">
      <c r="A1219"/>
      <c r="B1219"/>
      <c r="C1219"/>
      <c r="D1219"/>
    </row>
    <row r="1220" spans="1:4" x14ac:dyDescent="0.25">
      <c r="A1220"/>
      <c r="B1220"/>
      <c r="C1220"/>
      <c r="D1220"/>
    </row>
    <row r="1221" spans="1:4" x14ac:dyDescent="0.25">
      <c r="A1221"/>
      <c r="B1221"/>
      <c r="C1221"/>
      <c r="D1221"/>
    </row>
    <row r="1222" spans="1:4" x14ac:dyDescent="0.25">
      <c r="A1222"/>
      <c r="B1222"/>
      <c r="C1222"/>
      <c r="D1222"/>
    </row>
    <row r="1223" spans="1:4" x14ac:dyDescent="0.25">
      <c r="A1223"/>
      <c r="B1223"/>
      <c r="C1223"/>
      <c r="D1223"/>
    </row>
    <row r="1224" spans="1:4" x14ac:dyDescent="0.25">
      <c r="A1224"/>
      <c r="B1224"/>
      <c r="C1224"/>
      <c r="D1224"/>
    </row>
    <row r="1225" spans="1:4" x14ac:dyDescent="0.25">
      <c r="A1225"/>
      <c r="B1225"/>
      <c r="C1225"/>
      <c r="D1225"/>
    </row>
    <row r="1226" spans="1:4" x14ac:dyDescent="0.25">
      <c r="A1226"/>
      <c r="B1226"/>
      <c r="C1226"/>
      <c r="D1226"/>
    </row>
    <row r="1227" spans="1:4" x14ac:dyDescent="0.25">
      <c r="A1227"/>
      <c r="B1227"/>
      <c r="C1227"/>
      <c r="D1227"/>
    </row>
    <row r="1228" spans="1:4" x14ac:dyDescent="0.25">
      <c r="A1228"/>
      <c r="B1228"/>
      <c r="C1228"/>
      <c r="D1228"/>
    </row>
    <row r="1229" spans="1:4" x14ac:dyDescent="0.25">
      <c r="A1229"/>
      <c r="B1229"/>
      <c r="C1229"/>
      <c r="D1229"/>
    </row>
    <row r="1230" spans="1:4" x14ac:dyDescent="0.25">
      <c r="A1230"/>
      <c r="B1230"/>
      <c r="C1230"/>
      <c r="D1230"/>
    </row>
    <row r="1231" spans="1:4" x14ac:dyDescent="0.25">
      <c r="A1231"/>
      <c r="B1231"/>
      <c r="C1231"/>
      <c r="D1231"/>
    </row>
    <row r="1232" spans="1:4" x14ac:dyDescent="0.25">
      <c r="A1232"/>
      <c r="B1232"/>
      <c r="C1232"/>
      <c r="D1232"/>
    </row>
    <row r="1233" spans="1:4" x14ac:dyDescent="0.25">
      <c r="A1233"/>
      <c r="B1233"/>
      <c r="C1233"/>
      <c r="D1233"/>
    </row>
    <row r="1234" spans="1:4" x14ac:dyDescent="0.25">
      <c r="A1234"/>
      <c r="B1234"/>
      <c r="C1234"/>
      <c r="D1234"/>
    </row>
    <row r="1235" spans="1:4" x14ac:dyDescent="0.25">
      <c r="A1235"/>
      <c r="B1235"/>
      <c r="C1235"/>
      <c r="D1235"/>
    </row>
    <row r="1236" spans="1:4" x14ac:dyDescent="0.25">
      <c r="A1236"/>
      <c r="B1236"/>
      <c r="C1236"/>
      <c r="D1236"/>
    </row>
    <row r="1237" spans="1:4" x14ac:dyDescent="0.25">
      <c r="A1237"/>
      <c r="B1237"/>
      <c r="C1237"/>
      <c r="D1237"/>
    </row>
    <row r="1238" spans="1:4" x14ac:dyDescent="0.25">
      <c r="A1238"/>
      <c r="B1238"/>
      <c r="C1238"/>
      <c r="D1238"/>
    </row>
    <row r="1239" spans="1:4" x14ac:dyDescent="0.25">
      <c r="A1239"/>
      <c r="B1239"/>
      <c r="C1239"/>
      <c r="D1239"/>
    </row>
    <row r="1240" spans="1:4" x14ac:dyDescent="0.25">
      <c r="A1240"/>
      <c r="B1240"/>
      <c r="C1240"/>
      <c r="D1240"/>
    </row>
    <row r="1241" spans="1:4" x14ac:dyDescent="0.25">
      <c r="A1241"/>
      <c r="B1241"/>
      <c r="C1241"/>
      <c r="D1241"/>
    </row>
    <row r="1242" spans="1:4" x14ac:dyDescent="0.25">
      <c r="A1242"/>
      <c r="B1242"/>
      <c r="C1242"/>
      <c r="D1242"/>
    </row>
    <row r="1243" spans="1:4" x14ac:dyDescent="0.25">
      <c r="A1243"/>
      <c r="B1243"/>
      <c r="C1243"/>
      <c r="D1243"/>
    </row>
    <row r="1244" spans="1:4" x14ac:dyDescent="0.25">
      <c r="A1244"/>
      <c r="B1244"/>
      <c r="C1244"/>
      <c r="D1244"/>
    </row>
    <row r="1245" spans="1:4" x14ac:dyDescent="0.25">
      <c r="A1245"/>
      <c r="B1245"/>
      <c r="C1245"/>
      <c r="D1245"/>
    </row>
    <row r="1246" spans="1:4" x14ac:dyDescent="0.25">
      <c r="A1246"/>
      <c r="B1246"/>
      <c r="C1246"/>
      <c r="D1246"/>
    </row>
    <row r="1247" spans="1:4" x14ac:dyDescent="0.25">
      <c r="A1247"/>
      <c r="B1247"/>
      <c r="C1247"/>
      <c r="D1247"/>
    </row>
    <row r="1248" spans="1:4" x14ac:dyDescent="0.25">
      <c r="A1248"/>
      <c r="B1248"/>
      <c r="C1248"/>
      <c r="D1248"/>
    </row>
    <row r="1249" spans="1:4" x14ac:dyDescent="0.25">
      <c r="A1249"/>
      <c r="B1249"/>
      <c r="C1249"/>
      <c r="D1249"/>
    </row>
    <row r="1250" spans="1:4" x14ac:dyDescent="0.25">
      <c r="A1250"/>
      <c r="B1250"/>
      <c r="C1250"/>
      <c r="D1250"/>
    </row>
    <row r="1251" spans="1:4" x14ac:dyDescent="0.25">
      <c r="A1251"/>
      <c r="B1251"/>
      <c r="C1251"/>
      <c r="D1251"/>
    </row>
    <row r="1252" spans="1:4" x14ac:dyDescent="0.25">
      <c r="A1252"/>
      <c r="B1252"/>
      <c r="C1252"/>
      <c r="D1252"/>
    </row>
    <row r="1253" spans="1:4" x14ac:dyDescent="0.25">
      <c r="A1253"/>
      <c r="B1253"/>
      <c r="C1253"/>
      <c r="D1253"/>
    </row>
    <row r="1254" spans="1:4" x14ac:dyDescent="0.25">
      <c r="A1254"/>
      <c r="B1254"/>
      <c r="C1254"/>
      <c r="D1254"/>
    </row>
    <row r="1255" spans="1:4" x14ac:dyDescent="0.25">
      <c r="A1255"/>
      <c r="B1255"/>
      <c r="C1255"/>
      <c r="D1255"/>
    </row>
    <row r="1256" spans="1:4" x14ac:dyDescent="0.25">
      <c r="A1256"/>
      <c r="B1256"/>
      <c r="C1256"/>
      <c r="D1256"/>
    </row>
    <row r="1257" spans="1:4" x14ac:dyDescent="0.25">
      <c r="A1257"/>
      <c r="B1257"/>
      <c r="C1257"/>
      <c r="D1257"/>
    </row>
    <row r="1258" spans="1:4" x14ac:dyDescent="0.25">
      <c r="A1258"/>
      <c r="B1258"/>
      <c r="C1258"/>
      <c r="D1258"/>
    </row>
    <row r="1259" spans="1:4" x14ac:dyDescent="0.25">
      <c r="A1259"/>
      <c r="B1259"/>
      <c r="C1259"/>
      <c r="D1259"/>
    </row>
    <row r="1260" spans="1:4" x14ac:dyDescent="0.25">
      <c r="A1260"/>
      <c r="B1260"/>
      <c r="C1260"/>
      <c r="D1260"/>
    </row>
    <row r="1261" spans="1:4" x14ac:dyDescent="0.25">
      <c r="A1261"/>
      <c r="B1261"/>
      <c r="C1261"/>
      <c r="D1261"/>
    </row>
    <row r="1262" spans="1:4" x14ac:dyDescent="0.25">
      <c r="A1262"/>
      <c r="B1262"/>
      <c r="C1262"/>
      <c r="D1262"/>
    </row>
    <row r="1263" spans="1:4" x14ac:dyDescent="0.25">
      <c r="A1263"/>
      <c r="B1263"/>
      <c r="C1263"/>
      <c r="D1263"/>
    </row>
    <row r="1264" spans="1:4" x14ac:dyDescent="0.25">
      <c r="A1264"/>
      <c r="B1264"/>
      <c r="C1264"/>
      <c r="D1264"/>
    </row>
    <row r="1265" spans="1:4" x14ac:dyDescent="0.25">
      <c r="A1265"/>
      <c r="B1265"/>
      <c r="C1265"/>
      <c r="D1265"/>
    </row>
    <row r="1266" spans="1:4" x14ac:dyDescent="0.25">
      <c r="A1266"/>
      <c r="B1266"/>
      <c r="C1266"/>
      <c r="D1266"/>
    </row>
    <row r="1267" spans="1:4" x14ac:dyDescent="0.25">
      <c r="A1267"/>
      <c r="B1267"/>
      <c r="C1267"/>
      <c r="D1267"/>
    </row>
    <row r="1268" spans="1:4" x14ac:dyDescent="0.25">
      <c r="A1268"/>
      <c r="B1268"/>
      <c r="C1268"/>
      <c r="D1268"/>
    </row>
    <row r="1269" spans="1:4" x14ac:dyDescent="0.25">
      <c r="A1269"/>
      <c r="B1269"/>
      <c r="C1269"/>
      <c r="D1269"/>
    </row>
    <row r="1270" spans="1:4" x14ac:dyDescent="0.25">
      <c r="A1270"/>
      <c r="B1270"/>
      <c r="C1270"/>
      <c r="D1270"/>
    </row>
    <row r="1271" spans="1:4" x14ac:dyDescent="0.25">
      <c r="A1271"/>
      <c r="B1271"/>
      <c r="C1271"/>
      <c r="D1271"/>
    </row>
    <row r="1272" spans="1:4" x14ac:dyDescent="0.25">
      <c r="A1272"/>
      <c r="B1272"/>
      <c r="C1272"/>
      <c r="D1272"/>
    </row>
    <row r="1273" spans="1:4" x14ac:dyDescent="0.25">
      <c r="A1273"/>
      <c r="B1273"/>
      <c r="C1273"/>
      <c r="D1273"/>
    </row>
    <row r="1274" spans="1:4" x14ac:dyDescent="0.25">
      <c r="A1274"/>
      <c r="B1274"/>
      <c r="C1274"/>
      <c r="D1274"/>
    </row>
    <row r="1275" spans="1:4" x14ac:dyDescent="0.25">
      <c r="A1275"/>
      <c r="B1275"/>
      <c r="C1275"/>
      <c r="D1275"/>
    </row>
    <row r="1276" spans="1:4" x14ac:dyDescent="0.25">
      <c r="A1276"/>
      <c r="B1276"/>
      <c r="C1276"/>
      <c r="D1276"/>
    </row>
    <row r="1277" spans="1:4" x14ac:dyDescent="0.25">
      <c r="A1277"/>
      <c r="B1277"/>
      <c r="C1277"/>
      <c r="D1277"/>
    </row>
    <row r="1278" spans="1:4" x14ac:dyDescent="0.25">
      <c r="A1278"/>
      <c r="B1278"/>
      <c r="C1278"/>
      <c r="D1278"/>
    </row>
    <row r="1279" spans="1:4" x14ac:dyDescent="0.25">
      <c r="A1279"/>
      <c r="B1279"/>
      <c r="C1279"/>
      <c r="D1279"/>
    </row>
    <row r="1280" spans="1:4" x14ac:dyDescent="0.25">
      <c r="A1280"/>
      <c r="B1280"/>
      <c r="C1280"/>
      <c r="D1280"/>
    </row>
    <row r="1281" spans="1:4" x14ac:dyDescent="0.25">
      <c r="A1281"/>
      <c r="B1281"/>
      <c r="C1281"/>
      <c r="D1281"/>
    </row>
    <row r="1282" spans="1:4" x14ac:dyDescent="0.25">
      <c r="A1282"/>
      <c r="B1282"/>
      <c r="C1282"/>
      <c r="D1282"/>
    </row>
    <row r="1283" spans="1:4" x14ac:dyDescent="0.25">
      <c r="A1283"/>
      <c r="B1283"/>
      <c r="C1283"/>
      <c r="D1283"/>
    </row>
    <row r="1284" spans="1:4" x14ac:dyDescent="0.25">
      <c r="A1284"/>
      <c r="B1284"/>
      <c r="C1284"/>
      <c r="D1284"/>
    </row>
    <row r="1285" spans="1:4" x14ac:dyDescent="0.25">
      <c r="A1285"/>
      <c r="B1285"/>
      <c r="C1285"/>
      <c r="D1285"/>
    </row>
    <row r="1286" spans="1:4" x14ac:dyDescent="0.25">
      <c r="A1286"/>
      <c r="B1286"/>
      <c r="C1286"/>
      <c r="D1286"/>
    </row>
    <row r="1287" spans="1:4" x14ac:dyDescent="0.25">
      <c r="A1287"/>
      <c r="B1287"/>
      <c r="C1287"/>
      <c r="D1287"/>
    </row>
    <row r="1288" spans="1:4" x14ac:dyDescent="0.25">
      <c r="A1288"/>
      <c r="B1288"/>
      <c r="C1288"/>
      <c r="D1288"/>
    </row>
    <row r="1289" spans="1:4" x14ac:dyDescent="0.25">
      <c r="A1289"/>
      <c r="B1289"/>
      <c r="C1289"/>
      <c r="D1289"/>
    </row>
    <row r="1290" spans="1:4" x14ac:dyDescent="0.25">
      <c r="A1290"/>
      <c r="B1290"/>
      <c r="C1290"/>
      <c r="D1290"/>
    </row>
    <row r="1291" spans="1:4" x14ac:dyDescent="0.25">
      <c r="A1291"/>
      <c r="B1291"/>
      <c r="C1291"/>
      <c r="D1291"/>
    </row>
    <row r="1292" spans="1:4" x14ac:dyDescent="0.25">
      <c r="A1292"/>
      <c r="B1292"/>
      <c r="C1292"/>
      <c r="D1292"/>
    </row>
    <row r="1293" spans="1:4" x14ac:dyDescent="0.25">
      <c r="A1293"/>
      <c r="B1293"/>
      <c r="C1293"/>
      <c r="D1293"/>
    </row>
    <row r="1294" spans="1:4" x14ac:dyDescent="0.25">
      <c r="A1294"/>
      <c r="B1294"/>
      <c r="C1294"/>
      <c r="D1294"/>
    </row>
    <row r="1295" spans="1:4" x14ac:dyDescent="0.25">
      <c r="A1295"/>
      <c r="B1295"/>
      <c r="C1295"/>
      <c r="D1295"/>
    </row>
    <row r="1296" spans="1:4" x14ac:dyDescent="0.25">
      <c r="A1296"/>
      <c r="B1296"/>
      <c r="C1296"/>
      <c r="D1296"/>
    </row>
    <row r="1297" spans="1:4" x14ac:dyDescent="0.25">
      <c r="A1297"/>
      <c r="B1297"/>
      <c r="C1297"/>
      <c r="D1297"/>
    </row>
    <row r="1298" spans="1:4" x14ac:dyDescent="0.25">
      <c r="A1298"/>
      <c r="B1298"/>
      <c r="C1298"/>
      <c r="D1298"/>
    </row>
    <row r="1299" spans="1:4" x14ac:dyDescent="0.25">
      <c r="A1299"/>
      <c r="B1299"/>
      <c r="C1299"/>
      <c r="D1299"/>
    </row>
    <row r="1300" spans="1:4" x14ac:dyDescent="0.25">
      <c r="A1300"/>
      <c r="B1300"/>
      <c r="C1300"/>
      <c r="D1300"/>
    </row>
    <row r="1301" spans="1:4" x14ac:dyDescent="0.25">
      <c r="A1301"/>
      <c r="B1301"/>
      <c r="C1301"/>
      <c r="D1301"/>
    </row>
    <row r="1302" spans="1:4" x14ac:dyDescent="0.25">
      <c r="A1302"/>
      <c r="B1302"/>
      <c r="C1302"/>
      <c r="D1302"/>
    </row>
    <row r="1303" spans="1:4" x14ac:dyDescent="0.25">
      <c r="A1303"/>
      <c r="B1303"/>
      <c r="C1303"/>
      <c r="D1303"/>
    </row>
    <row r="1304" spans="1:4" x14ac:dyDescent="0.25">
      <c r="A1304"/>
      <c r="B1304"/>
      <c r="C1304"/>
      <c r="D1304"/>
    </row>
    <row r="1305" spans="1:4" x14ac:dyDescent="0.25">
      <c r="A1305"/>
      <c r="B1305"/>
      <c r="C1305"/>
      <c r="D1305"/>
    </row>
    <row r="1306" spans="1:4" x14ac:dyDescent="0.25">
      <c r="A1306"/>
      <c r="B1306"/>
      <c r="C1306"/>
      <c r="D1306"/>
    </row>
    <row r="1307" spans="1:4" x14ac:dyDescent="0.25">
      <c r="A1307"/>
      <c r="B1307"/>
      <c r="C1307"/>
      <c r="D1307"/>
    </row>
    <row r="1308" spans="1:4" x14ac:dyDescent="0.25">
      <c r="A1308"/>
      <c r="B1308"/>
      <c r="C1308"/>
      <c r="D1308"/>
    </row>
    <row r="1309" spans="1:4" x14ac:dyDescent="0.25">
      <c r="A1309"/>
      <c r="B1309"/>
      <c r="C1309"/>
      <c r="D1309"/>
    </row>
    <row r="1310" spans="1:4" x14ac:dyDescent="0.25">
      <c r="A1310"/>
      <c r="B1310"/>
      <c r="C1310"/>
      <c r="D1310"/>
    </row>
    <row r="1311" spans="1:4" x14ac:dyDescent="0.25">
      <c r="A1311"/>
      <c r="B1311"/>
      <c r="C1311"/>
      <c r="D1311"/>
    </row>
    <row r="1312" spans="1:4" x14ac:dyDescent="0.25">
      <c r="A1312"/>
      <c r="B1312"/>
      <c r="C1312"/>
      <c r="D1312"/>
    </row>
    <row r="1313" spans="1:4" x14ac:dyDescent="0.25">
      <c r="A1313"/>
      <c r="B1313"/>
      <c r="C1313"/>
      <c r="D1313"/>
    </row>
    <row r="1314" spans="1:4" x14ac:dyDescent="0.25">
      <c r="A1314"/>
      <c r="B1314"/>
      <c r="C1314"/>
      <c r="D1314"/>
    </row>
    <row r="1315" spans="1:4" x14ac:dyDescent="0.25">
      <c r="A1315"/>
      <c r="B1315"/>
      <c r="C1315"/>
      <c r="D1315"/>
    </row>
    <row r="1316" spans="1:4" x14ac:dyDescent="0.25">
      <c r="A1316"/>
      <c r="B1316"/>
      <c r="C1316"/>
      <c r="D1316"/>
    </row>
    <row r="1317" spans="1:4" x14ac:dyDescent="0.25">
      <c r="A1317"/>
      <c r="B1317"/>
      <c r="C1317"/>
      <c r="D1317"/>
    </row>
    <row r="1318" spans="1:4" x14ac:dyDescent="0.25">
      <c r="A1318"/>
      <c r="B1318"/>
      <c r="C1318"/>
      <c r="D1318"/>
    </row>
    <row r="1319" spans="1:4" x14ac:dyDescent="0.25">
      <c r="A1319"/>
      <c r="B1319"/>
      <c r="C1319"/>
      <c r="D1319"/>
    </row>
    <row r="1320" spans="1:4" x14ac:dyDescent="0.25">
      <c r="A1320"/>
      <c r="B1320"/>
      <c r="C1320"/>
      <c r="D1320"/>
    </row>
    <row r="1321" spans="1:4" x14ac:dyDescent="0.25">
      <c r="A1321"/>
      <c r="B1321"/>
      <c r="C1321"/>
      <c r="D1321"/>
    </row>
    <row r="1322" spans="1:4" x14ac:dyDescent="0.25">
      <c r="A1322"/>
      <c r="B1322"/>
      <c r="C1322"/>
      <c r="D1322"/>
    </row>
    <row r="1323" spans="1:4" x14ac:dyDescent="0.25">
      <c r="A1323"/>
      <c r="B1323"/>
      <c r="C1323"/>
      <c r="D1323"/>
    </row>
    <row r="1324" spans="1:4" x14ac:dyDescent="0.25">
      <c r="A1324"/>
      <c r="B1324"/>
      <c r="C1324"/>
      <c r="D1324"/>
    </row>
    <row r="1325" spans="1:4" x14ac:dyDescent="0.25">
      <c r="A1325"/>
      <c r="B1325"/>
      <c r="C1325"/>
      <c r="D1325"/>
    </row>
    <row r="1326" spans="1:4" x14ac:dyDescent="0.25">
      <c r="A1326"/>
      <c r="B1326"/>
      <c r="C1326"/>
      <c r="D1326"/>
    </row>
    <row r="1327" spans="1:4" x14ac:dyDescent="0.25">
      <c r="A1327"/>
      <c r="B1327"/>
      <c r="C1327"/>
      <c r="D1327"/>
    </row>
    <row r="1328" spans="1:4" x14ac:dyDescent="0.25">
      <c r="A1328"/>
      <c r="B1328"/>
      <c r="C1328"/>
      <c r="D1328"/>
    </row>
    <row r="1329" spans="1:4" x14ac:dyDescent="0.25">
      <c r="A1329"/>
      <c r="B1329"/>
      <c r="C1329"/>
      <c r="D1329"/>
    </row>
    <row r="1330" spans="1:4" x14ac:dyDescent="0.25">
      <c r="A1330"/>
      <c r="B1330"/>
      <c r="C1330"/>
      <c r="D1330"/>
    </row>
    <row r="1331" spans="1:4" x14ac:dyDescent="0.25">
      <c r="A1331"/>
      <c r="B1331"/>
      <c r="C1331"/>
      <c r="D1331"/>
    </row>
    <row r="1332" spans="1:4" x14ac:dyDescent="0.25">
      <c r="A1332"/>
      <c r="B1332"/>
      <c r="C1332"/>
      <c r="D1332"/>
    </row>
    <row r="1333" spans="1:4" x14ac:dyDescent="0.25">
      <c r="A1333"/>
      <c r="B1333"/>
      <c r="C1333"/>
      <c r="D1333"/>
    </row>
    <row r="1334" spans="1:4" x14ac:dyDescent="0.25">
      <c r="A1334"/>
      <c r="B1334"/>
      <c r="C1334"/>
      <c r="D1334"/>
    </row>
    <row r="1335" spans="1:4" x14ac:dyDescent="0.25">
      <c r="A1335"/>
      <c r="B1335"/>
      <c r="C1335"/>
      <c r="D1335"/>
    </row>
    <row r="1336" spans="1:4" x14ac:dyDescent="0.25">
      <c r="A1336"/>
      <c r="B1336"/>
      <c r="C1336"/>
      <c r="D1336"/>
    </row>
    <row r="1337" spans="1:4" x14ac:dyDescent="0.25">
      <c r="A1337"/>
      <c r="B1337"/>
      <c r="C1337"/>
      <c r="D1337"/>
    </row>
    <row r="1338" spans="1:4" x14ac:dyDescent="0.25">
      <c r="A1338"/>
      <c r="B1338"/>
      <c r="C1338"/>
      <c r="D1338"/>
    </row>
    <row r="1339" spans="1:4" x14ac:dyDescent="0.25">
      <c r="A1339"/>
      <c r="B1339"/>
      <c r="C1339"/>
      <c r="D1339"/>
    </row>
    <row r="1340" spans="1:4" x14ac:dyDescent="0.25">
      <c r="A1340"/>
      <c r="B1340"/>
      <c r="C1340"/>
      <c r="D1340"/>
    </row>
    <row r="1341" spans="1:4" x14ac:dyDescent="0.25">
      <c r="A1341"/>
      <c r="B1341"/>
      <c r="C1341"/>
      <c r="D1341"/>
    </row>
    <row r="1342" spans="1:4" x14ac:dyDescent="0.25">
      <c r="A1342"/>
      <c r="B1342"/>
      <c r="C1342"/>
      <c r="D1342"/>
    </row>
    <row r="1343" spans="1:4" x14ac:dyDescent="0.25">
      <c r="A1343"/>
      <c r="B1343"/>
      <c r="C1343"/>
      <c r="D1343"/>
    </row>
    <row r="1344" spans="1:4" x14ac:dyDescent="0.25">
      <c r="A1344"/>
      <c r="B1344"/>
      <c r="C1344"/>
      <c r="D1344"/>
    </row>
    <row r="1345" spans="1:4" x14ac:dyDescent="0.25">
      <c r="A1345"/>
      <c r="B1345"/>
      <c r="C1345"/>
      <c r="D1345"/>
    </row>
    <row r="1346" spans="1:4" x14ac:dyDescent="0.25">
      <c r="A1346"/>
      <c r="B1346"/>
      <c r="C1346"/>
      <c r="D1346"/>
    </row>
    <row r="1347" spans="1:4" x14ac:dyDescent="0.25">
      <c r="A1347"/>
      <c r="B1347"/>
      <c r="C1347"/>
      <c r="D1347"/>
    </row>
    <row r="1348" spans="1:4" x14ac:dyDescent="0.25">
      <c r="A1348"/>
      <c r="B1348"/>
      <c r="C1348"/>
      <c r="D1348"/>
    </row>
    <row r="1349" spans="1:4" x14ac:dyDescent="0.25">
      <c r="A1349"/>
      <c r="B1349"/>
      <c r="C1349"/>
      <c r="D1349"/>
    </row>
    <row r="1350" spans="1:4" x14ac:dyDescent="0.25">
      <c r="A1350"/>
      <c r="B1350"/>
      <c r="C1350"/>
      <c r="D1350"/>
    </row>
    <row r="1351" spans="1:4" x14ac:dyDescent="0.25">
      <c r="A1351"/>
      <c r="B1351"/>
      <c r="C1351"/>
      <c r="D1351"/>
    </row>
    <row r="1352" spans="1:4" x14ac:dyDescent="0.25">
      <c r="A1352"/>
      <c r="B1352"/>
      <c r="C1352"/>
      <c r="D1352"/>
    </row>
    <row r="1353" spans="1:4" x14ac:dyDescent="0.25">
      <c r="A1353"/>
      <c r="B1353"/>
      <c r="C1353"/>
      <c r="D1353"/>
    </row>
    <row r="1354" spans="1:4" x14ac:dyDescent="0.25">
      <c r="A1354"/>
      <c r="B1354"/>
      <c r="C1354"/>
      <c r="D1354"/>
    </row>
    <row r="1355" spans="1:4" x14ac:dyDescent="0.25">
      <c r="A1355"/>
      <c r="B1355"/>
      <c r="C1355"/>
      <c r="D1355"/>
    </row>
    <row r="1356" spans="1:4" x14ac:dyDescent="0.25">
      <c r="A1356"/>
      <c r="B1356"/>
      <c r="C1356"/>
      <c r="D1356"/>
    </row>
    <row r="1357" spans="1:4" x14ac:dyDescent="0.25">
      <c r="A1357"/>
      <c r="B1357"/>
      <c r="C1357"/>
      <c r="D1357"/>
    </row>
    <row r="1358" spans="1:4" x14ac:dyDescent="0.25">
      <c r="A1358"/>
      <c r="B1358"/>
      <c r="C1358"/>
      <c r="D1358"/>
    </row>
    <row r="1359" spans="1:4" x14ac:dyDescent="0.25">
      <c r="A1359"/>
      <c r="B1359"/>
      <c r="C1359"/>
      <c r="D1359"/>
    </row>
    <row r="1360" spans="1:4" x14ac:dyDescent="0.25">
      <c r="A1360"/>
      <c r="B1360"/>
      <c r="C1360"/>
      <c r="D1360"/>
    </row>
    <row r="1361" spans="1:4" x14ac:dyDescent="0.25">
      <c r="A1361"/>
      <c r="B1361"/>
      <c r="C1361"/>
      <c r="D1361"/>
    </row>
    <row r="1362" spans="1:4" x14ac:dyDescent="0.25">
      <c r="A1362"/>
      <c r="B1362"/>
      <c r="C1362"/>
      <c r="D1362"/>
    </row>
    <row r="1363" spans="1:4" x14ac:dyDescent="0.25">
      <c r="A1363"/>
      <c r="B1363"/>
      <c r="C1363"/>
      <c r="D1363"/>
    </row>
    <row r="1364" spans="1:4" x14ac:dyDescent="0.25">
      <c r="A1364"/>
      <c r="B1364"/>
      <c r="C1364"/>
      <c r="D1364"/>
    </row>
    <row r="1365" spans="1:4" x14ac:dyDescent="0.25">
      <c r="A1365"/>
      <c r="B1365"/>
      <c r="C1365"/>
      <c r="D1365"/>
    </row>
    <row r="1366" spans="1:4" x14ac:dyDescent="0.25">
      <c r="A1366"/>
      <c r="B1366"/>
      <c r="C1366"/>
      <c r="D1366"/>
    </row>
    <row r="1367" spans="1:4" x14ac:dyDescent="0.25">
      <c r="A1367"/>
      <c r="B1367"/>
      <c r="C1367"/>
      <c r="D1367"/>
    </row>
    <row r="1368" spans="1:4" x14ac:dyDescent="0.25">
      <c r="A1368"/>
      <c r="B1368"/>
      <c r="C1368"/>
      <c r="D1368"/>
    </row>
    <row r="1369" spans="1:4" x14ac:dyDescent="0.25">
      <c r="A1369"/>
      <c r="B1369"/>
      <c r="C1369"/>
      <c r="D1369"/>
    </row>
    <row r="1370" spans="1:4" x14ac:dyDescent="0.25">
      <c r="A1370"/>
      <c r="B1370"/>
      <c r="C1370"/>
      <c r="D1370"/>
    </row>
    <row r="1371" spans="1:4" x14ac:dyDescent="0.25">
      <c r="A1371"/>
      <c r="B1371"/>
      <c r="C1371"/>
      <c r="D1371"/>
    </row>
    <row r="1372" spans="1:4" x14ac:dyDescent="0.25">
      <c r="A1372"/>
      <c r="B1372"/>
      <c r="C1372"/>
      <c r="D1372"/>
    </row>
    <row r="1373" spans="1:4" x14ac:dyDescent="0.25">
      <c r="A1373"/>
      <c r="B1373"/>
      <c r="C1373"/>
      <c r="D1373"/>
    </row>
    <row r="1374" spans="1:4" x14ac:dyDescent="0.25">
      <c r="A1374"/>
      <c r="B1374"/>
      <c r="C1374"/>
      <c r="D1374"/>
    </row>
    <row r="1375" spans="1:4" x14ac:dyDescent="0.25">
      <c r="A1375"/>
      <c r="B1375"/>
      <c r="C1375"/>
      <c r="D1375"/>
    </row>
    <row r="1376" spans="1:4" x14ac:dyDescent="0.25">
      <c r="A1376"/>
      <c r="B1376"/>
      <c r="C1376"/>
      <c r="D1376"/>
    </row>
    <row r="1377" spans="1:4" x14ac:dyDescent="0.25">
      <c r="A1377"/>
      <c r="B1377"/>
      <c r="C1377"/>
      <c r="D1377"/>
    </row>
    <row r="1378" spans="1:4" x14ac:dyDescent="0.25">
      <c r="A1378"/>
      <c r="B1378"/>
      <c r="C1378"/>
      <c r="D1378"/>
    </row>
    <row r="1379" spans="1:4" x14ac:dyDescent="0.25">
      <c r="A1379"/>
      <c r="B1379"/>
      <c r="C1379"/>
      <c r="D1379"/>
    </row>
    <row r="1380" spans="1:4" x14ac:dyDescent="0.25">
      <c r="A1380"/>
      <c r="B1380"/>
      <c r="C1380"/>
      <c r="D1380"/>
    </row>
    <row r="1381" spans="1:4" x14ac:dyDescent="0.25">
      <c r="A1381"/>
      <c r="B1381"/>
      <c r="C1381"/>
      <c r="D1381"/>
    </row>
    <row r="1382" spans="1:4" x14ac:dyDescent="0.25">
      <c r="A1382"/>
      <c r="B1382"/>
      <c r="C1382"/>
      <c r="D1382"/>
    </row>
    <row r="1383" spans="1:4" x14ac:dyDescent="0.25">
      <c r="A1383"/>
      <c r="B1383"/>
      <c r="C1383"/>
      <c r="D1383"/>
    </row>
    <row r="1384" spans="1:4" x14ac:dyDescent="0.25">
      <c r="A1384"/>
      <c r="B1384"/>
      <c r="C1384"/>
      <c r="D1384"/>
    </row>
    <row r="1385" spans="1:4" x14ac:dyDescent="0.25">
      <c r="A1385"/>
      <c r="B1385"/>
      <c r="C1385"/>
      <c r="D1385"/>
    </row>
    <row r="1386" spans="1:4" x14ac:dyDescent="0.25">
      <c r="A1386"/>
      <c r="B1386"/>
      <c r="C1386"/>
      <c r="D1386"/>
    </row>
    <row r="1387" spans="1:4" x14ac:dyDescent="0.25">
      <c r="A1387"/>
      <c r="B1387"/>
      <c r="C1387"/>
      <c r="D1387"/>
    </row>
    <row r="1388" spans="1:4" x14ac:dyDescent="0.25">
      <c r="A1388"/>
      <c r="B1388"/>
      <c r="C1388"/>
      <c r="D1388"/>
    </row>
    <row r="1389" spans="1:4" x14ac:dyDescent="0.25">
      <c r="A1389"/>
      <c r="B1389"/>
      <c r="C1389"/>
      <c r="D1389"/>
    </row>
    <row r="1390" spans="1:4" x14ac:dyDescent="0.25">
      <c r="A1390"/>
      <c r="B1390"/>
      <c r="C1390"/>
      <c r="D1390"/>
    </row>
    <row r="1391" spans="1:4" x14ac:dyDescent="0.25">
      <c r="A1391"/>
      <c r="B1391"/>
      <c r="C1391"/>
      <c r="D1391"/>
    </row>
    <row r="1392" spans="1:4" x14ac:dyDescent="0.25">
      <c r="A1392"/>
      <c r="B1392"/>
      <c r="C1392"/>
      <c r="D1392"/>
    </row>
    <row r="1393" spans="1:4" x14ac:dyDescent="0.25">
      <c r="A1393"/>
      <c r="B1393"/>
      <c r="C1393"/>
      <c r="D1393"/>
    </row>
    <row r="1394" spans="1:4" x14ac:dyDescent="0.25">
      <c r="A1394"/>
      <c r="B1394"/>
      <c r="C1394"/>
      <c r="D1394"/>
    </row>
    <row r="1395" spans="1:4" x14ac:dyDescent="0.25">
      <c r="A1395"/>
      <c r="B1395"/>
      <c r="C1395"/>
      <c r="D1395"/>
    </row>
    <row r="1396" spans="1:4" x14ac:dyDescent="0.25">
      <c r="A1396"/>
      <c r="B1396"/>
      <c r="C1396"/>
      <c r="D1396"/>
    </row>
    <row r="1397" spans="1:4" x14ac:dyDescent="0.25">
      <c r="A1397"/>
      <c r="B1397"/>
      <c r="C1397"/>
      <c r="D1397"/>
    </row>
    <row r="1398" spans="1:4" x14ac:dyDescent="0.25">
      <c r="A1398"/>
      <c r="B1398"/>
      <c r="C1398"/>
      <c r="D1398"/>
    </row>
    <row r="1399" spans="1:4" x14ac:dyDescent="0.25">
      <c r="A1399"/>
      <c r="B1399"/>
      <c r="C1399"/>
      <c r="D1399"/>
    </row>
    <row r="1400" spans="1:4" x14ac:dyDescent="0.25">
      <c r="A1400"/>
      <c r="B1400"/>
      <c r="C1400"/>
      <c r="D1400"/>
    </row>
    <row r="1401" spans="1:4" x14ac:dyDescent="0.25">
      <c r="A1401"/>
      <c r="B1401"/>
      <c r="C1401"/>
      <c r="D1401"/>
    </row>
    <row r="1402" spans="1:4" x14ac:dyDescent="0.25">
      <c r="A1402"/>
      <c r="B1402"/>
      <c r="C1402"/>
      <c r="D1402"/>
    </row>
    <row r="1403" spans="1:4" x14ac:dyDescent="0.25">
      <c r="A1403"/>
      <c r="B1403"/>
      <c r="C1403"/>
      <c r="D1403"/>
    </row>
    <row r="1404" spans="1:4" x14ac:dyDescent="0.25">
      <c r="A1404"/>
      <c r="B1404"/>
      <c r="C1404"/>
      <c r="D1404"/>
    </row>
    <row r="1405" spans="1:4" x14ac:dyDescent="0.25">
      <c r="A1405"/>
      <c r="B1405"/>
      <c r="C1405"/>
      <c r="D1405"/>
    </row>
    <row r="1406" spans="1:4" x14ac:dyDescent="0.25">
      <c r="A1406"/>
      <c r="B1406"/>
      <c r="C1406"/>
      <c r="D1406"/>
    </row>
    <row r="1407" spans="1:4" x14ac:dyDescent="0.25">
      <c r="A1407"/>
      <c r="B1407"/>
      <c r="C1407"/>
      <c r="D1407"/>
    </row>
    <row r="1408" spans="1:4" x14ac:dyDescent="0.25">
      <c r="A1408"/>
      <c r="B1408"/>
      <c r="C1408"/>
      <c r="D1408"/>
    </row>
    <row r="1409" spans="1:4" x14ac:dyDescent="0.25">
      <c r="A1409"/>
      <c r="B1409"/>
      <c r="C1409"/>
      <c r="D1409"/>
    </row>
    <row r="1410" spans="1:4" x14ac:dyDescent="0.25">
      <c r="A1410"/>
      <c r="B1410"/>
      <c r="C1410"/>
      <c r="D1410"/>
    </row>
    <row r="1411" spans="1:4" x14ac:dyDescent="0.25">
      <c r="A1411"/>
      <c r="B1411"/>
      <c r="C1411"/>
      <c r="D1411"/>
    </row>
    <row r="1412" spans="1:4" x14ac:dyDescent="0.25">
      <c r="A1412"/>
      <c r="B1412"/>
      <c r="C1412"/>
      <c r="D1412"/>
    </row>
    <row r="1413" spans="1:4" x14ac:dyDescent="0.25">
      <c r="A1413"/>
      <c r="B1413"/>
      <c r="C1413"/>
      <c r="D1413"/>
    </row>
    <row r="1414" spans="1:4" x14ac:dyDescent="0.25">
      <c r="A1414"/>
      <c r="B1414"/>
      <c r="C1414"/>
      <c r="D1414"/>
    </row>
    <row r="1415" spans="1:4" x14ac:dyDescent="0.25">
      <c r="A1415"/>
      <c r="B1415"/>
      <c r="C1415"/>
      <c r="D1415"/>
    </row>
    <row r="1416" spans="1:4" x14ac:dyDescent="0.25">
      <c r="A1416"/>
      <c r="B1416"/>
      <c r="C1416"/>
      <c r="D1416"/>
    </row>
    <row r="1417" spans="1:4" x14ac:dyDescent="0.25">
      <c r="A1417"/>
      <c r="B1417"/>
      <c r="C1417"/>
      <c r="D1417"/>
    </row>
    <row r="1418" spans="1:4" x14ac:dyDescent="0.25">
      <c r="A1418"/>
      <c r="B1418"/>
      <c r="C1418"/>
      <c r="D1418"/>
    </row>
    <row r="1419" spans="1:4" x14ac:dyDescent="0.25">
      <c r="A1419"/>
      <c r="B1419"/>
      <c r="C1419"/>
      <c r="D1419"/>
    </row>
    <row r="1420" spans="1:4" x14ac:dyDescent="0.25">
      <c r="A1420"/>
      <c r="B1420"/>
      <c r="C1420"/>
      <c r="D1420"/>
    </row>
    <row r="1421" spans="1:4" x14ac:dyDescent="0.25">
      <c r="A1421"/>
      <c r="B1421"/>
      <c r="C1421"/>
      <c r="D1421"/>
    </row>
    <row r="1422" spans="1:4" x14ac:dyDescent="0.25">
      <c r="A1422"/>
      <c r="B1422"/>
      <c r="C1422"/>
      <c r="D1422"/>
    </row>
    <row r="1423" spans="1:4" x14ac:dyDescent="0.25">
      <c r="A1423"/>
      <c r="B1423"/>
      <c r="C1423"/>
      <c r="D1423"/>
    </row>
    <row r="1424" spans="1:4" x14ac:dyDescent="0.25">
      <c r="A1424"/>
      <c r="B1424"/>
      <c r="C1424"/>
      <c r="D1424"/>
    </row>
    <row r="1425" spans="1:4" x14ac:dyDescent="0.25">
      <c r="A1425"/>
      <c r="B1425"/>
      <c r="C1425"/>
      <c r="D1425"/>
    </row>
    <row r="1426" spans="1:4" x14ac:dyDescent="0.25">
      <c r="A1426"/>
      <c r="B1426"/>
      <c r="C1426"/>
      <c r="D1426"/>
    </row>
    <row r="1427" spans="1:4" x14ac:dyDescent="0.25">
      <c r="A1427"/>
      <c r="B1427"/>
      <c r="C1427"/>
      <c r="D1427"/>
    </row>
    <row r="1428" spans="1:4" x14ac:dyDescent="0.25">
      <c r="A1428"/>
      <c r="B1428"/>
      <c r="C1428"/>
      <c r="D1428"/>
    </row>
    <row r="1429" spans="1:4" x14ac:dyDescent="0.25">
      <c r="A1429"/>
      <c r="B1429"/>
      <c r="C1429"/>
      <c r="D1429"/>
    </row>
    <row r="1430" spans="1:4" x14ac:dyDescent="0.25">
      <c r="A1430"/>
      <c r="B1430"/>
      <c r="C1430"/>
      <c r="D1430"/>
    </row>
    <row r="1431" spans="1:4" x14ac:dyDescent="0.25">
      <c r="A1431"/>
      <c r="B1431"/>
      <c r="C1431"/>
      <c r="D1431"/>
    </row>
    <row r="1432" spans="1:4" x14ac:dyDescent="0.25">
      <c r="A1432"/>
      <c r="B1432"/>
      <c r="C1432"/>
      <c r="D1432"/>
    </row>
    <row r="1433" spans="1:4" x14ac:dyDescent="0.25">
      <c r="A1433"/>
      <c r="B1433"/>
      <c r="C1433"/>
      <c r="D1433"/>
    </row>
    <row r="1434" spans="1:4" x14ac:dyDescent="0.25">
      <c r="A1434"/>
      <c r="B1434"/>
      <c r="C1434"/>
      <c r="D1434"/>
    </row>
    <row r="1435" spans="1:4" x14ac:dyDescent="0.25">
      <c r="A1435"/>
      <c r="B1435"/>
      <c r="C1435"/>
      <c r="D1435"/>
    </row>
    <row r="1436" spans="1:4" x14ac:dyDescent="0.25">
      <c r="A1436"/>
      <c r="B1436"/>
      <c r="C1436"/>
      <c r="D1436"/>
    </row>
    <row r="1437" spans="1:4" x14ac:dyDescent="0.25">
      <c r="A1437"/>
      <c r="B1437"/>
      <c r="C1437"/>
      <c r="D1437"/>
    </row>
    <row r="1438" spans="1:4" x14ac:dyDescent="0.25">
      <c r="A1438"/>
      <c r="B1438"/>
      <c r="C1438"/>
      <c r="D1438"/>
    </row>
    <row r="1439" spans="1:4" x14ac:dyDescent="0.25">
      <c r="A1439"/>
      <c r="B1439"/>
      <c r="C1439"/>
      <c r="D1439"/>
    </row>
    <row r="1440" spans="1:4" x14ac:dyDescent="0.25">
      <c r="A1440"/>
      <c r="B1440"/>
      <c r="C1440"/>
      <c r="D1440"/>
    </row>
    <row r="1441" spans="1:4" x14ac:dyDescent="0.25">
      <c r="A1441"/>
      <c r="B1441"/>
      <c r="C1441"/>
      <c r="D1441"/>
    </row>
    <row r="1442" spans="1:4" x14ac:dyDescent="0.25">
      <c r="A1442"/>
      <c r="B1442"/>
      <c r="C1442"/>
      <c r="D1442"/>
    </row>
    <row r="1443" spans="1:4" x14ac:dyDescent="0.25">
      <c r="A1443"/>
      <c r="B1443"/>
      <c r="C1443"/>
      <c r="D1443"/>
    </row>
    <row r="1444" spans="1:4" x14ac:dyDescent="0.25">
      <c r="A1444"/>
      <c r="B1444"/>
      <c r="C1444"/>
      <c r="D1444"/>
    </row>
    <row r="1445" spans="1:4" x14ac:dyDescent="0.25">
      <c r="A1445"/>
      <c r="B1445"/>
      <c r="C1445"/>
      <c r="D1445"/>
    </row>
    <row r="1446" spans="1:4" x14ac:dyDescent="0.25">
      <c r="A1446"/>
      <c r="B1446"/>
      <c r="C1446"/>
      <c r="D1446"/>
    </row>
    <row r="1447" spans="1:4" x14ac:dyDescent="0.25">
      <c r="A1447"/>
      <c r="B1447"/>
      <c r="C1447"/>
      <c r="D1447"/>
    </row>
    <row r="1448" spans="1:4" x14ac:dyDescent="0.25">
      <c r="A1448"/>
      <c r="B1448"/>
      <c r="C1448"/>
      <c r="D1448"/>
    </row>
    <row r="1449" spans="1:4" x14ac:dyDescent="0.25">
      <c r="A1449"/>
      <c r="B1449"/>
      <c r="C1449"/>
      <c r="D1449"/>
    </row>
    <row r="1450" spans="1:4" x14ac:dyDescent="0.25">
      <c r="A1450"/>
      <c r="B1450"/>
      <c r="C1450"/>
      <c r="D1450"/>
    </row>
    <row r="1451" spans="1:4" x14ac:dyDescent="0.25">
      <c r="A1451"/>
      <c r="B1451"/>
      <c r="C1451"/>
      <c r="D1451"/>
    </row>
    <row r="1452" spans="1:4" x14ac:dyDescent="0.25">
      <c r="A1452"/>
      <c r="B1452"/>
      <c r="C1452"/>
      <c r="D1452"/>
    </row>
    <row r="1453" spans="1:4" x14ac:dyDescent="0.25">
      <c r="A1453"/>
      <c r="B1453"/>
      <c r="C1453"/>
      <c r="D1453"/>
    </row>
    <row r="1454" spans="1:4" x14ac:dyDescent="0.25">
      <c r="A1454"/>
      <c r="B1454"/>
      <c r="C1454"/>
      <c r="D1454"/>
    </row>
    <row r="1455" spans="1:4" x14ac:dyDescent="0.25">
      <c r="A1455"/>
      <c r="B1455"/>
      <c r="C1455"/>
      <c r="D1455"/>
    </row>
    <row r="1456" spans="1:4" x14ac:dyDescent="0.25">
      <c r="A1456"/>
      <c r="B1456"/>
      <c r="C1456"/>
      <c r="D1456"/>
    </row>
    <row r="1457" spans="1:4" x14ac:dyDescent="0.25">
      <c r="A1457"/>
      <c r="B1457"/>
      <c r="C1457"/>
      <c r="D1457"/>
    </row>
    <row r="1458" spans="1:4" x14ac:dyDescent="0.25">
      <c r="A1458"/>
      <c r="B1458"/>
      <c r="C1458"/>
      <c r="D1458"/>
    </row>
    <row r="1459" spans="1:4" x14ac:dyDescent="0.25">
      <c r="A1459"/>
      <c r="B1459"/>
      <c r="C1459"/>
      <c r="D1459"/>
    </row>
    <row r="1460" spans="1:4" x14ac:dyDescent="0.25">
      <c r="A1460"/>
      <c r="B1460"/>
      <c r="C1460"/>
      <c r="D1460"/>
    </row>
    <row r="1461" spans="1:4" x14ac:dyDescent="0.25">
      <c r="A1461"/>
      <c r="B1461"/>
      <c r="C1461"/>
      <c r="D1461"/>
    </row>
    <row r="1462" spans="1:4" x14ac:dyDescent="0.25">
      <c r="A1462"/>
      <c r="B1462"/>
      <c r="C1462"/>
      <c r="D1462"/>
    </row>
    <row r="1463" spans="1:4" x14ac:dyDescent="0.25">
      <c r="A1463"/>
      <c r="B1463"/>
      <c r="C1463"/>
      <c r="D1463"/>
    </row>
    <row r="1464" spans="1:4" x14ac:dyDescent="0.25">
      <c r="A1464"/>
      <c r="B1464"/>
      <c r="C1464"/>
      <c r="D1464"/>
    </row>
    <row r="1465" spans="1:4" x14ac:dyDescent="0.25">
      <c r="A1465"/>
      <c r="B1465"/>
      <c r="C1465"/>
      <c r="D1465"/>
    </row>
    <row r="1466" spans="1:4" x14ac:dyDescent="0.25">
      <c r="A1466"/>
      <c r="B1466"/>
      <c r="C1466"/>
      <c r="D1466"/>
    </row>
    <row r="1467" spans="1:4" x14ac:dyDescent="0.25">
      <c r="A1467"/>
      <c r="B1467"/>
      <c r="C1467"/>
      <c r="D1467"/>
    </row>
    <row r="1468" spans="1:4" x14ac:dyDescent="0.25">
      <c r="A1468"/>
      <c r="B1468"/>
      <c r="C1468"/>
      <c r="D1468"/>
    </row>
    <row r="1469" spans="1:4" x14ac:dyDescent="0.25">
      <c r="A1469"/>
      <c r="B1469"/>
      <c r="C1469"/>
      <c r="D1469"/>
    </row>
    <row r="1470" spans="1:4" x14ac:dyDescent="0.25">
      <c r="A1470"/>
      <c r="B1470"/>
      <c r="C1470"/>
      <c r="D1470"/>
    </row>
    <row r="1471" spans="1:4" x14ac:dyDescent="0.25">
      <c r="A1471"/>
      <c r="B1471"/>
      <c r="C1471"/>
      <c r="D1471"/>
    </row>
    <row r="1472" spans="1:4" x14ac:dyDescent="0.25">
      <c r="A1472"/>
      <c r="B1472"/>
      <c r="C1472"/>
      <c r="D1472"/>
    </row>
    <row r="1473" spans="1:4" x14ac:dyDescent="0.25">
      <c r="A1473"/>
      <c r="B1473"/>
      <c r="C1473"/>
      <c r="D1473"/>
    </row>
    <row r="1474" spans="1:4" x14ac:dyDescent="0.25">
      <c r="A1474"/>
      <c r="B1474"/>
      <c r="C1474"/>
      <c r="D1474"/>
    </row>
    <row r="1475" spans="1:4" x14ac:dyDescent="0.25">
      <c r="A1475"/>
      <c r="B1475"/>
      <c r="C1475"/>
      <c r="D1475"/>
    </row>
    <row r="1476" spans="1:4" x14ac:dyDescent="0.25">
      <c r="A1476"/>
      <c r="B1476"/>
      <c r="C1476"/>
      <c r="D1476"/>
    </row>
    <row r="1477" spans="1:4" x14ac:dyDescent="0.25">
      <c r="A1477"/>
      <c r="B1477"/>
      <c r="C1477"/>
      <c r="D1477"/>
    </row>
    <row r="1478" spans="1:4" x14ac:dyDescent="0.25">
      <c r="A1478"/>
      <c r="B1478"/>
      <c r="C1478"/>
      <c r="D1478"/>
    </row>
    <row r="1479" spans="1:4" x14ac:dyDescent="0.25">
      <c r="A1479"/>
      <c r="B1479"/>
      <c r="C1479"/>
      <c r="D1479"/>
    </row>
    <row r="1480" spans="1:4" x14ac:dyDescent="0.25">
      <c r="A1480"/>
      <c r="B1480"/>
      <c r="C1480"/>
      <c r="D1480"/>
    </row>
    <row r="1481" spans="1:4" x14ac:dyDescent="0.25">
      <c r="A1481"/>
      <c r="B1481"/>
      <c r="C1481"/>
      <c r="D1481"/>
    </row>
    <row r="1482" spans="1:4" x14ac:dyDescent="0.25">
      <c r="A1482"/>
      <c r="B1482"/>
      <c r="C1482"/>
      <c r="D1482"/>
    </row>
    <row r="1483" spans="1:4" x14ac:dyDescent="0.25">
      <c r="A1483"/>
      <c r="B1483"/>
      <c r="C1483"/>
      <c r="D1483"/>
    </row>
    <row r="1484" spans="1:4" x14ac:dyDescent="0.25">
      <c r="A1484"/>
      <c r="B1484"/>
      <c r="C1484"/>
      <c r="D1484"/>
    </row>
    <row r="1485" spans="1:4" x14ac:dyDescent="0.25">
      <c r="A1485"/>
      <c r="B1485"/>
      <c r="C1485"/>
      <c r="D1485"/>
    </row>
    <row r="1486" spans="1:4" x14ac:dyDescent="0.25">
      <c r="A1486"/>
      <c r="B1486"/>
      <c r="C1486"/>
      <c r="D1486"/>
    </row>
    <row r="1487" spans="1:4" x14ac:dyDescent="0.25">
      <c r="A1487"/>
      <c r="B1487"/>
      <c r="C1487"/>
      <c r="D1487"/>
    </row>
    <row r="1488" spans="1:4" x14ac:dyDescent="0.25">
      <c r="A1488"/>
      <c r="B1488"/>
      <c r="C1488"/>
      <c r="D1488"/>
    </row>
    <row r="1489" spans="1:4" x14ac:dyDescent="0.25">
      <c r="A1489"/>
      <c r="B1489"/>
      <c r="C1489"/>
      <c r="D1489"/>
    </row>
    <row r="1490" spans="1:4" x14ac:dyDescent="0.25">
      <c r="A1490"/>
      <c r="B1490"/>
      <c r="C1490"/>
      <c r="D1490"/>
    </row>
    <row r="1491" spans="1:4" x14ac:dyDescent="0.25">
      <c r="A1491"/>
      <c r="B1491"/>
      <c r="C1491"/>
      <c r="D1491"/>
    </row>
    <row r="1492" spans="1:4" x14ac:dyDescent="0.25">
      <c r="A1492"/>
      <c r="B1492"/>
      <c r="C1492"/>
      <c r="D1492"/>
    </row>
    <row r="1493" spans="1:4" x14ac:dyDescent="0.25">
      <c r="A1493"/>
      <c r="B1493"/>
      <c r="C1493"/>
      <c r="D1493"/>
    </row>
    <row r="1494" spans="1:4" x14ac:dyDescent="0.25">
      <c r="A1494"/>
      <c r="B1494"/>
      <c r="C1494"/>
      <c r="D1494"/>
    </row>
    <row r="1495" spans="1:4" x14ac:dyDescent="0.25">
      <c r="A1495"/>
      <c r="B1495"/>
      <c r="C1495"/>
      <c r="D1495"/>
    </row>
    <row r="1496" spans="1:4" x14ac:dyDescent="0.25">
      <c r="A1496"/>
      <c r="B1496"/>
      <c r="C1496"/>
      <c r="D1496"/>
    </row>
    <row r="1497" spans="1:4" x14ac:dyDescent="0.25">
      <c r="A1497"/>
      <c r="B1497"/>
      <c r="C1497"/>
      <c r="D1497"/>
    </row>
    <row r="1498" spans="1:4" x14ac:dyDescent="0.25">
      <c r="A1498"/>
      <c r="B1498"/>
      <c r="C1498"/>
      <c r="D1498"/>
    </row>
    <row r="1499" spans="1:4" x14ac:dyDescent="0.25">
      <c r="A1499"/>
      <c r="B1499"/>
      <c r="C1499"/>
      <c r="D1499"/>
    </row>
    <row r="1500" spans="1:4" x14ac:dyDescent="0.25">
      <c r="A1500"/>
      <c r="B1500"/>
      <c r="C1500"/>
      <c r="D1500"/>
    </row>
    <row r="1501" spans="1:4" x14ac:dyDescent="0.25">
      <c r="A1501"/>
      <c r="B1501"/>
      <c r="C1501"/>
      <c r="D1501"/>
    </row>
    <row r="1502" spans="1:4" x14ac:dyDescent="0.25">
      <c r="A1502"/>
      <c r="B1502"/>
      <c r="C1502"/>
      <c r="D1502"/>
    </row>
    <row r="1503" spans="1:4" x14ac:dyDescent="0.25">
      <c r="A1503"/>
      <c r="B1503"/>
      <c r="C1503"/>
      <c r="D1503"/>
    </row>
    <row r="1504" spans="1:4" x14ac:dyDescent="0.25">
      <c r="A1504"/>
      <c r="B1504"/>
      <c r="C1504"/>
      <c r="D1504"/>
    </row>
    <row r="1505" spans="1:4" x14ac:dyDescent="0.25">
      <c r="A1505"/>
      <c r="B1505"/>
      <c r="C1505"/>
      <c r="D1505"/>
    </row>
    <row r="1506" spans="1:4" x14ac:dyDescent="0.25">
      <c r="A1506"/>
      <c r="B1506"/>
      <c r="C1506"/>
      <c r="D1506"/>
    </row>
    <row r="1507" spans="1:4" x14ac:dyDescent="0.25">
      <c r="A1507"/>
      <c r="B1507"/>
      <c r="C1507"/>
      <c r="D1507"/>
    </row>
    <row r="1508" spans="1:4" x14ac:dyDescent="0.25">
      <c r="A1508"/>
      <c r="B1508"/>
      <c r="C1508"/>
      <c r="D1508"/>
    </row>
    <row r="1509" spans="1:4" x14ac:dyDescent="0.25">
      <c r="A1509"/>
      <c r="B1509"/>
      <c r="C1509"/>
      <c r="D1509"/>
    </row>
    <row r="1510" spans="1:4" x14ac:dyDescent="0.25">
      <c r="A1510"/>
      <c r="B1510"/>
      <c r="C1510"/>
      <c r="D1510"/>
    </row>
    <row r="1511" spans="1:4" x14ac:dyDescent="0.25">
      <c r="A1511"/>
      <c r="B1511"/>
      <c r="C1511"/>
      <c r="D1511"/>
    </row>
    <row r="1512" spans="1:4" x14ac:dyDescent="0.25">
      <c r="A1512"/>
      <c r="B1512"/>
      <c r="C1512"/>
      <c r="D1512"/>
    </row>
    <row r="1513" spans="1:4" x14ac:dyDescent="0.25">
      <c r="A1513"/>
      <c r="B1513"/>
      <c r="C1513"/>
      <c r="D1513"/>
    </row>
    <row r="1514" spans="1:4" x14ac:dyDescent="0.25">
      <c r="A1514"/>
      <c r="B1514"/>
      <c r="C1514"/>
      <c r="D1514"/>
    </row>
    <row r="1515" spans="1:4" x14ac:dyDescent="0.25">
      <c r="A1515"/>
      <c r="B1515"/>
      <c r="C1515"/>
      <c r="D1515"/>
    </row>
    <row r="1516" spans="1:4" x14ac:dyDescent="0.25">
      <c r="A1516"/>
      <c r="B1516"/>
      <c r="C1516"/>
      <c r="D1516"/>
    </row>
    <row r="1517" spans="1:4" x14ac:dyDescent="0.25">
      <c r="A1517"/>
      <c r="B1517"/>
      <c r="C1517"/>
      <c r="D1517"/>
    </row>
    <row r="1518" spans="1:4" x14ac:dyDescent="0.25">
      <c r="A1518"/>
      <c r="B1518"/>
      <c r="C1518"/>
      <c r="D1518"/>
    </row>
    <row r="1519" spans="1:4" x14ac:dyDescent="0.25">
      <c r="A1519"/>
      <c r="B1519"/>
      <c r="C1519"/>
      <c r="D1519"/>
    </row>
    <row r="1520" spans="1:4" x14ac:dyDescent="0.25">
      <c r="A1520"/>
      <c r="B1520"/>
      <c r="C1520"/>
      <c r="D1520"/>
    </row>
    <row r="1521" spans="1:4" x14ac:dyDescent="0.25">
      <c r="A1521"/>
      <c r="B1521"/>
      <c r="C1521"/>
      <c r="D1521"/>
    </row>
    <row r="1522" spans="1:4" x14ac:dyDescent="0.25">
      <c r="A1522"/>
      <c r="B1522"/>
      <c r="C1522"/>
      <c r="D1522"/>
    </row>
    <row r="1523" spans="1:4" x14ac:dyDescent="0.25">
      <c r="A1523"/>
      <c r="B1523"/>
      <c r="C1523"/>
      <c r="D1523"/>
    </row>
    <row r="1524" spans="1:4" x14ac:dyDescent="0.25">
      <c r="A1524"/>
      <c r="B1524"/>
      <c r="C1524"/>
      <c r="D1524"/>
    </row>
    <row r="1525" spans="1:4" x14ac:dyDescent="0.25">
      <c r="A1525"/>
      <c r="B1525"/>
      <c r="C1525"/>
      <c r="D1525"/>
    </row>
    <row r="1526" spans="1:4" x14ac:dyDescent="0.25">
      <c r="A1526"/>
      <c r="B1526"/>
      <c r="C1526"/>
      <c r="D1526"/>
    </row>
    <row r="1527" spans="1:4" x14ac:dyDescent="0.25">
      <c r="A1527"/>
      <c r="B1527"/>
      <c r="C1527"/>
      <c r="D1527"/>
    </row>
    <row r="1528" spans="1:4" x14ac:dyDescent="0.25">
      <c r="A1528"/>
      <c r="B1528"/>
      <c r="C1528"/>
      <c r="D1528"/>
    </row>
    <row r="1529" spans="1:4" x14ac:dyDescent="0.25">
      <c r="A1529"/>
      <c r="B1529"/>
      <c r="C1529"/>
      <c r="D1529"/>
    </row>
    <row r="1530" spans="1:4" x14ac:dyDescent="0.25">
      <c r="A1530"/>
      <c r="B1530"/>
      <c r="C1530"/>
      <c r="D1530"/>
    </row>
    <row r="1531" spans="1:4" x14ac:dyDescent="0.25">
      <c r="A1531"/>
      <c r="B1531"/>
      <c r="C1531"/>
      <c r="D1531"/>
    </row>
    <row r="1532" spans="1:4" x14ac:dyDescent="0.25">
      <c r="A1532"/>
      <c r="B1532"/>
      <c r="C1532"/>
      <c r="D1532"/>
    </row>
    <row r="1533" spans="1:4" x14ac:dyDescent="0.25">
      <c r="A1533"/>
      <c r="B1533"/>
      <c r="C1533"/>
      <c r="D1533"/>
    </row>
    <row r="1534" spans="1:4" x14ac:dyDescent="0.25">
      <c r="A1534"/>
      <c r="B1534"/>
      <c r="C1534"/>
      <c r="D1534"/>
    </row>
    <row r="1535" spans="1:4" x14ac:dyDescent="0.25">
      <c r="A1535"/>
      <c r="B1535"/>
      <c r="C1535"/>
      <c r="D1535"/>
    </row>
    <row r="1536" spans="1:4" x14ac:dyDescent="0.25">
      <c r="A1536"/>
      <c r="B1536"/>
      <c r="C1536"/>
      <c r="D1536"/>
    </row>
    <row r="1537" spans="1:4" x14ac:dyDescent="0.25">
      <c r="A1537"/>
      <c r="B1537"/>
      <c r="C1537"/>
      <c r="D1537"/>
    </row>
    <row r="1538" spans="1:4" x14ac:dyDescent="0.25">
      <c r="A1538"/>
      <c r="B1538"/>
      <c r="C1538"/>
      <c r="D1538"/>
    </row>
    <row r="1539" spans="1:4" x14ac:dyDescent="0.25">
      <c r="A1539"/>
      <c r="B1539"/>
      <c r="C1539"/>
      <c r="D1539"/>
    </row>
    <row r="1540" spans="1:4" x14ac:dyDescent="0.25">
      <c r="A1540"/>
      <c r="B1540"/>
      <c r="C1540"/>
      <c r="D1540"/>
    </row>
    <row r="1541" spans="1:4" x14ac:dyDescent="0.25">
      <c r="A1541"/>
      <c r="B1541"/>
      <c r="C1541"/>
      <c r="D1541"/>
    </row>
    <row r="1542" spans="1:4" x14ac:dyDescent="0.25">
      <c r="A1542"/>
      <c r="B1542"/>
      <c r="C1542"/>
      <c r="D1542"/>
    </row>
    <row r="1543" spans="1:4" x14ac:dyDescent="0.25">
      <c r="A1543"/>
      <c r="B1543"/>
      <c r="C1543"/>
      <c r="D1543"/>
    </row>
    <row r="1544" spans="1:4" x14ac:dyDescent="0.25">
      <c r="A1544"/>
      <c r="B1544"/>
      <c r="C1544"/>
      <c r="D1544"/>
    </row>
    <row r="1545" spans="1:4" x14ac:dyDescent="0.25">
      <c r="A1545"/>
      <c r="B1545"/>
      <c r="C1545"/>
      <c r="D1545"/>
    </row>
    <row r="1546" spans="1:4" x14ac:dyDescent="0.25">
      <c r="A1546"/>
      <c r="B1546"/>
      <c r="C1546"/>
      <c r="D1546"/>
    </row>
    <row r="1547" spans="1:4" x14ac:dyDescent="0.25">
      <c r="A1547"/>
      <c r="B1547"/>
      <c r="C1547"/>
      <c r="D1547"/>
    </row>
    <row r="1548" spans="1:4" x14ac:dyDescent="0.25">
      <c r="A1548"/>
      <c r="B1548"/>
      <c r="C1548"/>
      <c r="D1548"/>
    </row>
    <row r="1549" spans="1:4" x14ac:dyDescent="0.25">
      <c r="A1549"/>
      <c r="B1549"/>
      <c r="C1549"/>
      <c r="D1549"/>
    </row>
    <row r="1550" spans="1:4" x14ac:dyDescent="0.25">
      <c r="A1550"/>
      <c r="B1550"/>
      <c r="C1550"/>
      <c r="D1550"/>
    </row>
    <row r="1551" spans="1:4" x14ac:dyDescent="0.25">
      <c r="A1551"/>
      <c r="B1551"/>
      <c r="C1551"/>
      <c r="D1551"/>
    </row>
    <row r="1552" spans="1:4" x14ac:dyDescent="0.25">
      <c r="A1552"/>
      <c r="B1552"/>
      <c r="C1552"/>
      <c r="D1552"/>
    </row>
    <row r="1553" spans="1:4" x14ac:dyDescent="0.25">
      <c r="A1553"/>
      <c r="B1553"/>
      <c r="C1553"/>
      <c r="D1553"/>
    </row>
    <row r="1554" spans="1:4" x14ac:dyDescent="0.25">
      <c r="A1554"/>
      <c r="B1554"/>
      <c r="C1554"/>
      <c r="D1554"/>
    </row>
    <row r="1555" spans="1:4" x14ac:dyDescent="0.25">
      <c r="A1555"/>
      <c r="B1555"/>
      <c r="C1555"/>
      <c r="D1555"/>
    </row>
    <row r="1556" spans="1:4" x14ac:dyDescent="0.25">
      <c r="A1556"/>
      <c r="B1556"/>
      <c r="C1556"/>
      <c r="D1556"/>
    </row>
    <row r="1557" spans="1:4" x14ac:dyDescent="0.25">
      <c r="A1557"/>
      <c r="B1557"/>
      <c r="C1557"/>
      <c r="D1557"/>
    </row>
    <row r="1558" spans="1:4" x14ac:dyDescent="0.25">
      <c r="A1558"/>
      <c r="B1558"/>
      <c r="C1558"/>
      <c r="D1558"/>
    </row>
    <row r="1559" spans="1:4" x14ac:dyDescent="0.25">
      <c r="A1559"/>
      <c r="B1559"/>
      <c r="C1559"/>
      <c r="D1559"/>
    </row>
    <row r="1560" spans="1:4" x14ac:dyDescent="0.25">
      <c r="A1560"/>
      <c r="B1560"/>
      <c r="C1560"/>
      <c r="D1560"/>
    </row>
    <row r="1561" spans="1:4" x14ac:dyDescent="0.25">
      <c r="A1561"/>
      <c r="B1561"/>
      <c r="C1561"/>
      <c r="D1561"/>
    </row>
    <row r="1562" spans="1:4" x14ac:dyDescent="0.25">
      <c r="A1562"/>
      <c r="B1562"/>
      <c r="C1562"/>
      <c r="D1562"/>
    </row>
    <row r="1563" spans="1:4" x14ac:dyDescent="0.25">
      <c r="A1563"/>
      <c r="B1563"/>
      <c r="C1563"/>
      <c r="D1563"/>
    </row>
    <row r="1564" spans="1:4" x14ac:dyDescent="0.25">
      <c r="A1564"/>
      <c r="B1564"/>
      <c r="C1564"/>
      <c r="D1564"/>
    </row>
    <row r="1565" spans="1:4" x14ac:dyDescent="0.25">
      <c r="A1565"/>
      <c r="B1565"/>
      <c r="C1565"/>
      <c r="D1565"/>
    </row>
    <row r="1566" spans="1:4" x14ac:dyDescent="0.25">
      <c r="A1566"/>
      <c r="B1566"/>
      <c r="C1566"/>
      <c r="D1566"/>
    </row>
    <row r="1567" spans="1:4" x14ac:dyDescent="0.25">
      <c r="A1567"/>
      <c r="B1567"/>
      <c r="C1567"/>
      <c r="D1567"/>
    </row>
    <row r="1568" spans="1:4" x14ac:dyDescent="0.25">
      <c r="A1568"/>
      <c r="B1568"/>
      <c r="C1568"/>
      <c r="D1568"/>
    </row>
    <row r="1569" spans="1:4" x14ac:dyDescent="0.25">
      <c r="A1569"/>
      <c r="B1569"/>
      <c r="C1569"/>
      <c r="D1569"/>
    </row>
    <row r="1570" spans="1:4" x14ac:dyDescent="0.25">
      <c r="A1570"/>
      <c r="B1570"/>
      <c r="C1570"/>
      <c r="D1570"/>
    </row>
    <row r="1571" spans="1:4" x14ac:dyDescent="0.25">
      <c r="A1571"/>
      <c r="B1571"/>
      <c r="C1571"/>
      <c r="D1571"/>
    </row>
    <row r="1572" spans="1:4" x14ac:dyDescent="0.25">
      <c r="A1572"/>
      <c r="B1572"/>
      <c r="C1572"/>
      <c r="D1572"/>
    </row>
    <row r="1573" spans="1:4" x14ac:dyDescent="0.25">
      <c r="A1573"/>
      <c r="B1573"/>
      <c r="C1573"/>
      <c r="D1573"/>
    </row>
    <row r="1574" spans="1:4" x14ac:dyDescent="0.25">
      <c r="A1574"/>
      <c r="B1574"/>
      <c r="C1574"/>
      <c r="D1574"/>
    </row>
    <row r="1575" spans="1:4" x14ac:dyDescent="0.25">
      <c r="A1575"/>
      <c r="B1575"/>
      <c r="C1575"/>
      <c r="D1575"/>
    </row>
    <row r="1576" spans="1:4" x14ac:dyDescent="0.25">
      <c r="A1576"/>
      <c r="B1576"/>
      <c r="C1576"/>
      <c r="D1576"/>
    </row>
    <row r="1577" spans="1:4" x14ac:dyDescent="0.25">
      <c r="A1577"/>
      <c r="B1577"/>
      <c r="C1577"/>
      <c r="D1577"/>
    </row>
    <row r="1578" spans="1:4" x14ac:dyDescent="0.25">
      <c r="A1578"/>
      <c r="B1578"/>
      <c r="C1578"/>
      <c r="D1578"/>
    </row>
    <row r="1579" spans="1:4" x14ac:dyDescent="0.25">
      <c r="A1579"/>
      <c r="B1579"/>
      <c r="C1579"/>
      <c r="D1579"/>
    </row>
    <row r="1580" spans="1:4" x14ac:dyDescent="0.25">
      <c r="A1580"/>
      <c r="B1580"/>
      <c r="C1580"/>
      <c r="D1580"/>
    </row>
    <row r="1581" spans="1:4" x14ac:dyDescent="0.25">
      <c r="A1581"/>
      <c r="B1581"/>
      <c r="C1581"/>
      <c r="D1581"/>
    </row>
    <row r="1582" spans="1:4" x14ac:dyDescent="0.25">
      <c r="A1582"/>
      <c r="B1582"/>
      <c r="C1582"/>
      <c r="D1582"/>
    </row>
    <row r="1583" spans="1:4" x14ac:dyDescent="0.25">
      <c r="A1583"/>
      <c r="B1583"/>
      <c r="C1583"/>
      <c r="D1583"/>
    </row>
    <row r="1584" spans="1:4" x14ac:dyDescent="0.25">
      <c r="A1584"/>
      <c r="B1584"/>
      <c r="C1584"/>
      <c r="D1584"/>
    </row>
    <row r="1585" spans="1:4" x14ac:dyDescent="0.25">
      <c r="A1585"/>
      <c r="B1585"/>
      <c r="C1585"/>
      <c r="D1585"/>
    </row>
    <row r="1586" spans="1:4" x14ac:dyDescent="0.25">
      <c r="A1586"/>
      <c r="B1586"/>
      <c r="C1586"/>
      <c r="D1586"/>
    </row>
    <row r="1587" spans="1:4" x14ac:dyDescent="0.25">
      <c r="A1587"/>
      <c r="B1587"/>
      <c r="C1587"/>
      <c r="D1587"/>
    </row>
    <row r="1588" spans="1:4" x14ac:dyDescent="0.25">
      <c r="A1588"/>
      <c r="B1588"/>
      <c r="C1588"/>
      <c r="D1588"/>
    </row>
    <row r="1589" spans="1:4" x14ac:dyDescent="0.25">
      <c r="A1589"/>
      <c r="B1589"/>
      <c r="C1589"/>
      <c r="D1589"/>
    </row>
    <row r="1590" spans="1:4" x14ac:dyDescent="0.25">
      <c r="A1590"/>
      <c r="B1590"/>
      <c r="C1590"/>
      <c r="D1590"/>
    </row>
    <row r="1591" spans="1:4" x14ac:dyDescent="0.25">
      <c r="A1591"/>
      <c r="B1591"/>
      <c r="C1591"/>
      <c r="D1591"/>
    </row>
    <row r="1592" spans="1:4" x14ac:dyDescent="0.25">
      <c r="A1592"/>
      <c r="B1592"/>
      <c r="C1592"/>
      <c r="D1592"/>
    </row>
    <row r="1593" spans="1:4" x14ac:dyDescent="0.25">
      <c r="A1593"/>
      <c r="B1593"/>
      <c r="C1593"/>
      <c r="D1593"/>
    </row>
    <row r="1594" spans="1:4" x14ac:dyDescent="0.25">
      <c r="A1594"/>
      <c r="B1594"/>
      <c r="C1594"/>
      <c r="D1594"/>
    </row>
    <row r="1595" spans="1:4" x14ac:dyDescent="0.25">
      <c r="A1595"/>
      <c r="B1595"/>
      <c r="C1595"/>
      <c r="D1595"/>
    </row>
    <row r="1596" spans="1:4" x14ac:dyDescent="0.25">
      <c r="A1596"/>
      <c r="B1596"/>
      <c r="C1596"/>
      <c r="D1596"/>
    </row>
    <row r="1597" spans="1:4" x14ac:dyDescent="0.25">
      <c r="A1597"/>
      <c r="B1597"/>
      <c r="C1597"/>
      <c r="D1597"/>
    </row>
    <row r="1598" spans="1:4" x14ac:dyDescent="0.25">
      <c r="A1598"/>
      <c r="B1598"/>
      <c r="C1598"/>
      <c r="D1598"/>
    </row>
    <row r="1599" spans="1:4" x14ac:dyDescent="0.25">
      <c r="A1599"/>
      <c r="B1599"/>
      <c r="C1599"/>
      <c r="D1599"/>
    </row>
    <row r="1600" spans="1:4" x14ac:dyDescent="0.25">
      <c r="A1600"/>
      <c r="B1600"/>
      <c r="C1600"/>
      <c r="D1600"/>
    </row>
    <row r="1601" spans="1:4" x14ac:dyDescent="0.25">
      <c r="A1601"/>
      <c r="B1601"/>
      <c r="C1601"/>
      <c r="D1601"/>
    </row>
    <row r="1602" spans="1:4" x14ac:dyDescent="0.25">
      <c r="A1602"/>
      <c r="B1602"/>
      <c r="C1602"/>
      <c r="D1602"/>
    </row>
    <row r="1603" spans="1:4" x14ac:dyDescent="0.25">
      <c r="A1603"/>
      <c r="B1603"/>
      <c r="C1603"/>
      <c r="D1603"/>
    </row>
    <row r="1604" spans="1:4" x14ac:dyDescent="0.25">
      <c r="A1604"/>
      <c r="B1604"/>
      <c r="C1604"/>
      <c r="D1604"/>
    </row>
    <row r="1605" spans="1:4" x14ac:dyDescent="0.25">
      <c r="A1605"/>
      <c r="B1605"/>
      <c r="C1605"/>
      <c r="D1605"/>
    </row>
    <row r="1606" spans="1:4" x14ac:dyDescent="0.25">
      <c r="A1606"/>
      <c r="B1606"/>
      <c r="C1606"/>
      <c r="D1606"/>
    </row>
    <row r="1607" spans="1:4" x14ac:dyDescent="0.25">
      <c r="A1607"/>
      <c r="B1607"/>
      <c r="C1607"/>
      <c r="D1607"/>
    </row>
    <row r="1608" spans="1:4" x14ac:dyDescent="0.25">
      <c r="A1608"/>
      <c r="B1608"/>
      <c r="C1608"/>
      <c r="D1608"/>
    </row>
    <row r="1609" spans="1:4" x14ac:dyDescent="0.25">
      <c r="A1609"/>
      <c r="B1609"/>
      <c r="C1609"/>
      <c r="D1609"/>
    </row>
    <row r="1610" spans="1:4" x14ac:dyDescent="0.25">
      <c r="A1610"/>
      <c r="B1610"/>
      <c r="C1610"/>
      <c r="D1610"/>
    </row>
    <row r="1611" spans="1:4" x14ac:dyDescent="0.25">
      <c r="A1611"/>
      <c r="B1611"/>
      <c r="C1611"/>
      <c r="D1611"/>
    </row>
    <row r="1612" spans="1:4" x14ac:dyDescent="0.25">
      <c r="A1612"/>
      <c r="B1612"/>
      <c r="C1612"/>
      <c r="D1612"/>
    </row>
    <row r="1613" spans="1:4" x14ac:dyDescent="0.25">
      <c r="A1613"/>
      <c r="B1613"/>
      <c r="C1613"/>
      <c r="D1613"/>
    </row>
    <row r="1614" spans="1:4" x14ac:dyDescent="0.25">
      <c r="A1614"/>
      <c r="B1614"/>
      <c r="C1614"/>
      <c r="D1614"/>
    </row>
    <row r="1615" spans="1:4" x14ac:dyDescent="0.25">
      <c r="A1615"/>
      <c r="B1615"/>
      <c r="C1615"/>
      <c r="D1615"/>
    </row>
    <row r="1616" spans="1:4" x14ac:dyDescent="0.25">
      <c r="A1616"/>
      <c r="B1616"/>
      <c r="C1616"/>
      <c r="D1616"/>
    </row>
    <row r="1617" spans="1:4" x14ac:dyDescent="0.25">
      <c r="A1617"/>
      <c r="B1617"/>
      <c r="C1617"/>
      <c r="D1617"/>
    </row>
    <row r="1618" spans="1:4" x14ac:dyDescent="0.25">
      <c r="A1618"/>
      <c r="B1618"/>
      <c r="C1618"/>
      <c r="D1618"/>
    </row>
    <row r="1619" spans="1:4" x14ac:dyDescent="0.25">
      <c r="A1619"/>
      <c r="B1619"/>
      <c r="C1619"/>
      <c r="D1619"/>
    </row>
    <row r="1620" spans="1:4" x14ac:dyDescent="0.25">
      <c r="A1620"/>
      <c r="B1620"/>
      <c r="C1620"/>
      <c r="D1620"/>
    </row>
    <row r="1621" spans="1:4" x14ac:dyDescent="0.25">
      <c r="A1621"/>
      <c r="B1621"/>
      <c r="C1621"/>
      <c r="D1621"/>
    </row>
    <row r="1622" spans="1:4" x14ac:dyDescent="0.25">
      <c r="A1622"/>
      <c r="B1622"/>
      <c r="C1622"/>
      <c r="D1622"/>
    </row>
    <row r="1623" spans="1:4" x14ac:dyDescent="0.25">
      <c r="A1623"/>
      <c r="B1623"/>
      <c r="C1623"/>
      <c r="D1623"/>
    </row>
    <row r="1624" spans="1:4" x14ac:dyDescent="0.25">
      <c r="A1624"/>
      <c r="B1624"/>
      <c r="C1624"/>
      <c r="D1624"/>
    </row>
    <row r="1625" spans="1:4" x14ac:dyDescent="0.25">
      <c r="A1625"/>
      <c r="B1625"/>
      <c r="C1625"/>
      <c r="D1625"/>
    </row>
    <row r="1626" spans="1:4" x14ac:dyDescent="0.25">
      <c r="A1626"/>
      <c r="B1626"/>
      <c r="C1626"/>
      <c r="D1626"/>
    </row>
    <row r="1627" spans="1:4" x14ac:dyDescent="0.25">
      <c r="A1627"/>
      <c r="B1627"/>
      <c r="C1627"/>
      <c r="D1627"/>
    </row>
    <row r="1628" spans="1:4" x14ac:dyDescent="0.25">
      <c r="A1628"/>
      <c r="B1628"/>
      <c r="C1628"/>
      <c r="D1628"/>
    </row>
    <row r="1629" spans="1:4" x14ac:dyDescent="0.25">
      <c r="A1629"/>
      <c r="B1629"/>
      <c r="C1629"/>
      <c r="D1629"/>
    </row>
    <row r="1630" spans="1:4" x14ac:dyDescent="0.25">
      <c r="A1630"/>
      <c r="B1630"/>
      <c r="C1630"/>
      <c r="D1630"/>
    </row>
    <row r="1631" spans="1:4" x14ac:dyDescent="0.25">
      <c r="A1631"/>
      <c r="B1631"/>
      <c r="C1631"/>
      <c r="D1631"/>
    </row>
    <row r="1632" spans="1:4" x14ac:dyDescent="0.25">
      <c r="A1632"/>
      <c r="B1632"/>
      <c r="C1632"/>
      <c r="D1632"/>
    </row>
    <row r="1633" spans="1:4" x14ac:dyDescent="0.25">
      <c r="A1633"/>
      <c r="B1633"/>
      <c r="C1633"/>
      <c r="D1633"/>
    </row>
    <row r="1634" spans="1:4" x14ac:dyDescent="0.25">
      <c r="A1634"/>
      <c r="B1634"/>
      <c r="C1634"/>
      <c r="D1634"/>
    </row>
    <row r="1635" spans="1:4" x14ac:dyDescent="0.25">
      <c r="A1635"/>
      <c r="B1635"/>
      <c r="C1635"/>
      <c r="D1635"/>
    </row>
    <row r="1636" spans="1:4" x14ac:dyDescent="0.25">
      <c r="A1636"/>
      <c r="B1636"/>
      <c r="C1636"/>
      <c r="D1636"/>
    </row>
    <row r="1637" spans="1:4" x14ac:dyDescent="0.25">
      <c r="A1637"/>
      <c r="B1637"/>
      <c r="C1637"/>
      <c r="D1637"/>
    </row>
    <row r="1638" spans="1:4" x14ac:dyDescent="0.25">
      <c r="A1638"/>
      <c r="B1638"/>
      <c r="C1638"/>
      <c r="D1638"/>
    </row>
    <row r="1639" spans="1:4" x14ac:dyDescent="0.25">
      <c r="A1639"/>
      <c r="B1639"/>
      <c r="C1639"/>
      <c r="D1639"/>
    </row>
    <row r="1640" spans="1:4" x14ac:dyDescent="0.25">
      <c r="A1640"/>
      <c r="B1640"/>
      <c r="C1640"/>
      <c r="D1640"/>
    </row>
    <row r="1641" spans="1:4" x14ac:dyDescent="0.25">
      <c r="A1641"/>
      <c r="B1641"/>
      <c r="C1641"/>
      <c r="D1641"/>
    </row>
    <row r="1642" spans="1:4" x14ac:dyDescent="0.25">
      <c r="A1642"/>
      <c r="B1642"/>
      <c r="C1642"/>
      <c r="D1642"/>
    </row>
    <row r="1643" spans="1:4" x14ac:dyDescent="0.25">
      <c r="A1643"/>
      <c r="B1643"/>
      <c r="C1643"/>
      <c r="D1643"/>
    </row>
    <row r="1644" spans="1:4" x14ac:dyDescent="0.25">
      <c r="A1644"/>
      <c r="B1644"/>
      <c r="C1644"/>
      <c r="D1644"/>
    </row>
    <row r="1645" spans="1:4" x14ac:dyDescent="0.25">
      <c r="A1645"/>
      <c r="B1645"/>
      <c r="C1645"/>
      <c r="D1645"/>
    </row>
    <row r="1646" spans="1:4" x14ac:dyDescent="0.25">
      <c r="A1646"/>
      <c r="B1646"/>
      <c r="C1646"/>
      <c r="D1646"/>
    </row>
    <row r="1647" spans="1:4" x14ac:dyDescent="0.25">
      <c r="A1647"/>
      <c r="B1647"/>
      <c r="C1647"/>
      <c r="D1647"/>
    </row>
    <row r="1648" spans="1:4" x14ac:dyDescent="0.25">
      <c r="A1648"/>
      <c r="B1648"/>
      <c r="C1648"/>
      <c r="D1648"/>
    </row>
    <row r="1649" spans="1:4" x14ac:dyDescent="0.25">
      <c r="A1649"/>
      <c r="B1649"/>
      <c r="C1649"/>
      <c r="D1649"/>
    </row>
    <row r="1650" spans="1:4" x14ac:dyDescent="0.25">
      <c r="A1650"/>
      <c r="B1650"/>
      <c r="C1650"/>
      <c r="D1650"/>
    </row>
    <row r="1651" spans="1:4" x14ac:dyDescent="0.25">
      <c r="A1651"/>
      <c r="B1651"/>
      <c r="C1651"/>
      <c r="D1651"/>
    </row>
    <row r="1652" spans="1:4" x14ac:dyDescent="0.25">
      <c r="A1652"/>
      <c r="B1652"/>
      <c r="C1652"/>
      <c r="D1652"/>
    </row>
    <row r="1653" spans="1:4" x14ac:dyDescent="0.25">
      <c r="A1653"/>
      <c r="B1653"/>
      <c r="C1653"/>
      <c r="D1653"/>
    </row>
    <row r="1654" spans="1:4" x14ac:dyDescent="0.25">
      <c r="A1654"/>
      <c r="B1654"/>
      <c r="C1654"/>
      <c r="D1654"/>
    </row>
    <row r="1655" spans="1:4" x14ac:dyDescent="0.25">
      <c r="A1655"/>
      <c r="B1655"/>
      <c r="C1655"/>
      <c r="D1655"/>
    </row>
    <row r="1656" spans="1:4" x14ac:dyDescent="0.25">
      <c r="A1656"/>
      <c r="B1656"/>
      <c r="C1656"/>
      <c r="D1656"/>
    </row>
    <row r="1657" spans="1:4" x14ac:dyDescent="0.25">
      <c r="A1657"/>
      <c r="B1657"/>
      <c r="C1657"/>
      <c r="D1657"/>
    </row>
    <row r="1658" spans="1:4" x14ac:dyDescent="0.25">
      <c r="A1658"/>
      <c r="B1658"/>
      <c r="C1658"/>
      <c r="D1658"/>
    </row>
    <row r="1659" spans="1:4" x14ac:dyDescent="0.25">
      <c r="A1659"/>
      <c r="B1659"/>
      <c r="C1659"/>
      <c r="D1659"/>
    </row>
    <row r="1660" spans="1:4" x14ac:dyDescent="0.25">
      <c r="A1660"/>
      <c r="B1660"/>
      <c r="C1660"/>
      <c r="D1660"/>
    </row>
    <row r="1661" spans="1:4" x14ac:dyDescent="0.25">
      <c r="A1661"/>
      <c r="B1661"/>
      <c r="C1661"/>
      <c r="D1661"/>
    </row>
    <row r="1662" spans="1:4" x14ac:dyDescent="0.25">
      <c r="A1662"/>
      <c r="B1662"/>
      <c r="C1662"/>
      <c r="D1662"/>
    </row>
    <row r="1663" spans="1:4" x14ac:dyDescent="0.25">
      <c r="A1663"/>
      <c r="B1663"/>
      <c r="C1663"/>
      <c r="D1663"/>
    </row>
    <row r="1664" spans="1:4" x14ac:dyDescent="0.25">
      <c r="A1664"/>
      <c r="B1664"/>
      <c r="C1664"/>
      <c r="D1664"/>
    </row>
    <row r="1665" spans="1:4" x14ac:dyDescent="0.25">
      <c r="A1665"/>
      <c r="B1665"/>
      <c r="C1665"/>
      <c r="D1665"/>
    </row>
    <row r="1666" spans="1:4" x14ac:dyDescent="0.25">
      <c r="A1666"/>
      <c r="B1666"/>
      <c r="C1666"/>
      <c r="D1666"/>
    </row>
    <row r="1667" spans="1:4" x14ac:dyDescent="0.25">
      <c r="A1667"/>
      <c r="B1667"/>
      <c r="C1667"/>
      <c r="D1667"/>
    </row>
    <row r="1668" spans="1:4" x14ac:dyDescent="0.25">
      <c r="A1668"/>
      <c r="B1668"/>
      <c r="C1668"/>
      <c r="D1668"/>
    </row>
    <row r="1669" spans="1:4" x14ac:dyDescent="0.25">
      <c r="A1669"/>
      <c r="B1669"/>
      <c r="C1669"/>
      <c r="D1669"/>
    </row>
    <row r="1670" spans="1:4" x14ac:dyDescent="0.25">
      <c r="A1670"/>
      <c r="B1670"/>
      <c r="C1670"/>
      <c r="D1670"/>
    </row>
    <row r="1671" spans="1:4" x14ac:dyDescent="0.25">
      <c r="A1671"/>
      <c r="B1671"/>
      <c r="C1671"/>
      <c r="D1671"/>
    </row>
    <row r="1672" spans="1:4" x14ac:dyDescent="0.25">
      <c r="A1672"/>
      <c r="B1672"/>
      <c r="C1672"/>
      <c r="D1672"/>
    </row>
    <row r="1673" spans="1:4" x14ac:dyDescent="0.25">
      <c r="A1673"/>
      <c r="B1673"/>
      <c r="C1673"/>
      <c r="D1673"/>
    </row>
    <row r="1674" spans="1:4" x14ac:dyDescent="0.25">
      <c r="A1674"/>
      <c r="B1674"/>
      <c r="C1674"/>
      <c r="D1674"/>
    </row>
    <row r="1675" spans="1:4" x14ac:dyDescent="0.25">
      <c r="A1675"/>
      <c r="B1675"/>
      <c r="C1675"/>
      <c r="D1675"/>
    </row>
    <row r="1676" spans="1:4" x14ac:dyDescent="0.25">
      <c r="A1676"/>
      <c r="B1676"/>
      <c r="C1676"/>
      <c r="D1676"/>
    </row>
    <row r="1677" spans="1:4" x14ac:dyDescent="0.25">
      <c r="A1677"/>
      <c r="B1677"/>
      <c r="C1677"/>
      <c r="D1677"/>
    </row>
    <row r="1678" spans="1:4" x14ac:dyDescent="0.25">
      <c r="A1678"/>
      <c r="B1678"/>
      <c r="C1678"/>
      <c r="D1678"/>
    </row>
    <row r="1679" spans="1:4" x14ac:dyDescent="0.25">
      <c r="A1679"/>
      <c r="B1679"/>
      <c r="C1679"/>
      <c r="D1679"/>
    </row>
    <row r="1680" spans="1:4" x14ac:dyDescent="0.25">
      <c r="A1680"/>
      <c r="B1680"/>
      <c r="C1680"/>
      <c r="D1680"/>
    </row>
    <row r="1681" spans="1:4" x14ac:dyDescent="0.25">
      <c r="A1681"/>
      <c r="B1681"/>
      <c r="C1681"/>
      <c r="D1681"/>
    </row>
    <row r="1682" spans="1:4" x14ac:dyDescent="0.25">
      <c r="A1682"/>
      <c r="B1682"/>
      <c r="C1682"/>
      <c r="D1682"/>
    </row>
    <row r="1683" spans="1:4" x14ac:dyDescent="0.25">
      <c r="A1683"/>
      <c r="B1683"/>
      <c r="C1683"/>
      <c r="D1683"/>
    </row>
    <row r="1684" spans="1:4" x14ac:dyDescent="0.25">
      <c r="A1684"/>
      <c r="B1684"/>
      <c r="C1684"/>
      <c r="D1684"/>
    </row>
    <row r="1685" spans="1:4" x14ac:dyDescent="0.25">
      <c r="A1685"/>
      <c r="B1685"/>
      <c r="C1685"/>
      <c r="D1685"/>
    </row>
    <row r="1686" spans="1:4" x14ac:dyDescent="0.25">
      <c r="A1686"/>
      <c r="B1686"/>
      <c r="C1686"/>
      <c r="D1686"/>
    </row>
    <row r="1687" spans="1:4" x14ac:dyDescent="0.25">
      <c r="A1687"/>
      <c r="B1687"/>
      <c r="C1687"/>
      <c r="D1687"/>
    </row>
    <row r="1688" spans="1:4" x14ac:dyDescent="0.25">
      <c r="A1688"/>
      <c r="B1688"/>
      <c r="C1688"/>
      <c r="D1688"/>
    </row>
    <row r="1689" spans="1:4" x14ac:dyDescent="0.25">
      <c r="A1689"/>
      <c r="B1689"/>
      <c r="C1689"/>
      <c r="D1689"/>
    </row>
    <row r="1690" spans="1:4" x14ac:dyDescent="0.25">
      <c r="A1690"/>
      <c r="B1690"/>
      <c r="C1690"/>
      <c r="D1690"/>
    </row>
    <row r="1691" spans="1:4" x14ac:dyDescent="0.25">
      <c r="A1691"/>
      <c r="B1691"/>
      <c r="C1691"/>
      <c r="D1691"/>
    </row>
    <row r="1692" spans="1:4" x14ac:dyDescent="0.25">
      <c r="A1692"/>
      <c r="B1692"/>
      <c r="C1692"/>
      <c r="D1692"/>
    </row>
    <row r="1693" spans="1:4" x14ac:dyDescent="0.25">
      <c r="A1693"/>
      <c r="B1693"/>
      <c r="C1693"/>
      <c r="D1693"/>
    </row>
    <row r="1694" spans="1:4" x14ac:dyDescent="0.25">
      <c r="A1694"/>
      <c r="B1694"/>
      <c r="C1694"/>
      <c r="D1694"/>
    </row>
    <row r="1695" spans="1:4" x14ac:dyDescent="0.25">
      <c r="A1695"/>
      <c r="B1695"/>
      <c r="C1695"/>
      <c r="D1695"/>
    </row>
    <row r="1696" spans="1:4" x14ac:dyDescent="0.25">
      <c r="A1696"/>
      <c r="B1696"/>
      <c r="C1696"/>
      <c r="D1696"/>
    </row>
    <row r="1697" spans="1:4" x14ac:dyDescent="0.25">
      <c r="A1697"/>
      <c r="B1697"/>
      <c r="C1697"/>
      <c r="D1697"/>
    </row>
    <row r="1698" spans="1:4" x14ac:dyDescent="0.25">
      <c r="A1698"/>
      <c r="B1698"/>
      <c r="C1698"/>
      <c r="D1698"/>
    </row>
    <row r="1699" spans="1:4" x14ac:dyDescent="0.25">
      <c r="A1699"/>
      <c r="B1699"/>
      <c r="C1699"/>
      <c r="D1699"/>
    </row>
    <row r="1700" spans="1:4" x14ac:dyDescent="0.25">
      <c r="A1700"/>
      <c r="B1700"/>
      <c r="C1700"/>
      <c r="D1700"/>
    </row>
    <row r="1701" spans="1:4" x14ac:dyDescent="0.25">
      <c r="A1701"/>
      <c r="B1701"/>
      <c r="C1701"/>
      <c r="D1701"/>
    </row>
    <row r="1702" spans="1:4" x14ac:dyDescent="0.25">
      <c r="A1702"/>
      <c r="B1702"/>
      <c r="C1702"/>
      <c r="D1702"/>
    </row>
    <row r="1703" spans="1:4" x14ac:dyDescent="0.25">
      <c r="A1703"/>
      <c r="B1703"/>
      <c r="C1703"/>
      <c r="D1703"/>
    </row>
    <row r="1704" spans="1:4" x14ac:dyDescent="0.25">
      <c r="A1704"/>
      <c r="B1704"/>
      <c r="C1704"/>
      <c r="D1704"/>
    </row>
    <row r="1705" spans="1:4" x14ac:dyDescent="0.25">
      <c r="A1705"/>
      <c r="B1705"/>
      <c r="C1705"/>
      <c r="D1705"/>
    </row>
    <row r="1706" spans="1:4" x14ac:dyDescent="0.25">
      <c r="A1706"/>
      <c r="B1706"/>
      <c r="C1706"/>
      <c r="D1706"/>
    </row>
    <row r="1707" spans="1:4" x14ac:dyDescent="0.25">
      <c r="A1707"/>
      <c r="B1707"/>
      <c r="C1707"/>
      <c r="D1707"/>
    </row>
    <row r="1708" spans="1:4" x14ac:dyDescent="0.25">
      <c r="A1708"/>
      <c r="B1708"/>
      <c r="C1708"/>
      <c r="D1708"/>
    </row>
    <row r="1709" spans="1:4" x14ac:dyDescent="0.25">
      <c r="A1709"/>
      <c r="B1709"/>
      <c r="C1709"/>
      <c r="D1709"/>
    </row>
    <row r="1710" spans="1:4" x14ac:dyDescent="0.25">
      <c r="A1710"/>
      <c r="B1710"/>
      <c r="C1710"/>
      <c r="D1710"/>
    </row>
    <row r="1711" spans="1:4" x14ac:dyDescent="0.25">
      <c r="A1711"/>
      <c r="B1711"/>
      <c r="C1711"/>
      <c r="D1711"/>
    </row>
    <row r="1712" spans="1:4" x14ac:dyDescent="0.25">
      <c r="A1712"/>
      <c r="B1712"/>
      <c r="C1712"/>
      <c r="D1712"/>
    </row>
    <row r="1713" spans="1:4" x14ac:dyDescent="0.25">
      <c r="A1713"/>
      <c r="B1713"/>
      <c r="C1713"/>
      <c r="D1713"/>
    </row>
    <row r="1714" spans="1:4" x14ac:dyDescent="0.25">
      <c r="A1714"/>
      <c r="B1714"/>
      <c r="C1714"/>
      <c r="D1714"/>
    </row>
    <row r="1715" spans="1:4" x14ac:dyDescent="0.25">
      <c r="A1715"/>
      <c r="B1715"/>
      <c r="C1715"/>
      <c r="D1715"/>
    </row>
    <row r="1716" spans="1:4" x14ac:dyDescent="0.25">
      <c r="A1716"/>
      <c r="B1716"/>
      <c r="C1716"/>
      <c r="D1716"/>
    </row>
    <row r="1717" spans="1:4" x14ac:dyDescent="0.25">
      <c r="A1717"/>
      <c r="B1717"/>
      <c r="C1717"/>
      <c r="D1717"/>
    </row>
    <row r="1718" spans="1:4" x14ac:dyDescent="0.25">
      <c r="A1718"/>
      <c r="B1718"/>
      <c r="C1718"/>
      <c r="D1718"/>
    </row>
    <row r="1719" spans="1:4" x14ac:dyDescent="0.25">
      <c r="A1719"/>
      <c r="B1719"/>
      <c r="C1719"/>
      <c r="D1719"/>
    </row>
    <row r="1720" spans="1:4" x14ac:dyDescent="0.25">
      <c r="A1720"/>
      <c r="B1720"/>
      <c r="C1720"/>
      <c r="D1720"/>
    </row>
    <row r="1721" spans="1:4" x14ac:dyDescent="0.25">
      <c r="A1721"/>
      <c r="B1721"/>
      <c r="C1721"/>
      <c r="D1721"/>
    </row>
    <row r="1722" spans="1:4" x14ac:dyDescent="0.25">
      <c r="A1722"/>
      <c r="B1722"/>
      <c r="C1722"/>
      <c r="D1722"/>
    </row>
    <row r="1723" spans="1:4" x14ac:dyDescent="0.25">
      <c r="A1723"/>
      <c r="B1723"/>
      <c r="C1723"/>
      <c r="D1723"/>
    </row>
    <row r="1724" spans="1:4" x14ac:dyDescent="0.25">
      <c r="A1724"/>
      <c r="B1724"/>
      <c r="C1724"/>
      <c r="D1724"/>
    </row>
    <row r="1725" spans="1:4" x14ac:dyDescent="0.25">
      <c r="A1725"/>
      <c r="B1725"/>
      <c r="C1725"/>
      <c r="D1725"/>
    </row>
    <row r="1726" spans="1:4" x14ac:dyDescent="0.25">
      <c r="A1726"/>
      <c r="B1726"/>
      <c r="C1726"/>
      <c r="D1726"/>
    </row>
    <row r="1727" spans="1:4" x14ac:dyDescent="0.25">
      <c r="A1727"/>
      <c r="B1727"/>
      <c r="C1727"/>
      <c r="D1727"/>
    </row>
    <row r="1728" spans="1:4" x14ac:dyDescent="0.25">
      <c r="A1728"/>
      <c r="B1728"/>
      <c r="C1728"/>
      <c r="D1728"/>
    </row>
    <row r="1729" spans="1:4" x14ac:dyDescent="0.25">
      <c r="A1729"/>
      <c r="B1729"/>
      <c r="C1729"/>
      <c r="D1729"/>
    </row>
    <row r="1730" spans="1:4" x14ac:dyDescent="0.25">
      <c r="A1730"/>
      <c r="B1730"/>
      <c r="C1730"/>
      <c r="D1730"/>
    </row>
    <row r="1731" spans="1:4" x14ac:dyDescent="0.25">
      <c r="A1731"/>
      <c r="B1731"/>
      <c r="C1731"/>
      <c r="D1731"/>
    </row>
    <row r="1732" spans="1:4" x14ac:dyDescent="0.25">
      <c r="A1732"/>
      <c r="B1732"/>
      <c r="C1732"/>
      <c r="D1732"/>
    </row>
    <row r="1733" spans="1:4" x14ac:dyDescent="0.25">
      <c r="A1733"/>
      <c r="B1733"/>
      <c r="C1733"/>
      <c r="D1733"/>
    </row>
    <row r="1734" spans="1:4" x14ac:dyDescent="0.25">
      <c r="A1734"/>
      <c r="B1734"/>
      <c r="C1734"/>
      <c r="D1734"/>
    </row>
    <row r="1735" spans="1:4" x14ac:dyDescent="0.25">
      <c r="A1735"/>
      <c r="B1735"/>
      <c r="C1735"/>
      <c r="D1735"/>
    </row>
    <row r="1736" spans="1:4" x14ac:dyDescent="0.25">
      <c r="A1736"/>
      <c r="B1736"/>
      <c r="C1736"/>
      <c r="D1736"/>
    </row>
    <row r="1737" spans="1:4" x14ac:dyDescent="0.25">
      <c r="A1737"/>
      <c r="B1737"/>
      <c r="C1737"/>
      <c r="D1737"/>
    </row>
    <row r="1738" spans="1:4" x14ac:dyDescent="0.25">
      <c r="A1738"/>
      <c r="B1738"/>
      <c r="C1738"/>
      <c r="D1738"/>
    </row>
    <row r="1739" spans="1:4" x14ac:dyDescent="0.25">
      <c r="A1739"/>
      <c r="B1739"/>
      <c r="C1739"/>
      <c r="D1739"/>
    </row>
    <row r="1740" spans="1:4" x14ac:dyDescent="0.25">
      <c r="A1740"/>
      <c r="B1740"/>
      <c r="C1740"/>
      <c r="D1740"/>
    </row>
    <row r="1741" spans="1:4" x14ac:dyDescent="0.25">
      <c r="A1741"/>
      <c r="B1741"/>
      <c r="C1741"/>
      <c r="D1741"/>
    </row>
    <row r="1742" spans="1:4" x14ac:dyDescent="0.25">
      <c r="A1742"/>
      <c r="B1742"/>
      <c r="C1742"/>
      <c r="D1742"/>
    </row>
    <row r="1743" spans="1:4" x14ac:dyDescent="0.25">
      <c r="A1743"/>
      <c r="B1743"/>
      <c r="C1743"/>
      <c r="D1743"/>
    </row>
    <row r="1744" spans="1:4" x14ac:dyDescent="0.25">
      <c r="A1744"/>
      <c r="B1744"/>
      <c r="C1744"/>
      <c r="D1744"/>
    </row>
    <row r="1745" spans="1:4" x14ac:dyDescent="0.25">
      <c r="A1745"/>
      <c r="B1745"/>
      <c r="C1745"/>
      <c r="D1745"/>
    </row>
    <row r="1746" spans="1:4" x14ac:dyDescent="0.25">
      <c r="A1746"/>
      <c r="B1746"/>
      <c r="C1746"/>
      <c r="D1746"/>
    </row>
    <row r="1747" spans="1:4" x14ac:dyDescent="0.25">
      <c r="A1747"/>
      <c r="B1747"/>
      <c r="C1747"/>
      <c r="D1747"/>
    </row>
    <row r="1748" spans="1:4" x14ac:dyDescent="0.25">
      <c r="A1748"/>
      <c r="B1748"/>
      <c r="C1748"/>
      <c r="D1748"/>
    </row>
    <row r="1749" spans="1:4" x14ac:dyDescent="0.25">
      <c r="A1749"/>
      <c r="B1749"/>
      <c r="C1749"/>
      <c r="D1749"/>
    </row>
    <row r="1750" spans="1:4" x14ac:dyDescent="0.25">
      <c r="A1750"/>
      <c r="B1750"/>
      <c r="C1750"/>
      <c r="D1750"/>
    </row>
    <row r="1751" spans="1:4" x14ac:dyDescent="0.25">
      <c r="A1751"/>
      <c r="B1751"/>
      <c r="C1751"/>
      <c r="D1751"/>
    </row>
    <row r="1752" spans="1:4" x14ac:dyDescent="0.25">
      <c r="A1752"/>
      <c r="B1752"/>
      <c r="C1752"/>
      <c r="D1752"/>
    </row>
    <row r="1753" spans="1:4" x14ac:dyDescent="0.25">
      <c r="A1753"/>
      <c r="B1753"/>
      <c r="C1753"/>
      <c r="D1753"/>
    </row>
    <row r="1754" spans="1:4" x14ac:dyDescent="0.25">
      <c r="A1754"/>
      <c r="B1754"/>
      <c r="C1754"/>
      <c r="D1754"/>
    </row>
    <row r="1755" spans="1:4" x14ac:dyDescent="0.25">
      <c r="A1755"/>
      <c r="B1755"/>
      <c r="C1755"/>
      <c r="D1755"/>
    </row>
    <row r="1756" spans="1:4" x14ac:dyDescent="0.25">
      <c r="A1756"/>
      <c r="B1756"/>
      <c r="C1756"/>
      <c r="D1756"/>
    </row>
    <row r="1757" spans="1:4" x14ac:dyDescent="0.25">
      <c r="A1757"/>
      <c r="B1757"/>
      <c r="C1757"/>
      <c r="D1757"/>
    </row>
    <row r="1758" spans="1:4" x14ac:dyDescent="0.25">
      <c r="A1758"/>
      <c r="B1758"/>
      <c r="C1758"/>
      <c r="D1758"/>
    </row>
    <row r="1759" spans="1:4" x14ac:dyDescent="0.25">
      <c r="A1759"/>
      <c r="B1759"/>
      <c r="C1759"/>
      <c r="D1759"/>
    </row>
    <row r="1760" spans="1:4" x14ac:dyDescent="0.25">
      <c r="A1760"/>
      <c r="B1760"/>
      <c r="C1760"/>
      <c r="D1760"/>
    </row>
    <row r="1761" spans="1:4" x14ac:dyDescent="0.25">
      <c r="A1761"/>
      <c r="B1761"/>
      <c r="C1761"/>
      <c r="D1761"/>
    </row>
    <row r="1762" spans="1:4" x14ac:dyDescent="0.25">
      <c r="A1762"/>
      <c r="B1762"/>
      <c r="C1762"/>
      <c r="D1762"/>
    </row>
    <row r="1763" spans="1:4" x14ac:dyDescent="0.25">
      <c r="A1763"/>
      <c r="B1763"/>
      <c r="C1763"/>
      <c r="D1763"/>
    </row>
    <row r="1764" spans="1:4" x14ac:dyDescent="0.25">
      <c r="A1764"/>
      <c r="B1764"/>
      <c r="C1764"/>
      <c r="D1764"/>
    </row>
    <row r="1765" spans="1:4" x14ac:dyDescent="0.25">
      <c r="A1765"/>
      <c r="B1765"/>
      <c r="C1765"/>
      <c r="D1765"/>
    </row>
    <row r="1766" spans="1:4" x14ac:dyDescent="0.25">
      <c r="A1766"/>
      <c r="B1766"/>
      <c r="C1766"/>
      <c r="D1766"/>
    </row>
    <row r="1767" spans="1:4" x14ac:dyDescent="0.25">
      <c r="A1767"/>
      <c r="B1767"/>
      <c r="C1767"/>
      <c r="D1767"/>
    </row>
    <row r="1768" spans="1:4" x14ac:dyDescent="0.25">
      <c r="A1768"/>
      <c r="B1768"/>
      <c r="C1768"/>
      <c r="D1768"/>
    </row>
    <row r="1769" spans="1:4" x14ac:dyDescent="0.25">
      <c r="A1769"/>
      <c r="B1769"/>
      <c r="C1769"/>
      <c r="D1769"/>
    </row>
    <row r="1770" spans="1:4" x14ac:dyDescent="0.25">
      <c r="A1770"/>
      <c r="B1770"/>
      <c r="C1770"/>
      <c r="D1770"/>
    </row>
    <row r="1771" spans="1:4" x14ac:dyDescent="0.25">
      <c r="A1771"/>
      <c r="B1771"/>
      <c r="C1771"/>
      <c r="D1771"/>
    </row>
    <row r="1772" spans="1:4" x14ac:dyDescent="0.25">
      <c r="A1772"/>
      <c r="B1772"/>
      <c r="C1772"/>
      <c r="D1772"/>
    </row>
    <row r="1773" spans="1:4" x14ac:dyDescent="0.25">
      <c r="A1773"/>
      <c r="B1773"/>
      <c r="C1773"/>
      <c r="D1773"/>
    </row>
    <row r="1774" spans="1:4" x14ac:dyDescent="0.25">
      <c r="A1774"/>
      <c r="B1774"/>
      <c r="C1774"/>
      <c r="D1774"/>
    </row>
    <row r="1775" spans="1:4" x14ac:dyDescent="0.25">
      <c r="A1775"/>
      <c r="B1775"/>
      <c r="C1775"/>
      <c r="D1775"/>
    </row>
    <row r="1776" spans="1:4" x14ac:dyDescent="0.25">
      <c r="A1776"/>
      <c r="B1776"/>
      <c r="C1776"/>
      <c r="D1776"/>
    </row>
    <row r="1777" spans="1:4" x14ac:dyDescent="0.25">
      <c r="A1777"/>
      <c r="B1777"/>
      <c r="C1777"/>
      <c r="D1777"/>
    </row>
    <row r="1778" spans="1:4" x14ac:dyDescent="0.25">
      <c r="A1778"/>
      <c r="B1778"/>
      <c r="C1778"/>
      <c r="D1778"/>
    </row>
    <row r="1779" spans="1:4" x14ac:dyDescent="0.25">
      <c r="A1779"/>
      <c r="B1779"/>
      <c r="C1779"/>
      <c r="D1779"/>
    </row>
    <row r="1780" spans="1:4" x14ac:dyDescent="0.25">
      <c r="A1780"/>
      <c r="B1780"/>
      <c r="C1780"/>
      <c r="D1780"/>
    </row>
  </sheetData>
  <autoFilter ref="A1:G1780"/>
  <pageMargins left="0.7" right="0.7" top="0.75" bottom="0.75" header="0.3" footer="0.3"/>
  <pageSetup paperSize="9" orientation="portrait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1" tint="0.499984740745262"/>
  </sheetPr>
  <dimension ref="A1:AD62"/>
  <sheetViews>
    <sheetView topLeftCell="R1" workbookViewId="0">
      <selection activeCell="U19" sqref="U19"/>
    </sheetView>
  </sheetViews>
  <sheetFormatPr baseColWidth="10" defaultRowHeight="15" x14ac:dyDescent="0.25"/>
  <cols>
    <col min="1" max="1" width="36.85546875" customWidth="1"/>
    <col min="3" max="3" width="16.5703125" customWidth="1"/>
    <col min="4" max="4" width="15.42578125" customWidth="1"/>
    <col min="6" max="6" width="21" customWidth="1"/>
    <col min="7" max="7" width="25.140625" bestFit="1" customWidth="1"/>
    <col min="8" max="8" width="12.85546875" customWidth="1"/>
    <col min="10" max="10" width="22.28515625" customWidth="1"/>
    <col min="13" max="13" width="22.42578125" customWidth="1"/>
    <col min="14" max="14" width="21.28515625" customWidth="1"/>
    <col min="15" max="15" width="23.5703125" customWidth="1"/>
    <col min="16" max="16" width="17" customWidth="1"/>
    <col min="17" max="17" width="27.42578125" customWidth="1"/>
    <col min="18" max="18" width="20.85546875" customWidth="1"/>
    <col min="19" max="19" width="19" customWidth="1"/>
    <col min="20" max="20" width="22" customWidth="1"/>
    <col min="21" max="22" width="20.5703125" customWidth="1"/>
    <col min="23" max="23" width="20.85546875" customWidth="1"/>
    <col min="24" max="24" width="23.42578125" customWidth="1"/>
    <col min="25" max="25" width="17.7109375" customWidth="1"/>
    <col min="26" max="26" width="21.85546875" customWidth="1"/>
    <col min="27" max="27" width="18.28515625" customWidth="1"/>
    <col min="28" max="28" width="23.140625" customWidth="1"/>
    <col min="29" max="29" width="20" customWidth="1"/>
    <col min="30" max="30" width="19" customWidth="1"/>
  </cols>
  <sheetData>
    <row r="1" spans="1:30" x14ac:dyDescent="0.25">
      <c r="C1" s="350" t="s">
        <v>2</v>
      </c>
      <c r="D1" s="350"/>
      <c r="E1" s="350"/>
      <c r="F1" s="350"/>
      <c r="G1" s="350"/>
      <c r="H1" s="350"/>
      <c r="I1" s="350"/>
      <c r="J1" s="350"/>
      <c r="K1" s="350"/>
      <c r="M1" s="351" t="s">
        <v>3</v>
      </c>
      <c r="N1" s="351"/>
      <c r="O1" s="351"/>
      <c r="P1" s="351"/>
      <c r="Q1" s="351"/>
      <c r="R1" s="351"/>
      <c r="S1" s="351"/>
      <c r="T1" s="351"/>
      <c r="U1" s="351"/>
      <c r="V1" s="351"/>
      <c r="W1" s="351"/>
      <c r="X1" s="351"/>
      <c r="Y1" s="351"/>
      <c r="Z1" s="351"/>
      <c r="AA1" s="351"/>
      <c r="AB1" s="351"/>
      <c r="AC1" s="351"/>
      <c r="AD1" s="351"/>
    </row>
    <row r="2" spans="1:30" x14ac:dyDescent="0.25">
      <c r="A2" s="169" t="s">
        <v>1</v>
      </c>
      <c r="C2" s="170" t="s">
        <v>429</v>
      </c>
      <c r="D2" s="170" t="s">
        <v>435</v>
      </c>
      <c r="E2" s="170" t="s">
        <v>436</v>
      </c>
      <c r="F2" s="170" t="s">
        <v>437</v>
      </c>
      <c r="G2" s="170" t="s">
        <v>440</v>
      </c>
      <c r="H2" s="170" t="s">
        <v>275</v>
      </c>
      <c r="I2" s="170" t="s">
        <v>339</v>
      </c>
      <c r="J2" s="170" t="s">
        <v>562</v>
      </c>
      <c r="K2" s="170" t="s">
        <v>563</v>
      </c>
      <c r="M2" s="171" t="s">
        <v>0</v>
      </c>
      <c r="N2" s="171" t="s">
        <v>64</v>
      </c>
      <c r="O2" s="171" t="s">
        <v>81</v>
      </c>
      <c r="P2" s="171" t="s">
        <v>100</v>
      </c>
      <c r="Q2" s="171" t="s">
        <v>118</v>
      </c>
      <c r="R2" s="171" t="s">
        <v>140</v>
      </c>
      <c r="S2" s="171" t="s">
        <v>159</v>
      </c>
      <c r="T2" s="171" t="s">
        <v>438</v>
      </c>
      <c r="U2" s="171" t="s">
        <v>439</v>
      </c>
      <c r="V2" s="171" t="s">
        <v>201</v>
      </c>
      <c r="W2" s="171" t="s">
        <v>221</v>
      </c>
      <c r="X2" s="171" t="s">
        <v>441</v>
      </c>
      <c r="Y2" s="171" t="s">
        <v>260</v>
      </c>
      <c r="Z2" s="171" t="s">
        <v>276</v>
      </c>
      <c r="AA2" s="171" t="s">
        <v>426</v>
      </c>
      <c r="AB2" s="171" t="s">
        <v>427</v>
      </c>
      <c r="AC2" s="171" t="s">
        <v>340</v>
      </c>
      <c r="AD2" s="171" t="s">
        <v>428</v>
      </c>
    </row>
    <row r="3" spans="1:30" x14ac:dyDescent="0.25">
      <c r="A3" s="105" t="s">
        <v>429</v>
      </c>
      <c r="C3" s="105" t="s">
        <v>0</v>
      </c>
      <c r="D3" s="105" t="s">
        <v>81</v>
      </c>
      <c r="E3" s="105" t="s">
        <v>140</v>
      </c>
      <c r="F3" s="105" t="s">
        <v>438</v>
      </c>
      <c r="G3" s="105" t="s">
        <v>221</v>
      </c>
      <c r="H3" s="105" t="s">
        <v>276</v>
      </c>
      <c r="I3" s="105" t="s">
        <v>340</v>
      </c>
      <c r="J3" s="105" t="s">
        <v>431</v>
      </c>
      <c r="M3" s="172" t="s">
        <v>5</v>
      </c>
      <c r="N3" s="172" t="s">
        <v>65</v>
      </c>
      <c r="O3" s="172" t="s">
        <v>82</v>
      </c>
      <c r="P3" s="172" t="s">
        <v>101</v>
      </c>
      <c r="Q3" s="172" t="s">
        <v>119</v>
      </c>
      <c r="R3" s="172" t="s">
        <v>141</v>
      </c>
      <c r="S3" s="172" t="s">
        <v>160</v>
      </c>
      <c r="T3" s="172" t="s">
        <v>177</v>
      </c>
      <c r="U3" s="172" t="s">
        <v>188</v>
      </c>
      <c r="V3" s="172" t="s">
        <v>202</v>
      </c>
      <c r="W3" s="172" t="s">
        <v>222</v>
      </c>
      <c r="X3" s="172" t="s">
        <v>241</v>
      </c>
      <c r="Y3" s="172" t="s">
        <v>261</v>
      </c>
      <c r="Z3" s="172" t="s">
        <v>277</v>
      </c>
      <c r="AA3" s="172" t="s">
        <v>300</v>
      </c>
      <c r="AB3" s="172" t="s">
        <v>319</v>
      </c>
      <c r="AC3" s="172" t="s">
        <v>341</v>
      </c>
      <c r="AD3" s="172" t="s">
        <v>358</v>
      </c>
    </row>
    <row r="4" spans="1:30" x14ac:dyDescent="0.25">
      <c r="A4" s="105" t="s">
        <v>435</v>
      </c>
      <c r="C4" s="112" t="s">
        <v>64</v>
      </c>
      <c r="D4" s="105" t="s">
        <v>100</v>
      </c>
      <c r="E4" s="112" t="s">
        <v>159</v>
      </c>
      <c r="F4" s="105" t="s">
        <v>439</v>
      </c>
      <c r="G4" s="105" t="s">
        <v>441</v>
      </c>
      <c r="H4" s="105" t="s">
        <v>426</v>
      </c>
      <c r="I4" s="112" t="s">
        <v>428</v>
      </c>
      <c r="J4" s="105" t="s">
        <v>433</v>
      </c>
      <c r="M4" s="172" t="s">
        <v>56</v>
      </c>
      <c r="N4" s="172" t="s">
        <v>66</v>
      </c>
      <c r="O4" s="172" t="s">
        <v>83</v>
      </c>
      <c r="P4" s="172" t="s">
        <v>102</v>
      </c>
      <c r="Q4" s="172" t="s">
        <v>120</v>
      </c>
      <c r="R4" s="172" t="s">
        <v>142</v>
      </c>
      <c r="S4" s="172" t="s">
        <v>161</v>
      </c>
      <c r="T4" s="172" t="s">
        <v>178</v>
      </c>
      <c r="U4" s="172" t="s">
        <v>189</v>
      </c>
      <c r="V4" s="172" t="s">
        <v>203</v>
      </c>
      <c r="W4" s="172" t="s">
        <v>223</v>
      </c>
      <c r="X4" s="172" t="s">
        <v>242</v>
      </c>
      <c r="Y4" s="172" t="s">
        <v>262</v>
      </c>
      <c r="Z4" s="172" t="s">
        <v>278</v>
      </c>
      <c r="AA4" s="172" t="s">
        <v>301</v>
      </c>
      <c r="AB4" s="172" t="s">
        <v>320</v>
      </c>
      <c r="AC4" s="172" t="s">
        <v>342</v>
      </c>
      <c r="AD4" s="172" t="s">
        <v>359</v>
      </c>
    </row>
    <row r="5" spans="1:30" x14ac:dyDescent="0.25">
      <c r="A5" s="105" t="s">
        <v>436</v>
      </c>
      <c r="C5" s="112"/>
      <c r="D5" s="105" t="s">
        <v>118</v>
      </c>
      <c r="E5" s="112"/>
      <c r="F5" s="105" t="s">
        <v>201</v>
      </c>
      <c r="G5" s="105" t="s">
        <v>260</v>
      </c>
      <c r="H5" s="105" t="s">
        <v>427</v>
      </c>
      <c r="I5" s="112"/>
      <c r="J5" s="112"/>
      <c r="K5" s="112"/>
      <c r="M5" s="172" t="s">
        <v>57</v>
      </c>
      <c r="N5" s="172" t="s">
        <v>67</v>
      </c>
      <c r="O5" s="172" t="s">
        <v>84</v>
      </c>
      <c r="P5" s="172" t="s">
        <v>103</v>
      </c>
      <c r="Q5" s="172" t="s">
        <v>121</v>
      </c>
      <c r="R5" s="172" t="s">
        <v>143</v>
      </c>
      <c r="S5" s="172" t="s">
        <v>162</v>
      </c>
      <c r="T5" s="172" t="s">
        <v>179</v>
      </c>
      <c r="U5" s="172" t="s">
        <v>187</v>
      </c>
      <c r="V5" s="172" t="s">
        <v>204</v>
      </c>
      <c r="W5" s="172" t="s">
        <v>224</v>
      </c>
      <c r="X5" s="172" t="s">
        <v>243</v>
      </c>
      <c r="Y5" s="172" t="s">
        <v>263</v>
      </c>
      <c r="Z5" s="172" t="s">
        <v>279</v>
      </c>
      <c r="AA5" s="172" t="s">
        <v>302</v>
      </c>
      <c r="AB5" s="172" t="s">
        <v>321</v>
      </c>
      <c r="AC5" s="172" t="s">
        <v>343</v>
      </c>
      <c r="AD5" s="172" t="s">
        <v>360</v>
      </c>
    </row>
    <row r="6" spans="1:30" x14ac:dyDescent="0.25">
      <c r="A6" s="105" t="s">
        <v>437</v>
      </c>
      <c r="M6" s="172" t="s">
        <v>58</v>
      </c>
      <c r="N6" s="172" t="s">
        <v>68</v>
      </c>
      <c r="O6" s="172" t="s">
        <v>85</v>
      </c>
      <c r="P6" s="172" t="s">
        <v>104</v>
      </c>
      <c r="Q6" s="172" t="s">
        <v>122</v>
      </c>
      <c r="R6" s="172" t="s">
        <v>147</v>
      </c>
      <c r="S6" s="172" t="s">
        <v>163</v>
      </c>
      <c r="T6" s="172" t="s">
        <v>180</v>
      </c>
      <c r="U6" s="172" t="s">
        <v>190</v>
      </c>
      <c r="V6" s="172" t="s">
        <v>205</v>
      </c>
      <c r="W6" s="172" t="s">
        <v>225</v>
      </c>
      <c r="X6" s="172" t="s">
        <v>244</v>
      </c>
      <c r="Y6" s="172" t="s">
        <v>264</v>
      </c>
      <c r="Z6" s="172" t="s">
        <v>280</v>
      </c>
      <c r="AA6" s="172" t="s">
        <v>303</v>
      </c>
      <c r="AB6" s="172" t="s">
        <v>322</v>
      </c>
      <c r="AC6" s="172" t="s">
        <v>344</v>
      </c>
      <c r="AD6" s="172" t="s">
        <v>361</v>
      </c>
    </row>
    <row r="7" spans="1:30" x14ac:dyDescent="0.25">
      <c r="A7" s="105" t="s">
        <v>440</v>
      </c>
      <c r="M7" s="172" t="s">
        <v>59</v>
      </c>
      <c r="N7" s="172" t="s">
        <v>69</v>
      </c>
      <c r="O7" s="172" t="s">
        <v>86</v>
      </c>
      <c r="P7" s="172" t="s">
        <v>105</v>
      </c>
      <c r="Q7" s="172" t="s">
        <v>123</v>
      </c>
      <c r="R7" s="172" t="s">
        <v>148</v>
      </c>
      <c r="S7" s="172" t="s">
        <v>164</v>
      </c>
      <c r="T7" s="172" t="s">
        <v>181</v>
      </c>
      <c r="U7" s="172" t="s">
        <v>191</v>
      </c>
      <c r="V7" s="172" t="s">
        <v>206</v>
      </c>
      <c r="W7" s="172" t="s">
        <v>226</v>
      </c>
      <c r="X7" s="172" t="s">
        <v>245</v>
      </c>
      <c r="Y7" s="172" t="s">
        <v>265</v>
      </c>
      <c r="Z7" s="172" t="s">
        <v>281</v>
      </c>
      <c r="AA7" s="172" t="s">
        <v>304</v>
      </c>
      <c r="AB7" s="172" t="s">
        <v>323</v>
      </c>
      <c r="AC7" s="172" t="s">
        <v>345</v>
      </c>
      <c r="AD7" s="172" t="s">
        <v>363</v>
      </c>
    </row>
    <row r="8" spans="1:30" x14ac:dyDescent="0.25">
      <c r="A8" s="105" t="s">
        <v>275</v>
      </c>
      <c r="M8" s="172" t="s">
        <v>60</v>
      </c>
      <c r="N8" s="172" t="s">
        <v>70</v>
      </c>
      <c r="O8" s="172" t="s">
        <v>87</v>
      </c>
      <c r="P8" s="172" t="s">
        <v>106</v>
      </c>
      <c r="Q8" s="172" t="s">
        <v>124</v>
      </c>
      <c r="R8" s="172" t="s">
        <v>149</v>
      </c>
      <c r="S8" s="172" t="s">
        <v>165</v>
      </c>
      <c r="T8" s="172" t="s">
        <v>182</v>
      </c>
      <c r="U8" s="172" t="s">
        <v>192</v>
      </c>
      <c r="V8" s="172" t="s">
        <v>207</v>
      </c>
      <c r="W8" s="172" t="s">
        <v>227</v>
      </c>
      <c r="X8" s="172" t="s">
        <v>246</v>
      </c>
      <c r="Y8" s="172" t="s">
        <v>266</v>
      </c>
      <c r="Z8" s="172" t="s">
        <v>282</v>
      </c>
      <c r="AA8" s="172" t="s">
        <v>305</v>
      </c>
      <c r="AB8" s="172" t="s">
        <v>324</v>
      </c>
      <c r="AC8" s="172" t="s">
        <v>346</v>
      </c>
      <c r="AD8" s="172" t="s">
        <v>364</v>
      </c>
    </row>
    <row r="9" spans="1:30" x14ac:dyDescent="0.25">
      <c r="A9" s="105" t="s">
        <v>339</v>
      </c>
      <c r="M9" s="172" t="s">
        <v>61</v>
      </c>
      <c r="N9" s="172" t="s">
        <v>71</v>
      </c>
      <c r="O9" s="172" t="s">
        <v>88</v>
      </c>
      <c r="P9" s="172" t="s">
        <v>107</v>
      </c>
      <c r="Q9" s="172" t="s">
        <v>125</v>
      </c>
      <c r="R9" s="172" t="s">
        <v>150</v>
      </c>
      <c r="S9" s="172" t="s">
        <v>166</v>
      </c>
      <c r="T9" s="172" t="s">
        <v>183</v>
      </c>
      <c r="U9" s="172" t="s">
        <v>193</v>
      </c>
      <c r="V9" s="172" t="s">
        <v>208</v>
      </c>
      <c r="W9" s="172" t="s">
        <v>228</v>
      </c>
      <c r="X9" s="172" t="s">
        <v>247</v>
      </c>
      <c r="Y9" s="172" t="s">
        <v>267</v>
      </c>
      <c r="Z9" s="172" t="s">
        <v>283</v>
      </c>
      <c r="AA9" s="172" t="s">
        <v>306</v>
      </c>
      <c r="AB9" s="172" t="s">
        <v>325</v>
      </c>
      <c r="AC9" s="172" t="s">
        <v>347</v>
      </c>
      <c r="AD9" s="172" t="s">
        <v>365</v>
      </c>
    </row>
    <row r="10" spans="1:30" x14ac:dyDescent="0.25">
      <c r="A10" s="105" t="s">
        <v>563</v>
      </c>
      <c r="M10" s="172" t="s">
        <v>62</v>
      </c>
      <c r="N10" s="172" t="s">
        <v>72</v>
      </c>
      <c r="O10" s="172" t="s">
        <v>89</v>
      </c>
      <c r="P10" s="172" t="s">
        <v>108</v>
      </c>
      <c r="Q10" s="172" t="s">
        <v>126</v>
      </c>
      <c r="R10" s="172" t="s">
        <v>151</v>
      </c>
      <c r="S10" s="172" t="s">
        <v>167</v>
      </c>
      <c r="T10" s="172" t="s">
        <v>184</v>
      </c>
      <c r="U10" s="172" t="s">
        <v>194</v>
      </c>
      <c r="V10" s="172" t="s">
        <v>209</v>
      </c>
      <c r="W10" s="172" t="s">
        <v>229</v>
      </c>
      <c r="X10" s="172" t="s">
        <v>248</v>
      </c>
      <c r="Y10" s="172" t="s">
        <v>268</v>
      </c>
      <c r="Z10" s="172" t="s">
        <v>284</v>
      </c>
      <c r="AA10" s="172" t="s">
        <v>307</v>
      </c>
      <c r="AB10" s="172" t="s">
        <v>326</v>
      </c>
      <c r="AC10" s="172" t="s">
        <v>348</v>
      </c>
      <c r="AD10" s="172" t="s">
        <v>366</v>
      </c>
    </row>
    <row r="11" spans="1:30" x14ac:dyDescent="0.25">
      <c r="M11" s="172" t="s">
        <v>63</v>
      </c>
      <c r="N11" s="172" t="s">
        <v>73</v>
      </c>
      <c r="O11" s="172" t="s">
        <v>90</v>
      </c>
      <c r="P11" s="172" t="s">
        <v>109</v>
      </c>
      <c r="Q11" s="172" t="s">
        <v>127</v>
      </c>
      <c r="R11" s="172" t="s">
        <v>152</v>
      </c>
      <c r="S11" s="172" t="s">
        <v>168</v>
      </c>
      <c r="T11" s="172" t="s">
        <v>185</v>
      </c>
      <c r="U11" s="172" t="s">
        <v>195</v>
      </c>
      <c r="V11" s="172" t="s">
        <v>210</v>
      </c>
      <c r="W11" s="172" t="s">
        <v>231</v>
      </c>
      <c r="X11" s="172" t="s">
        <v>249</v>
      </c>
      <c r="Y11" s="172" t="s">
        <v>269</v>
      </c>
      <c r="Z11" s="172" t="s">
        <v>285</v>
      </c>
      <c r="AA11" s="172" t="s">
        <v>309</v>
      </c>
      <c r="AB11" s="172" t="s">
        <v>327</v>
      </c>
      <c r="AC11" s="172" t="s">
        <v>349</v>
      </c>
      <c r="AD11" s="172" t="s">
        <v>357</v>
      </c>
    </row>
    <row r="12" spans="1:30" x14ac:dyDescent="0.25">
      <c r="N12" s="172" t="s">
        <v>74</v>
      </c>
      <c r="O12" s="172" t="s">
        <v>91</v>
      </c>
      <c r="P12" s="172" t="s">
        <v>110</v>
      </c>
      <c r="Q12" s="172" t="s">
        <v>128</v>
      </c>
      <c r="R12" s="172" t="s">
        <v>153</v>
      </c>
      <c r="S12" s="172" t="s">
        <v>169</v>
      </c>
      <c r="T12" s="172" t="s">
        <v>186</v>
      </c>
      <c r="U12" s="172" t="s">
        <v>196</v>
      </c>
      <c r="V12" s="172" t="s">
        <v>211</v>
      </c>
      <c r="W12" s="172" t="s">
        <v>232</v>
      </c>
      <c r="X12" s="172" t="s">
        <v>250</v>
      </c>
      <c r="Y12" s="172" t="s">
        <v>270</v>
      </c>
      <c r="Z12" s="172" t="s">
        <v>286</v>
      </c>
      <c r="AA12" s="172" t="s">
        <v>310</v>
      </c>
      <c r="AB12" s="172" t="s">
        <v>328</v>
      </c>
      <c r="AC12" s="172" t="s">
        <v>350</v>
      </c>
      <c r="AD12" s="172" t="s">
        <v>367</v>
      </c>
    </row>
    <row r="13" spans="1:30" x14ac:dyDescent="0.25">
      <c r="N13" s="172" t="s">
        <v>75</v>
      </c>
      <c r="O13" s="172" t="s">
        <v>92</v>
      </c>
      <c r="P13" s="172" t="s">
        <v>111</v>
      </c>
      <c r="Q13" s="172" t="s">
        <v>129</v>
      </c>
      <c r="R13" s="172" t="s">
        <v>154</v>
      </c>
      <c r="S13" s="172" t="s">
        <v>170</v>
      </c>
      <c r="U13" s="172" t="s">
        <v>197</v>
      </c>
      <c r="V13" s="172" t="s">
        <v>212</v>
      </c>
      <c r="W13" s="172" t="s">
        <v>233</v>
      </c>
      <c r="X13" s="172" t="s">
        <v>251</v>
      </c>
      <c r="Y13" s="172" t="s">
        <v>271</v>
      </c>
      <c r="Z13" s="172" t="s">
        <v>287</v>
      </c>
      <c r="AA13" s="172" t="s">
        <v>311</v>
      </c>
      <c r="AB13" s="172" t="s">
        <v>329</v>
      </c>
      <c r="AC13" s="172" t="s">
        <v>351</v>
      </c>
      <c r="AD13" s="172" t="s">
        <v>368</v>
      </c>
    </row>
    <row r="14" spans="1:30" x14ac:dyDescent="0.25">
      <c r="N14" s="172" t="s">
        <v>76</v>
      </c>
      <c r="O14" s="172" t="s">
        <v>93</v>
      </c>
      <c r="P14" s="172" t="s">
        <v>112</v>
      </c>
      <c r="Q14" s="172" t="s">
        <v>130</v>
      </c>
      <c r="R14" s="172" t="s">
        <v>155</v>
      </c>
      <c r="S14" s="172" t="s">
        <v>171</v>
      </c>
      <c r="U14" s="172" t="s">
        <v>198</v>
      </c>
      <c r="V14" s="172" t="s">
        <v>213</v>
      </c>
      <c r="W14" s="172" t="s">
        <v>234</v>
      </c>
      <c r="X14" s="172" t="s">
        <v>252</v>
      </c>
      <c r="Y14" s="172" t="s">
        <v>272</v>
      </c>
      <c r="Z14" s="172" t="s">
        <v>288</v>
      </c>
      <c r="AA14" s="172" t="s">
        <v>312</v>
      </c>
      <c r="AB14" s="172" t="s">
        <v>330</v>
      </c>
      <c r="AC14" s="172" t="s">
        <v>352</v>
      </c>
      <c r="AD14" s="172" t="s">
        <v>369</v>
      </c>
    </row>
    <row r="15" spans="1:30" x14ac:dyDescent="0.25">
      <c r="N15" s="172" t="s">
        <v>77</v>
      </c>
      <c r="O15" s="172" t="s">
        <v>94</v>
      </c>
      <c r="P15" s="172" t="s">
        <v>113</v>
      </c>
      <c r="Q15" s="172" t="s">
        <v>131</v>
      </c>
      <c r="R15" s="172" t="s">
        <v>156</v>
      </c>
      <c r="S15" s="172" t="s">
        <v>172</v>
      </c>
      <c r="U15" s="172" t="s">
        <v>199</v>
      </c>
      <c r="V15" s="172" t="s">
        <v>214</v>
      </c>
      <c r="W15" s="172" t="s">
        <v>235</v>
      </c>
      <c r="X15" s="172" t="s">
        <v>253</v>
      </c>
      <c r="Y15" s="172" t="s">
        <v>273</v>
      </c>
      <c r="Z15" s="172" t="s">
        <v>289</v>
      </c>
      <c r="AA15" s="172" t="s">
        <v>313</v>
      </c>
      <c r="AB15" s="172" t="s">
        <v>331</v>
      </c>
      <c r="AC15" s="172" t="s">
        <v>353</v>
      </c>
    </row>
    <row r="16" spans="1:30" x14ac:dyDescent="0.25">
      <c r="N16" s="172" t="s">
        <v>78</v>
      </c>
      <c r="O16" s="172" t="s">
        <v>95</v>
      </c>
      <c r="P16" s="172" t="s">
        <v>114</v>
      </c>
      <c r="Q16" s="172" t="s">
        <v>132</v>
      </c>
      <c r="R16" s="172" t="s">
        <v>157</v>
      </c>
      <c r="S16" s="172" t="s">
        <v>173</v>
      </c>
      <c r="U16" s="172"/>
      <c r="V16" s="172" t="s">
        <v>215</v>
      </c>
      <c r="W16" s="172" t="s">
        <v>236</v>
      </c>
      <c r="X16" s="172" t="s">
        <v>254</v>
      </c>
      <c r="Y16" s="172" t="s">
        <v>274</v>
      </c>
      <c r="Z16" s="172" t="s">
        <v>290</v>
      </c>
      <c r="AA16" s="172" t="s">
        <v>314</v>
      </c>
      <c r="AB16" s="172" t="s">
        <v>332</v>
      </c>
      <c r="AC16" s="172" t="s">
        <v>354</v>
      </c>
    </row>
    <row r="17" spans="13:30" x14ac:dyDescent="0.25">
      <c r="N17" s="172" t="s">
        <v>79</v>
      </c>
      <c r="O17" s="172" t="s">
        <v>96</v>
      </c>
      <c r="P17" s="172" t="s">
        <v>115</v>
      </c>
      <c r="Q17" s="172" t="s">
        <v>133</v>
      </c>
      <c r="R17" s="172" t="s">
        <v>158</v>
      </c>
      <c r="S17" s="172" t="s">
        <v>174</v>
      </c>
      <c r="V17" s="172" t="s">
        <v>216</v>
      </c>
      <c r="W17" s="172" t="s">
        <v>237</v>
      </c>
      <c r="X17" s="172" t="s">
        <v>255</v>
      </c>
      <c r="Z17" s="172" t="s">
        <v>291</v>
      </c>
      <c r="AA17" s="172" t="s">
        <v>315</v>
      </c>
      <c r="AB17" s="172" t="s">
        <v>333</v>
      </c>
      <c r="AC17" s="172" t="s">
        <v>355</v>
      </c>
    </row>
    <row r="18" spans="13:30" x14ac:dyDescent="0.25">
      <c r="O18" s="172" t="s">
        <v>97</v>
      </c>
      <c r="P18" s="172" t="s">
        <v>116</v>
      </c>
      <c r="Q18" s="172" t="s">
        <v>134</v>
      </c>
      <c r="V18" s="172" t="s">
        <v>217</v>
      </c>
      <c r="W18" s="172" t="s">
        <v>238</v>
      </c>
      <c r="X18" s="172" t="s">
        <v>256</v>
      </c>
      <c r="Z18" s="172" t="s">
        <v>292</v>
      </c>
      <c r="AA18" s="172" t="s">
        <v>316</v>
      </c>
      <c r="AB18" s="172" t="s">
        <v>334</v>
      </c>
      <c r="AC18" s="172" t="s">
        <v>356</v>
      </c>
    </row>
    <row r="19" spans="13:30" x14ac:dyDescent="0.25">
      <c r="O19" s="172" t="s">
        <v>98</v>
      </c>
      <c r="P19" s="172" t="s">
        <v>117</v>
      </c>
      <c r="Q19" s="172" t="s">
        <v>135</v>
      </c>
      <c r="V19" s="172" t="s">
        <v>218</v>
      </c>
      <c r="W19" s="172" t="s">
        <v>239</v>
      </c>
      <c r="X19" s="172" t="s">
        <v>257</v>
      </c>
      <c r="Z19" s="172" t="s">
        <v>293</v>
      </c>
      <c r="AA19" s="172" t="s">
        <v>317</v>
      </c>
      <c r="AB19" s="172" t="s">
        <v>335</v>
      </c>
    </row>
    <row r="20" spans="13:30" x14ac:dyDescent="0.25">
      <c r="O20" s="172" t="s">
        <v>99</v>
      </c>
      <c r="Q20" s="172" t="s">
        <v>136</v>
      </c>
      <c r="R20" s="172"/>
      <c r="V20" s="172" t="s">
        <v>219</v>
      </c>
      <c r="X20" s="172" t="s">
        <v>258</v>
      </c>
      <c r="Z20" s="172" t="s">
        <v>294</v>
      </c>
      <c r="AB20" s="172" t="s">
        <v>337</v>
      </c>
    </row>
    <row r="21" spans="13:30" x14ac:dyDescent="0.25">
      <c r="Q21" s="172" t="s">
        <v>137</v>
      </c>
      <c r="R21" s="172"/>
      <c r="X21" s="172" t="s">
        <v>259</v>
      </c>
      <c r="Z21" s="172" t="s">
        <v>295</v>
      </c>
      <c r="AB21" s="172" t="s">
        <v>338</v>
      </c>
    </row>
    <row r="22" spans="13:30" x14ac:dyDescent="0.25">
      <c r="Q22" s="172" t="s">
        <v>138</v>
      </c>
      <c r="R22" s="172"/>
      <c r="Z22" s="172" t="s">
        <v>296</v>
      </c>
    </row>
    <row r="23" spans="13:30" x14ac:dyDescent="0.25">
      <c r="Z23" s="172" t="s">
        <v>297</v>
      </c>
    </row>
    <row r="24" spans="13:30" x14ac:dyDescent="0.25">
      <c r="Z24" s="172" t="s">
        <v>298</v>
      </c>
    </row>
    <row r="32" spans="13:30" x14ac:dyDescent="0.25">
      <c r="M32" s="351" t="s">
        <v>564</v>
      </c>
      <c r="N32" s="351"/>
      <c r="O32" s="351"/>
      <c r="P32" s="351"/>
      <c r="Q32" s="351"/>
      <c r="R32" s="351"/>
      <c r="S32" s="351"/>
      <c r="T32" s="351"/>
      <c r="U32" s="351"/>
      <c r="V32" s="351"/>
      <c r="W32" s="351"/>
      <c r="X32" s="351"/>
      <c r="Y32" s="351"/>
      <c r="Z32" s="351"/>
      <c r="AA32" s="351"/>
      <c r="AB32" s="351"/>
      <c r="AC32" s="351"/>
      <c r="AD32" s="351"/>
    </row>
    <row r="33" spans="13:30" x14ac:dyDescent="0.25">
      <c r="M33" s="171" t="s">
        <v>0</v>
      </c>
      <c r="N33" s="171" t="s">
        <v>64</v>
      </c>
      <c r="O33" s="171" t="s">
        <v>81</v>
      </c>
      <c r="P33" s="171" t="s">
        <v>100</v>
      </c>
      <c r="Q33" s="171" t="s">
        <v>118</v>
      </c>
      <c r="R33" s="171" t="s">
        <v>140</v>
      </c>
      <c r="S33" s="171" t="s">
        <v>159</v>
      </c>
      <c r="T33" s="171" t="s">
        <v>438</v>
      </c>
      <c r="U33" s="171" t="s">
        <v>439</v>
      </c>
      <c r="V33" s="171" t="s">
        <v>201</v>
      </c>
      <c r="W33" s="171" t="s">
        <v>221</v>
      </c>
      <c r="X33" s="171" t="s">
        <v>441</v>
      </c>
      <c r="Y33" s="171" t="s">
        <v>260</v>
      </c>
      <c r="Z33" s="171" t="s">
        <v>276</v>
      </c>
      <c r="AA33" s="171" t="s">
        <v>426</v>
      </c>
      <c r="AB33" s="171" t="s">
        <v>427</v>
      </c>
      <c r="AC33" s="171" t="s">
        <v>340</v>
      </c>
      <c r="AD33" s="171" t="s">
        <v>565</v>
      </c>
    </row>
    <row r="34" spans="13:30" x14ac:dyDescent="0.25">
      <c r="M34" s="173" t="s">
        <v>5</v>
      </c>
      <c r="N34" s="173" t="s">
        <v>566</v>
      </c>
      <c r="O34" s="173" t="s">
        <v>82</v>
      </c>
      <c r="P34" s="173" t="s">
        <v>101</v>
      </c>
      <c r="Q34" s="173" t="s">
        <v>119</v>
      </c>
      <c r="R34" s="173" t="s">
        <v>141</v>
      </c>
      <c r="S34" s="173" t="s">
        <v>160</v>
      </c>
      <c r="T34" s="173" t="s">
        <v>177</v>
      </c>
      <c r="U34" s="173" t="s">
        <v>188</v>
      </c>
      <c r="V34" s="173" t="s">
        <v>202</v>
      </c>
      <c r="W34" s="173" t="s">
        <v>222</v>
      </c>
      <c r="X34" s="173" t="s">
        <v>241</v>
      </c>
      <c r="Y34" s="173" t="s">
        <v>261</v>
      </c>
      <c r="Z34" s="173" t="s">
        <v>277</v>
      </c>
      <c r="AA34" s="173" t="s">
        <v>300</v>
      </c>
      <c r="AB34" s="173" t="s">
        <v>319</v>
      </c>
      <c r="AC34" s="173" t="s">
        <v>341</v>
      </c>
      <c r="AD34" s="173" t="s">
        <v>358</v>
      </c>
    </row>
    <row r="35" spans="13:30" x14ac:dyDescent="0.25">
      <c r="M35" s="173" t="s">
        <v>567</v>
      </c>
      <c r="N35" s="173" t="s">
        <v>65</v>
      </c>
      <c r="O35" s="173" t="s">
        <v>568</v>
      </c>
      <c r="P35" s="173" t="s">
        <v>102</v>
      </c>
      <c r="Q35" s="173" t="s">
        <v>120</v>
      </c>
      <c r="R35" s="173" t="s">
        <v>142</v>
      </c>
      <c r="S35" s="173" t="s">
        <v>569</v>
      </c>
      <c r="T35" s="173" t="s">
        <v>178</v>
      </c>
      <c r="U35" s="173" t="s">
        <v>189</v>
      </c>
      <c r="V35" s="173" t="s">
        <v>203</v>
      </c>
      <c r="W35" s="173" t="s">
        <v>223</v>
      </c>
      <c r="X35" s="173" t="s">
        <v>242</v>
      </c>
      <c r="Y35" s="173" t="s">
        <v>262</v>
      </c>
      <c r="Z35" s="173" t="s">
        <v>278</v>
      </c>
      <c r="AA35" s="173" t="s">
        <v>301</v>
      </c>
      <c r="AB35" s="173" t="s">
        <v>320</v>
      </c>
      <c r="AC35" s="173" t="s">
        <v>342</v>
      </c>
      <c r="AD35" s="173" t="s">
        <v>359</v>
      </c>
    </row>
    <row r="36" spans="13:30" x14ac:dyDescent="0.25">
      <c r="M36" s="173" t="s">
        <v>570</v>
      </c>
      <c r="N36" s="173" t="s">
        <v>66</v>
      </c>
      <c r="O36" s="173" t="s">
        <v>571</v>
      </c>
      <c r="P36" s="173" t="s">
        <v>103</v>
      </c>
      <c r="Q36" s="173" t="s">
        <v>572</v>
      </c>
      <c r="R36" s="173" t="s">
        <v>144</v>
      </c>
      <c r="S36" s="173" t="s">
        <v>573</v>
      </c>
      <c r="T36" s="173" t="s">
        <v>179</v>
      </c>
      <c r="U36" s="173" t="s">
        <v>187</v>
      </c>
      <c r="V36" s="173" t="s">
        <v>204</v>
      </c>
      <c r="W36" s="173" t="s">
        <v>224</v>
      </c>
      <c r="X36" s="173" t="s">
        <v>243</v>
      </c>
      <c r="Y36" s="173" t="s">
        <v>263</v>
      </c>
      <c r="Z36" s="173" t="s">
        <v>279</v>
      </c>
      <c r="AA36" s="173" t="s">
        <v>302</v>
      </c>
      <c r="AB36" s="173" t="s">
        <v>321</v>
      </c>
      <c r="AC36" s="173" t="s">
        <v>343</v>
      </c>
      <c r="AD36" s="173" t="s">
        <v>360</v>
      </c>
    </row>
    <row r="37" spans="13:30" x14ac:dyDescent="0.25">
      <c r="M37" s="173" t="s">
        <v>56</v>
      </c>
      <c r="N37" s="173" t="s">
        <v>67</v>
      </c>
      <c r="O37" s="173" t="s">
        <v>83</v>
      </c>
      <c r="P37" s="173" t="s">
        <v>104</v>
      </c>
      <c r="Q37" s="173" t="s">
        <v>121</v>
      </c>
      <c r="R37" s="173" t="s">
        <v>143</v>
      </c>
      <c r="S37" s="173" t="s">
        <v>161</v>
      </c>
      <c r="T37" s="173" t="s">
        <v>180</v>
      </c>
      <c r="U37" s="173" t="s">
        <v>190</v>
      </c>
      <c r="V37" s="173" t="s">
        <v>205</v>
      </c>
      <c r="W37" s="173" t="s">
        <v>225</v>
      </c>
      <c r="X37" s="173" t="s">
        <v>244</v>
      </c>
      <c r="Y37" s="173" t="s">
        <v>264</v>
      </c>
      <c r="Z37" s="173" t="s">
        <v>280</v>
      </c>
      <c r="AA37" s="173" t="s">
        <v>303</v>
      </c>
      <c r="AB37" s="173" t="s">
        <v>322</v>
      </c>
      <c r="AC37" s="173" t="s">
        <v>344</v>
      </c>
      <c r="AD37" s="173" t="s">
        <v>361</v>
      </c>
    </row>
    <row r="38" spans="13:30" x14ac:dyDescent="0.25">
      <c r="M38" s="173" t="s">
        <v>57</v>
      </c>
      <c r="N38" s="173" t="s">
        <v>68</v>
      </c>
      <c r="O38" s="173" t="s">
        <v>84</v>
      </c>
      <c r="P38" s="173" t="s">
        <v>105</v>
      </c>
      <c r="Q38" s="173" t="s">
        <v>122</v>
      </c>
      <c r="R38" s="173" t="s">
        <v>146</v>
      </c>
      <c r="S38" s="173" t="s">
        <v>574</v>
      </c>
      <c r="T38" s="173" t="s">
        <v>575</v>
      </c>
      <c r="U38" s="173" t="s">
        <v>191</v>
      </c>
      <c r="V38" s="173" t="s">
        <v>206</v>
      </c>
      <c r="W38" s="173" t="s">
        <v>226</v>
      </c>
      <c r="X38" s="173" t="s">
        <v>245</v>
      </c>
      <c r="Y38" s="173" t="s">
        <v>265</v>
      </c>
      <c r="Z38" s="173" t="s">
        <v>281</v>
      </c>
      <c r="AA38" s="173" t="s">
        <v>304</v>
      </c>
      <c r="AB38" s="173" t="s">
        <v>323</v>
      </c>
      <c r="AC38" s="173" t="s">
        <v>576</v>
      </c>
      <c r="AD38" s="173" t="s">
        <v>362</v>
      </c>
    </row>
    <row r="39" spans="13:30" x14ac:dyDescent="0.25">
      <c r="M39" s="173" t="s">
        <v>58</v>
      </c>
      <c r="N39" s="173" t="s">
        <v>69</v>
      </c>
      <c r="O39" s="173" t="s">
        <v>577</v>
      </c>
      <c r="P39" s="173" t="s">
        <v>578</v>
      </c>
      <c r="Q39" s="173" t="s">
        <v>123</v>
      </c>
      <c r="R39" s="173" t="s">
        <v>147</v>
      </c>
      <c r="S39" s="173" t="s">
        <v>162</v>
      </c>
      <c r="T39" s="173" t="s">
        <v>181</v>
      </c>
      <c r="U39" s="173" t="s">
        <v>192</v>
      </c>
      <c r="V39" s="173" t="s">
        <v>207</v>
      </c>
      <c r="W39" s="173" t="s">
        <v>227</v>
      </c>
      <c r="X39" s="173" t="s">
        <v>246</v>
      </c>
      <c r="Y39" s="173" t="s">
        <v>266</v>
      </c>
      <c r="Z39" s="173" t="s">
        <v>282</v>
      </c>
      <c r="AA39" s="173" t="s">
        <v>305</v>
      </c>
      <c r="AB39" s="173" t="s">
        <v>324</v>
      </c>
      <c r="AC39" s="173" t="s">
        <v>345</v>
      </c>
      <c r="AD39" s="173" t="s">
        <v>363</v>
      </c>
    </row>
    <row r="40" spans="13:30" x14ac:dyDescent="0.25">
      <c r="M40" s="173" t="s">
        <v>59</v>
      </c>
      <c r="N40" s="173" t="s">
        <v>70</v>
      </c>
      <c r="O40" s="173" t="s">
        <v>85</v>
      </c>
      <c r="P40" s="173" t="s">
        <v>579</v>
      </c>
      <c r="Q40" s="173" t="s">
        <v>124</v>
      </c>
      <c r="R40" s="173" t="s">
        <v>580</v>
      </c>
      <c r="S40" s="173" t="s">
        <v>163</v>
      </c>
      <c r="T40" s="173" t="s">
        <v>182</v>
      </c>
      <c r="U40" s="173" t="s">
        <v>193</v>
      </c>
      <c r="V40" s="173" t="s">
        <v>208</v>
      </c>
      <c r="W40" s="173" t="s">
        <v>228</v>
      </c>
      <c r="X40" s="173" t="s">
        <v>247</v>
      </c>
      <c r="Y40" s="173" t="s">
        <v>267</v>
      </c>
      <c r="Z40" s="173" t="s">
        <v>283</v>
      </c>
      <c r="AA40" s="173" t="s">
        <v>306</v>
      </c>
      <c r="AB40" s="173" t="s">
        <v>325</v>
      </c>
      <c r="AC40" s="173" t="s">
        <v>346</v>
      </c>
      <c r="AD40" s="173" t="s">
        <v>364</v>
      </c>
    </row>
    <row r="41" spans="13:30" x14ac:dyDescent="0.25">
      <c r="M41" s="173" t="s">
        <v>60</v>
      </c>
      <c r="N41" s="173" t="s">
        <v>71</v>
      </c>
      <c r="O41" s="173" t="s">
        <v>86</v>
      </c>
      <c r="P41" s="173" t="s">
        <v>106</v>
      </c>
      <c r="Q41" s="173" t="s">
        <v>125</v>
      </c>
      <c r="R41" s="173" t="s">
        <v>148</v>
      </c>
      <c r="S41" s="173" t="s">
        <v>164</v>
      </c>
      <c r="T41" s="173" t="s">
        <v>183</v>
      </c>
      <c r="U41" s="173" t="s">
        <v>194</v>
      </c>
      <c r="V41" s="173" t="s">
        <v>209</v>
      </c>
      <c r="W41" s="173" t="s">
        <v>229</v>
      </c>
      <c r="X41" s="173" t="s">
        <v>248</v>
      </c>
      <c r="Y41" s="173" t="s">
        <v>268</v>
      </c>
      <c r="Z41" s="173" t="s">
        <v>284</v>
      </c>
      <c r="AA41" s="173" t="s">
        <v>307</v>
      </c>
      <c r="AB41" s="173" t="s">
        <v>326</v>
      </c>
      <c r="AC41" s="173" t="s">
        <v>347</v>
      </c>
      <c r="AD41" s="173" t="s">
        <v>365</v>
      </c>
    </row>
    <row r="42" spans="13:30" x14ac:dyDescent="0.25">
      <c r="M42" s="173" t="s">
        <v>61</v>
      </c>
      <c r="N42" s="173" t="s">
        <v>72</v>
      </c>
      <c r="O42" s="173" t="s">
        <v>87</v>
      </c>
      <c r="P42" s="173" t="s">
        <v>107</v>
      </c>
      <c r="Q42" s="173" t="s">
        <v>126</v>
      </c>
      <c r="R42" s="173" t="s">
        <v>149</v>
      </c>
      <c r="S42" s="173" t="s">
        <v>165</v>
      </c>
      <c r="T42" s="173" t="s">
        <v>184</v>
      </c>
      <c r="U42" s="173" t="s">
        <v>195</v>
      </c>
      <c r="V42" s="173" t="s">
        <v>210</v>
      </c>
      <c r="W42" s="173" t="s">
        <v>230</v>
      </c>
      <c r="X42" s="173" t="s">
        <v>249</v>
      </c>
      <c r="Y42" s="173" t="s">
        <v>269</v>
      </c>
      <c r="Z42" s="173" t="s">
        <v>285</v>
      </c>
      <c r="AA42" s="173" t="s">
        <v>308</v>
      </c>
      <c r="AB42" s="173" t="s">
        <v>327</v>
      </c>
      <c r="AC42" s="173" t="s">
        <v>348</v>
      </c>
      <c r="AD42" s="173" t="s">
        <v>366</v>
      </c>
    </row>
    <row r="43" spans="13:30" x14ac:dyDescent="0.25">
      <c r="M43" s="173" t="s">
        <v>62</v>
      </c>
      <c r="N43" s="173" t="s">
        <v>74</v>
      </c>
      <c r="O43" s="173" t="s">
        <v>88</v>
      </c>
      <c r="P43" s="173" t="s">
        <v>108</v>
      </c>
      <c r="Q43" s="173" t="s">
        <v>127</v>
      </c>
      <c r="R43" s="173" t="s">
        <v>150</v>
      </c>
      <c r="S43" s="173" t="s">
        <v>166</v>
      </c>
      <c r="T43" s="173" t="s">
        <v>185</v>
      </c>
      <c r="U43" s="173" t="s">
        <v>196</v>
      </c>
      <c r="V43" s="173" t="s">
        <v>211</v>
      </c>
      <c r="W43" s="173" t="s">
        <v>231</v>
      </c>
      <c r="X43" s="173" t="s">
        <v>250</v>
      </c>
      <c r="Y43" s="173" t="s">
        <v>581</v>
      </c>
      <c r="Z43" s="173" t="s">
        <v>286</v>
      </c>
      <c r="AA43" s="173" t="s">
        <v>309</v>
      </c>
      <c r="AB43" s="173" t="s">
        <v>328</v>
      </c>
      <c r="AC43" s="173" t="s">
        <v>349</v>
      </c>
      <c r="AD43" s="173" t="s">
        <v>357</v>
      </c>
    </row>
    <row r="44" spans="13:30" x14ac:dyDescent="0.25">
      <c r="M44" s="173" t="s">
        <v>63</v>
      </c>
      <c r="N44" s="173" t="s">
        <v>73</v>
      </c>
      <c r="O44" s="173" t="s">
        <v>89</v>
      </c>
      <c r="P44" s="173" t="s">
        <v>109</v>
      </c>
      <c r="Q44" s="173" t="s">
        <v>128</v>
      </c>
      <c r="R44" s="173" t="s">
        <v>582</v>
      </c>
      <c r="S44" s="173" t="s">
        <v>167</v>
      </c>
      <c r="T44" s="173" t="s">
        <v>186</v>
      </c>
      <c r="U44" s="173" t="s">
        <v>197</v>
      </c>
      <c r="V44" s="173" t="s">
        <v>212</v>
      </c>
      <c r="W44" s="173" t="s">
        <v>232</v>
      </c>
      <c r="X44" s="173" t="s">
        <v>251</v>
      </c>
      <c r="Y44" s="173" t="s">
        <v>270</v>
      </c>
      <c r="Z44" s="173" t="s">
        <v>287</v>
      </c>
      <c r="AA44" s="173" t="s">
        <v>310</v>
      </c>
      <c r="AB44" s="173" t="s">
        <v>329</v>
      </c>
      <c r="AC44" s="173" t="s">
        <v>350</v>
      </c>
      <c r="AD44" s="173" t="s">
        <v>367</v>
      </c>
    </row>
    <row r="45" spans="13:30" x14ac:dyDescent="0.25">
      <c r="M45" s="1"/>
      <c r="N45" s="173" t="s">
        <v>75</v>
      </c>
      <c r="O45" s="173" t="s">
        <v>583</v>
      </c>
      <c r="P45" s="173" t="s">
        <v>110</v>
      </c>
      <c r="Q45" s="173" t="s">
        <v>129</v>
      </c>
      <c r="R45" s="173" t="s">
        <v>151</v>
      </c>
      <c r="S45" s="173" t="s">
        <v>168</v>
      </c>
      <c r="T45" s="1"/>
      <c r="U45" s="173" t="s">
        <v>198</v>
      </c>
      <c r="V45" s="173" t="s">
        <v>213</v>
      </c>
      <c r="W45" s="173" t="s">
        <v>233</v>
      </c>
      <c r="X45" s="173" t="s">
        <v>252</v>
      </c>
      <c r="Y45" s="173" t="s">
        <v>271</v>
      </c>
      <c r="Z45" s="173" t="s">
        <v>288</v>
      </c>
      <c r="AA45" s="173" t="s">
        <v>311</v>
      </c>
      <c r="AB45" s="173" t="s">
        <v>330</v>
      </c>
      <c r="AC45" s="173" t="s">
        <v>351</v>
      </c>
      <c r="AD45" s="173" t="s">
        <v>368</v>
      </c>
    </row>
    <row r="46" spans="13:30" x14ac:dyDescent="0.25">
      <c r="M46" s="1"/>
      <c r="N46" s="173" t="s">
        <v>76</v>
      </c>
      <c r="O46" s="173" t="s">
        <v>90</v>
      </c>
      <c r="P46" s="173" t="s">
        <v>111</v>
      </c>
      <c r="Q46" s="173" t="s">
        <v>584</v>
      </c>
      <c r="R46" s="173" t="s">
        <v>152</v>
      </c>
      <c r="S46" s="173" t="s">
        <v>169</v>
      </c>
      <c r="T46" s="1"/>
      <c r="U46" s="173" t="s">
        <v>199</v>
      </c>
      <c r="V46" s="173" t="s">
        <v>214</v>
      </c>
      <c r="W46" s="173" t="s">
        <v>234</v>
      </c>
      <c r="X46" s="173" t="s">
        <v>253</v>
      </c>
      <c r="Y46" s="173" t="s">
        <v>272</v>
      </c>
      <c r="Z46" s="173" t="s">
        <v>289</v>
      </c>
      <c r="AA46" s="173" t="s">
        <v>312</v>
      </c>
      <c r="AB46" s="173" t="s">
        <v>331</v>
      </c>
      <c r="AC46" s="173" t="s">
        <v>352</v>
      </c>
      <c r="AD46" s="173" t="s">
        <v>369</v>
      </c>
    </row>
    <row r="47" spans="13:30" x14ac:dyDescent="0.25">
      <c r="M47" s="1"/>
      <c r="N47" s="173" t="s">
        <v>77</v>
      </c>
      <c r="O47" s="173" t="s">
        <v>585</v>
      </c>
      <c r="P47" s="173" t="s">
        <v>112</v>
      </c>
      <c r="Q47" s="173" t="s">
        <v>130</v>
      </c>
      <c r="R47" s="173" t="s">
        <v>153</v>
      </c>
      <c r="S47" s="173" t="s">
        <v>170</v>
      </c>
      <c r="T47" s="1"/>
      <c r="U47" s="173" t="s">
        <v>200</v>
      </c>
      <c r="V47" s="173" t="s">
        <v>216</v>
      </c>
      <c r="W47" s="173" t="s">
        <v>235</v>
      </c>
      <c r="X47" s="173" t="s">
        <v>586</v>
      </c>
      <c r="Y47" s="173" t="s">
        <v>273</v>
      </c>
      <c r="Z47" s="173" t="s">
        <v>290</v>
      </c>
      <c r="AA47" s="173" t="s">
        <v>313</v>
      </c>
      <c r="AB47" s="173" t="s">
        <v>332</v>
      </c>
      <c r="AC47" s="173" t="s">
        <v>587</v>
      </c>
      <c r="AD47" s="1"/>
    </row>
    <row r="48" spans="13:30" x14ac:dyDescent="0.25">
      <c r="M48" s="1"/>
      <c r="N48" s="173" t="s">
        <v>78</v>
      </c>
      <c r="O48" s="173" t="s">
        <v>588</v>
      </c>
      <c r="P48" s="173" t="s">
        <v>113</v>
      </c>
      <c r="Q48" s="173" t="s">
        <v>589</v>
      </c>
      <c r="R48" s="173" t="s">
        <v>154</v>
      </c>
      <c r="S48" s="173" t="s">
        <v>171</v>
      </c>
      <c r="T48" s="1"/>
      <c r="U48" s="1"/>
      <c r="V48" s="173" t="s">
        <v>217</v>
      </c>
      <c r="W48" s="173" t="s">
        <v>236</v>
      </c>
      <c r="X48" s="173" t="s">
        <v>254</v>
      </c>
      <c r="Y48" s="173" t="s">
        <v>274</v>
      </c>
      <c r="Z48" s="173" t="s">
        <v>291</v>
      </c>
      <c r="AA48" s="173" t="s">
        <v>314</v>
      </c>
      <c r="AB48" s="173" t="s">
        <v>333</v>
      </c>
      <c r="AC48" s="173" t="s">
        <v>353</v>
      </c>
      <c r="AD48" s="1"/>
    </row>
    <row r="49" spans="13:30" x14ac:dyDescent="0.25">
      <c r="M49" s="1"/>
      <c r="N49" s="173" t="s">
        <v>79</v>
      </c>
      <c r="O49" s="173" t="s">
        <v>91</v>
      </c>
      <c r="P49" s="173" t="s">
        <v>114</v>
      </c>
      <c r="Q49" s="173" t="s">
        <v>131</v>
      </c>
      <c r="R49" s="173" t="s">
        <v>590</v>
      </c>
      <c r="S49" s="173" t="s">
        <v>591</v>
      </c>
      <c r="T49" s="1"/>
      <c r="U49" s="1"/>
      <c r="V49" s="173" t="s">
        <v>218</v>
      </c>
      <c r="W49" s="173" t="s">
        <v>237</v>
      </c>
      <c r="X49" s="173" t="s">
        <v>255</v>
      </c>
      <c r="Y49" s="1"/>
      <c r="Z49" s="173" t="s">
        <v>292</v>
      </c>
      <c r="AA49" s="173" t="s">
        <v>315</v>
      </c>
      <c r="AB49" s="173" t="s">
        <v>334</v>
      </c>
      <c r="AC49" s="173" t="s">
        <v>354</v>
      </c>
      <c r="AD49" s="1"/>
    </row>
    <row r="50" spans="13:30" x14ac:dyDescent="0.25">
      <c r="M50" s="1"/>
      <c r="N50" s="1"/>
      <c r="O50" s="173" t="s">
        <v>592</v>
      </c>
      <c r="P50" s="173" t="s">
        <v>546</v>
      </c>
      <c r="Q50" s="173" t="s">
        <v>593</v>
      </c>
      <c r="R50" s="173" t="s">
        <v>155</v>
      </c>
      <c r="S50" s="173" t="s">
        <v>594</v>
      </c>
      <c r="T50" s="1"/>
      <c r="U50" s="1"/>
      <c r="V50" s="173" t="s">
        <v>215</v>
      </c>
      <c r="W50" s="173" t="s">
        <v>238</v>
      </c>
      <c r="X50" s="173" t="s">
        <v>256</v>
      </c>
      <c r="Y50" s="1"/>
      <c r="Z50" s="173" t="s">
        <v>293</v>
      </c>
      <c r="AA50" s="173" t="s">
        <v>316</v>
      </c>
      <c r="AB50" s="173" t="s">
        <v>335</v>
      </c>
      <c r="AC50" s="173" t="s">
        <v>355</v>
      </c>
      <c r="AD50" s="1"/>
    </row>
    <row r="51" spans="13:30" x14ac:dyDescent="0.25">
      <c r="M51" s="1"/>
      <c r="N51" s="1"/>
      <c r="O51" s="173" t="s">
        <v>92</v>
      </c>
      <c r="P51" s="173" t="s">
        <v>115</v>
      </c>
      <c r="Q51" s="173" t="s">
        <v>595</v>
      </c>
      <c r="R51" s="173" t="s">
        <v>156</v>
      </c>
      <c r="S51" s="173" t="s">
        <v>172</v>
      </c>
      <c r="T51" s="1"/>
      <c r="U51" s="1"/>
      <c r="V51" s="173" t="s">
        <v>219</v>
      </c>
      <c r="W51" s="173" t="s">
        <v>239</v>
      </c>
      <c r="X51" s="173" t="s">
        <v>257</v>
      </c>
      <c r="Y51" s="1"/>
      <c r="Z51" s="173" t="s">
        <v>294</v>
      </c>
      <c r="AA51" s="173" t="s">
        <v>596</v>
      </c>
      <c r="AB51" s="173" t="s">
        <v>336</v>
      </c>
      <c r="AC51" s="173" t="s">
        <v>356</v>
      </c>
      <c r="AD51" s="1"/>
    </row>
    <row r="52" spans="13:30" x14ac:dyDescent="0.25">
      <c r="M52" s="1"/>
      <c r="N52" s="1"/>
      <c r="O52" s="173" t="s">
        <v>93</v>
      </c>
      <c r="P52" s="173" t="s">
        <v>116</v>
      </c>
      <c r="Q52" s="173" t="s">
        <v>132</v>
      </c>
      <c r="R52" s="173" t="s">
        <v>597</v>
      </c>
      <c r="S52" s="173" t="s">
        <v>598</v>
      </c>
      <c r="T52" s="1"/>
      <c r="U52" s="1"/>
      <c r="V52" s="173" t="s">
        <v>599</v>
      </c>
      <c r="W52" s="1"/>
      <c r="X52" s="173" t="s">
        <v>258</v>
      </c>
      <c r="Y52" s="1"/>
      <c r="Z52" s="173" t="s">
        <v>295</v>
      </c>
      <c r="AA52" s="173" t="s">
        <v>317</v>
      </c>
      <c r="AB52" s="173" t="s">
        <v>337</v>
      </c>
      <c r="AC52" s="1"/>
      <c r="AD52" s="1"/>
    </row>
    <row r="53" spans="13:30" x14ac:dyDescent="0.25">
      <c r="M53" s="1"/>
      <c r="N53" s="1"/>
      <c r="O53" s="173" t="s">
        <v>600</v>
      </c>
      <c r="P53" s="173" t="s">
        <v>117</v>
      </c>
      <c r="Q53" s="173" t="s">
        <v>133</v>
      </c>
      <c r="R53" s="173" t="s">
        <v>157</v>
      </c>
      <c r="S53" s="173" t="s">
        <v>173</v>
      </c>
      <c r="T53" s="1"/>
      <c r="U53" s="1"/>
      <c r="V53" s="1"/>
      <c r="W53" s="1"/>
      <c r="X53" s="173" t="s">
        <v>259</v>
      </c>
      <c r="Y53" s="1"/>
      <c r="Z53" s="173" t="s">
        <v>297</v>
      </c>
      <c r="AA53" s="1"/>
      <c r="AB53" s="173" t="s">
        <v>338</v>
      </c>
      <c r="AC53" s="1"/>
      <c r="AD53" s="1"/>
    </row>
    <row r="54" spans="13:30" x14ac:dyDescent="0.25">
      <c r="M54" s="1"/>
      <c r="N54" s="1"/>
      <c r="O54" s="173" t="s">
        <v>94</v>
      </c>
      <c r="P54" s="1"/>
      <c r="Q54" s="173" t="s">
        <v>134</v>
      </c>
      <c r="R54" s="173" t="s">
        <v>601</v>
      </c>
      <c r="S54" s="173" t="s">
        <v>174</v>
      </c>
      <c r="T54" s="1"/>
      <c r="U54" s="1"/>
      <c r="V54" s="1"/>
      <c r="W54" s="1"/>
      <c r="X54" s="1"/>
      <c r="Y54" s="1"/>
      <c r="Z54" s="173" t="s">
        <v>296</v>
      </c>
      <c r="AA54" s="1"/>
      <c r="AB54" s="1"/>
      <c r="AC54" s="1"/>
      <c r="AD54" s="1"/>
    </row>
    <row r="55" spans="13:30" x14ac:dyDescent="0.25">
      <c r="M55" s="1"/>
      <c r="N55" s="1"/>
      <c r="O55" s="173" t="s">
        <v>95</v>
      </c>
      <c r="P55" s="1"/>
      <c r="Q55" s="173" t="s">
        <v>135</v>
      </c>
      <c r="R55" s="173" t="s">
        <v>602</v>
      </c>
      <c r="S55" s="1"/>
      <c r="T55" s="1"/>
      <c r="U55" s="1"/>
      <c r="V55" s="1"/>
      <c r="W55" s="1"/>
      <c r="X55" s="1"/>
      <c r="Y55" s="1"/>
      <c r="Z55" s="173" t="s">
        <v>298</v>
      </c>
      <c r="AA55" s="1"/>
      <c r="AB55" s="1"/>
      <c r="AC55" s="1"/>
      <c r="AD55" s="1"/>
    </row>
    <row r="56" spans="13:30" x14ac:dyDescent="0.25">
      <c r="M56" s="1"/>
      <c r="N56" s="1"/>
      <c r="O56" s="173" t="s">
        <v>96</v>
      </c>
      <c r="P56" s="1"/>
      <c r="Q56" s="173" t="s">
        <v>136</v>
      </c>
      <c r="R56" s="173" t="s">
        <v>158</v>
      </c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</row>
    <row r="57" spans="13:30" x14ac:dyDescent="0.25">
      <c r="M57" s="1"/>
      <c r="N57" s="1"/>
      <c r="O57" s="173" t="s">
        <v>97</v>
      </c>
      <c r="P57" s="1"/>
      <c r="Q57" s="173" t="s">
        <v>137</v>
      </c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</row>
    <row r="58" spans="13:30" x14ac:dyDescent="0.25">
      <c r="M58" s="1"/>
      <c r="N58" s="1"/>
      <c r="O58" s="173" t="s">
        <v>98</v>
      </c>
      <c r="P58" s="1"/>
      <c r="Q58" s="173" t="s">
        <v>138</v>
      </c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</row>
    <row r="59" spans="13:30" x14ac:dyDescent="0.25">
      <c r="M59" s="1"/>
      <c r="N59" s="1"/>
      <c r="O59" s="173" t="s">
        <v>603</v>
      </c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</row>
    <row r="60" spans="13:30" x14ac:dyDescent="0.25">
      <c r="M60" s="1"/>
      <c r="N60" s="1"/>
      <c r="O60" s="173" t="s">
        <v>604</v>
      </c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</row>
    <row r="61" spans="13:30" x14ac:dyDescent="0.25">
      <c r="M61" s="1"/>
      <c r="N61" s="1"/>
      <c r="O61" s="173" t="s">
        <v>605</v>
      </c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</row>
    <row r="62" spans="13:30" x14ac:dyDescent="0.25">
      <c r="M62" s="1"/>
      <c r="N62" s="1"/>
      <c r="O62" s="173" t="s">
        <v>99</v>
      </c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</row>
  </sheetData>
  <mergeCells count="3">
    <mergeCell ref="C1:K1"/>
    <mergeCell ref="M1:AD1"/>
    <mergeCell ref="M32:AD32"/>
  </mergeCells>
  <pageMargins left="0.7" right="0.7" top="0.75" bottom="0.75" header="0.3" footer="0.3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18</vt:i4>
      </vt:variant>
      <vt:variant>
        <vt:lpstr>Plages nommées</vt:lpstr>
      </vt:variant>
      <vt:variant>
        <vt:i4>27</vt:i4>
      </vt:variant>
    </vt:vector>
  </HeadingPairs>
  <TitlesOfParts>
    <vt:vector size="45" baseType="lpstr">
      <vt:lpstr>Lexique</vt:lpstr>
      <vt:lpstr>Fiche Agence</vt:lpstr>
      <vt:lpstr>CUMUL résultats semaine</vt:lpstr>
      <vt:lpstr>PROD MRH4</vt:lpstr>
      <vt:lpstr>BAROM CA UC</vt:lpstr>
      <vt:lpstr>BAROM IZICARTES</vt:lpstr>
      <vt:lpstr>BAROM CARTES HDG</vt:lpstr>
      <vt:lpstr>S45</vt:lpstr>
      <vt:lpstr>S46</vt:lpstr>
      <vt:lpstr>S47</vt:lpstr>
      <vt:lpstr>S48</vt:lpstr>
      <vt:lpstr>S49</vt:lpstr>
      <vt:lpstr>S50</vt:lpstr>
      <vt:lpstr>Coller ici dernier suivi PV</vt:lpstr>
      <vt:lpstr>S0 remplacer avec S44</vt:lpstr>
      <vt:lpstr>ETP Challenge</vt:lpstr>
      <vt:lpstr>Meilleures perf</vt:lpstr>
      <vt:lpstr>Structures EDS</vt:lpstr>
      <vt:lpstr>AUBE_HAUTE_MARNE</vt:lpstr>
      <vt:lpstr>BAS_RHIN</vt:lpstr>
      <vt:lpstr>CHALONS_EN_CHAMPAGNE</vt:lpstr>
      <vt:lpstr>CHARLEVILLE_MEZIERES</vt:lpstr>
      <vt:lpstr>CHAUMONT</vt:lpstr>
      <vt:lpstr>COLMAR</vt:lpstr>
      <vt:lpstr>EPINAL</vt:lpstr>
      <vt:lpstr>HAGUENAU</vt:lpstr>
      <vt:lpstr>HAUT_RHIN</vt:lpstr>
      <vt:lpstr>MARNE_ARDENNES</vt:lpstr>
      <vt:lpstr>METZ</vt:lpstr>
      <vt:lpstr>MEURTHE_ET_MOSELLE_MEUSE</vt:lpstr>
      <vt:lpstr>MOSELLE</vt:lpstr>
      <vt:lpstr>MOSELLE_EST</vt:lpstr>
      <vt:lpstr>MOSELLE_NORD</vt:lpstr>
      <vt:lpstr>MULHOUSE</vt:lpstr>
      <vt:lpstr>NANCY</vt:lpstr>
      <vt:lpstr>PONT_A_MOUSSON</vt:lpstr>
      <vt:lpstr>REIMS</vt:lpstr>
      <vt:lpstr>SAINT_DIE</vt:lpstr>
      <vt:lpstr>SELESTAT</vt:lpstr>
      <vt:lpstr>STRASBOURG</vt:lpstr>
      <vt:lpstr>TROYES</vt:lpstr>
      <vt:lpstr>VERDUN</vt:lpstr>
      <vt:lpstr>VOSGES</vt:lpstr>
      <vt:lpstr>'Fiche Agence'!Zone_d_impression</vt:lpstr>
      <vt:lpstr>Lexique!Zone_d_impression</vt:lpstr>
    </vt:vector>
  </TitlesOfParts>
  <Company>BPCEIT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A6705177</dc:creator>
  <cp:lastModifiedBy>A6703043</cp:lastModifiedBy>
  <cp:lastPrinted>2020-10-29T16:39:37Z</cp:lastPrinted>
  <dcterms:created xsi:type="dcterms:W3CDTF">2020-10-26T16:03:59Z</dcterms:created>
  <dcterms:modified xsi:type="dcterms:W3CDTF">2020-11-03T09:19:39Z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48a19f0c-bea1-442e-a475-ed109d9ec508_Enabled">
    <vt:lpwstr>True</vt:lpwstr>
  </property>
  <property fmtid="{D5CDD505-2E9C-101B-9397-08002B2CF9AE}" pid="3" name="MSIP_Label_48a19f0c-bea1-442e-a475-ed109d9ec508_SiteId">
    <vt:lpwstr>d5bb6d35-8a82-4329-b49a-5030bd6497ab</vt:lpwstr>
  </property>
  <property fmtid="{D5CDD505-2E9C-101B-9397-08002B2CF9AE}" pid="4" name="MSIP_Label_48a19f0c-bea1-442e-a475-ed109d9ec508_Owner">
    <vt:lpwstr>gaelle.romani@cegee.caisse-epargne.fr</vt:lpwstr>
  </property>
  <property fmtid="{D5CDD505-2E9C-101B-9397-08002B2CF9AE}" pid="5" name="MSIP_Label_48a19f0c-bea1-442e-a475-ed109d9ec508_SetDate">
    <vt:lpwstr>2020-10-26T16:10:08.0205730Z</vt:lpwstr>
  </property>
  <property fmtid="{D5CDD505-2E9C-101B-9397-08002B2CF9AE}" pid="6" name="MSIP_Label_48a19f0c-bea1-442e-a475-ed109d9ec508_Name">
    <vt:lpwstr>C2 - Interne BPCE</vt:lpwstr>
  </property>
  <property fmtid="{D5CDD505-2E9C-101B-9397-08002B2CF9AE}" pid="7" name="MSIP_Label_48a19f0c-bea1-442e-a475-ed109d9ec508_Application">
    <vt:lpwstr>Microsoft Azure Information Protection</vt:lpwstr>
  </property>
  <property fmtid="{D5CDD505-2E9C-101B-9397-08002B2CF9AE}" pid="8" name="MSIP_Label_48a19f0c-bea1-442e-a475-ed109d9ec508_Extended_MSFT_Method">
    <vt:lpwstr>Automatic</vt:lpwstr>
  </property>
  <property fmtid="{D5CDD505-2E9C-101B-9397-08002B2CF9AE}" pid="9" name="Sensitivity">
    <vt:lpwstr>C2 - Interne BPCE</vt:lpwstr>
  </property>
</Properties>
</file>